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ables/table7.xml" ContentType="application/vnd.openxmlformats-officedocument.spreadsheetml.table+xml"/>
  <Override PartName="/xl/comments3.xml" ContentType="application/vnd.openxmlformats-officedocument.spreadsheetml.comments+xml"/>
  <Override PartName="/xl/tables/table8.xml" ContentType="application/vnd.openxmlformats-officedocument.spreadsheetml.table+xml"/>
  <Override PartName="/xl/comments4.xml" ContentType="application/vnd.openxmlformats-officedocument.spreadsheetml.comments+xml"/>
  <Override PartName="/xl/threadedComments/threadedComment1.xml" ContentType="application/vnd.ms-excel.threadedcomments+xml"/>
  <Override PartName="/xl/tables/table9.xml" ContentType="application/vnd.openxmlformats-officedocument.spreadsheetml.table+xml"/>
  <Override PartName="/xl/comments5.xml" ContentType="application/vnd.openxmlformats-officedocument.spreadsheetml.comments+xml"/>
  <Override PartName="/xl/tables/table10.xml" ContentType="application/vnd.openxmlformats-officedocument.spreadsheetml.table+xml"/>
  <Override PartName="/xl/comments6.xml" ContentType="application/vnd.openxmlformats-officedocument.spreadsheetml.comments+xml"/>
  <Override PartName="/xl/drawings/drawing3.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drawings/drawing4.xml" ContentType="application/vnd.openxmlformats-officedocument.drawing+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tables/table11.xml" ContentType="application/vnd.openxmlformats-officedocument.spreadsheetml.table+xml"/>
  <Override PartName="/xl/comments7.xml" ContentType="application/vnd.openxmlformats-officedocument.spreadsheetml.comments+xml"/>
  <Override PartName="/xl/threadedComments/threadedComment2.xml" ContentType="application/vnd.ms-excel.threadedcomments+xml"/>
  <Override PartName="/xl/drawings/drawing5.xml" ContentType="application/vnd.openxmlformats-officedocument.drawing+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charts/chart19.xml" ContentType="application/vnd.openxmlformats-officedocument.drawingml.chart+xml"/>
  <Override PartName="/xl/charts/style19.xml" ContentType="application/vnd.ms-office.chartstyle+xml"/>
  <Override PartName="/xl/charts/colors19.xml" ContentType="application/vnd.ms-office.chartcolorstyle+xml"/>
  <Override PartName="/xl/charts/chart20.xml" ContentType="application/vnd.openxmlformats-officedocument.drawingml.chart+xml"/>
  <Override PartName="/xl/charts/style20.xml" ContentType="application/vnd.ms-office.chartstyle+xml"/>
  <Override PartName="/xl/charts/colors20.xml" ContentType="application/vnd.ms-office.chartcolorstyle+xml"/>
  <Override PartName="/xl/tables/table12.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customXml/itemProps8.xml" ContentType="application/vnd.openxmlformats-officedocument.customXmlProperties+xml"/>
  <Override PartName="/customXml/itemProps9.xml" ContentType="application/vnd.openxmlformats-officedocument.customXmlProperties+xml"/>
  <Override PartName="/customXml/itemProps10.xml" ContentType="application/vnd.openxmlformats-officedocument.customXmlProperties+xml"/>
  <Override PartName="/customXml/itemProps11.xml" ContentType="application/vnd.openxmlformats-officedocument.customXmlProperties+xml"/>
  <Override PartName="/customXml/itemProps12.xml" ContentType="application/vnd.openxmlformats-officedocument.customXmlProperties+xml"/>
  <Override PartName="/customXml/itemProps13.xml" ContentType="application/vnd.openxmlformats-officedocument.customXmlProperties+xml"/>
  <Override PartName="/customXml/itemProps14.xml" ContentType="application/vnd.openxmlformats-officedocument.customXmlProperties+xml"/>
  <Override PartName="/customXml/itemProps15.xml" ContentType="application/vnd.openxmlformats-officedocument.customXmlProperties+xml"/>
  <Override PartName="/customXml/itemProps1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66925"/>
  <mc:AlternateContent xmlns:mc="http://schemas.openxmlformats.org/markup-compatibility/2006">
    <mc:Choice Requires="x15">
      <x15ac:absPath xmlns:x15ac="http://schemas.microsoft.com/office/spreadsheetml/2010/11/ac" url="C:\Users\edgor\Desktop\teleworx\Deployment\"/>
    </mc:Choice>
  </mc:AlternateContent>
  <xr:revisionPtr revIDLastSave="0" documentId="13_ncr:1_{0FB39F8A-209E-4435-ADFE-E662DB970C94}" xr6:coauthVersionLast="45" xr6:coauthVersionMax="45" xr10:uidLastSave="{00000000-0000-0000-0000-000000000000}"/>
  <bookViews>
    <workbookView xWindow="-108" yWindow="-108" windowWidth="23256" windowHeight="12576" tabRatio="819" firstSheet="1" activeTab="7" xr2:uid="{D1BEEFFD-A34C-468E-8EAA-8AB36B685CFA}"/>
  </bookViews>
  <sheets>
    <sheet name="Table of Contents" sheetId="35" r:id="rId1"/>
    <sheet name="User Guide" sheetId="36" r:id="rId2"/>
    <sheet name="1. Duration Estimating" sheetId="1" r:id="rId3"/>
    <sheet name="2. Cost Estimating" sheetId="3" r:id="rId4"/>
    <sheet name="3. Design Tracking" sheetId="26" r:id="rId5"/>
    <sheet name="4. Design Tracking Summary" sheetId="27" r:id="rId6"/>
    <sheet name="5. Site Tracking Sheet" sheetId="14" r:id="rId7"/>
    <sheet name="6. Summary Tracking Sheet" sheetId="15" r:id="rId8"/>
    <sheet name="A. Schedule Visuals" sheetId="16" r:id="rId9"/>
    <sheet name="B. Cost &amp; Variance Visuals" sheetId="20" r:id="rId10"/>
    <sheet name="C. Deployment KPIs" sheetId="23" r:id="rId11"/>
    <sheet name="D. Dashboard" sheetId="34" r:id="rId12"/>
    <sheet name="E. Site_Milestones_List" sheetId="25" r:id="rId13"/>
  </sheets>
  <externalReferences>
    <externalReference r:id="rId14"/>
    <externalReference r:id="rId15"/>
  </externalReferences>
  <definedNames>
    <definedName name="_fil" hidden="1">#REF!</definedName>
    <definedName name="_Fill" hidden="1">#REF!</definedName>
    <definedName name="_Key1" hidden="1">#REF!</definedName>
    <definedName name="_Order1" hidden="1">255</definedName>
    <definedName name="_Sort" hidden="1">#REF!</definedName>
    <definedName name="_xlcn.WorksheetConnection_NaaSDeploymentMgmtTrackingKPIs.xlsxTable_SiteMilestoneTracking1" hidden="1">Table_SiteMilestoneTracking[]</definedName>
    <definedName name="adsadrr" hidden="1">#REF!</definedName>
    <definedName name="asdrae" hidden="1">#REF!</definedName>
    <definedName name="c0_SiteDesignCostBL">'2. Cost Estimating'!$G$32</definedName>
    <definedName name="CIQWBGuid" hidden="1">"f6402c8e-04e0-4958-b84b-28285b87d697"</definedName>
    <definedName name="gs" hidden="1">#REF!</definedName>
    <definedName name="IQ_DNTM" hidden="1">700000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LATESTK" hidden="1">1000</definedName>
    <definedName name="IQ_LATESTQ" hidden="1">500</definedName>
    <definedName name="IQ_LTMMONTH" hidden="1">120000</definedName>
    <definedName name="IQ_MTD" hidden="1">800000</definedName>
    <definedName name="IQ_NAMES_REVISION_DATE_" hidden="1">42876.4176967593</definedName>
    <definedName name="IQ_QTD" hidden="1">750000</definedName>
    <definedName name="IQ_TODAY" hidden="1">0</definedName>
    <definedName name="IQ_YTDMONTH" hidden="1">130000</definedName>
    <definedName name="KPI_BAC">'C. Deployment KPIs'!$D$33</definedName>
    <definedName name="KPI_CurWeekFocus">'C. Deployment KPIs'!$D$32</definedName>
    <definedName name="KPI_EV_Accumulated">'C. Deployment KPIs'!$D$52</definedName>
    <definedName name="KPI_PercentCompleteProject">'C. Deployment KPIs'!$D$14</definedName>
    <definedName name="KPI_TotalSites">'C. Deployment KPIs'!$D$5</definedName>
    <definedName name="qsd" hidden="1">#REF!</definedName>
    <definedName name="qweqw" hidden="1">#REF!</definedName>
    <definedName name="rgrsgrs" hidden="1">#REF!</definedName>
    <definedName name="sgr" hidden="1">#REF!</definedName>
    <definedName name="SiteDesignStarted_AC">Table_SiteMilestoneTracking[[#All],[SiteDesignStarted_AC]]</definedName>
    <definedName name="SiteDesignStarted_BL">Table_SiteMilestoneTracking[[#All],[SiteDesignStarted_BL]]</definedName>
    <definedName name="t0_SiteDesignDelayBL">'1. Duration Estimating'!$G$29</definedName>
    <definedName name="t1_SiteSurveyBL">'1. Duration Estimating'!$G$30</definedName>
    <definedName name="t2_SiteAcquisitionBL">'1. Duration Estimating'!$G$32</definedName>
    <definedName name="t2a_SiteCWReadinessBL">'1. Duration Estimating'!$G$31</definedName>
    <definedName name="t3_CivilWorksBL">'1. Duration Estimating'!$G$33</definedName>
    <definedName name="t4_PowerInstallBL">'1. Duration Estimating'!$G$34</definedName>
    <definedName name="t5_TxintegrationBL">'1. Duration Estimating'!$G$35</definedName>
    <definedName name="t6_InstallationBL">'1. Duration Estimating'!$G$36</definedName>
    <definedName name="t7_IntegrationBL">'1. Duration Estimating'!$G$37</definedName>
    <definedName name="t8_AcceptanceBL">'1. Duration Estimating'!$G$38</definedName>
    <definedName name="t9_HandoverBL">'1. Duration Estimating'!$G$39</definedName>
    <definedName name="Z_3BCF6D86_236A_4C31_8C7A_A07AF84C936E_.wvu.Cols" hidden="1">[2]Filling!$BR$1:$BS$65536,[2]Filling!$BV$1:$BY$65536</definedName>
    <definedName name="Z_931FE5CF_208D_4715_B090_6235E3DF961D_.wvu.Cols" hidden="1">[2]Filling!$BR$1:$BS$65536,[2]Filling!$BV$1:$BY$65536</definedName>
  </definedNames>
  <calcPr calcId="191029"/>
  <fileRecoveryPr repairLoad="1"/>
  <extLs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Table_SiteMilestoneTracking" name="Table_SiteMilestoneTracking" connection="WorksheetConnection_NaaS Deployment Mgmt Tracking &amp; KPIs.xlsx!Table_SiteMilestoneTracking"/>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E1" i="34" l="1"/>
  <c r="C45" i="23"/>
  <c r="D55" i="23" l="1"/>
  <c r="D56" i="23"/>
  <c r="C5" i="14"/>
  <c r="D5" i="14"/>
  <c r="C6" i="14"/>
  <c r="D6" i="14"/>
  <c r="C7" i="14"/>
  <c r="D7" i="14"/>
  <c r="C8" i="14"/>
  <c r="D8" i="14"/>
  <c r="C9" i="14"/>
  <c r="D9" i="14"/>
  <c r="C10" i="14"/>
  <c r="D10" i="14"/>
  <c r="C11" i="14"/>
  <c r="D11" i="14"/>
  <c r="C12" i="14"/>
  <c r="D12" i="14"/>
  <c r="C13" i="14"/>
  <c r="D13" i="14"/>
  <c r="C14" i="14"/>
  <c r="D14" i="14"/>
  <c r="C15" i="14"/>
  <c r="D15" i="14"/>
  <c r="C16" i="14"/>
  <c r="D16" i="14"/>
  <c r="C17" i="14"/>
  <c r="D17" i="14"/>
  <c r="C18" i="14"/>
  <c r="D18" i="14"/>
  <c r="C19" i="14"/>
  <c r="D19" i="14"/>
  <c r="C20" i="14"/>
  <c r="D20" i="14"/>
  <c r="C21" i="14"/>
  <c r="D21" i="14"/>
  <c r="C22" i="14"/>
  <c r="D22" i="14"/>
  <c r="C23" i="14"/>
  <c r="D23" i="14"/>
  <c r="C24" i="14"/>
  <c r="D24" i="14"/>
  <c r="C25" i="14"/>
  <c r="D25" i="14"/>
  <c r="C26" i="14"/>
  <c r="D26" i="14"/>
  <c r="C27" i="14"/>
  <c r="D27" i="14"/>
  <c r="C28" i="14"/>
  <c r="D28" i="14"/>
  <c r="C29" i="14"/>
  <c r="D29" i="14"/>
  <c r="C30" i="14"/>
  <c r="D30" i="14"/>
  <c r="C31" i="14"/>
  <c r="D31" i="14"/>
  <c r="C32" i="14"/>
  <c r="D32" i="14"/>
  <c r="C33" i="14"/>
  <c r="D33" i="14"/>
  <c r="C34" i="14"/>
  <c r="D34" i="14"/>
  <c r="C35" i="14"/>
  <c r="D35" i="14"/>
  <c r="C36" i="14"/>
  <c r="D36" i="14"/>
  <c r="C37" i="14"/>
  <c r="D37" i="14"/>
  <c r="C38" i="14"/>
  <c r="D38" i="14"/>
  <c r="C39" i="14"/>
  <c r="D39" i="14"/>
  <c r="C40" i="14"/>
  <c r="D40" i="14"/>
  <c r="C41" i="14"/>
  <c r="D41" i="14"/>
  <c r="C42" i="14"/>
  <c r="D42" i="14"/>
  <c r="C43" i="14"/>
  <c r="D43" i="14"/>
  <c r="C44" i="14"/>
  <c r="D44" i="14"/>
  <c r="C45" i="14"/>
  <c r="D45" i="14"/>
  <c r="C46" i="14"/>
  <c r="D46" i="14"/>
  <c r="C47" i="14"/>
  <c r="D47" i="14"/>
  <c r="C48" i="14"/>
  <c r="D48" i="14"/>
  <c r="C49" i="14"/>
  <c r="D49" i="14"/>
  <c r="C50" i="14"/>
  <c r="D50" i="14"/>
  <c r="C51" i="14"/>
  <c r="D51" i="14"/>
  <c r="C52" i="14"/>
  <c r="D52" i="14"/>
  <c r="C53" i="14"/>
  <c r="D53" i="14"/>
  <c r="C54" i="14"/>
  <c r="D54" i="14"/>
  <c r="C55" i="14"/>
  <c r="D55" i="14"/>
  <c r="C56" i="14"/>
  <c r="D56" i="14"/>
  <c r="C57" i="14"/>
  <c r="D57" i="14"/>
  <c r="C58" i="14"/>
  <c r="D58" i="14"/>
  <c r="C59" i="14"/>
  <c r="D59" i="14"/>
  <c r="C60" i="14"/>
  <c r="D60" i="14"/>
  <c r="C61" i="14"/>
  <c r="D61" i="14"/>
  <c r="C62" i="14"/>
  <c r="D62" i="14"/>
  <c r="C63" i="14"/>
  <c r="D63" i="14"/>
  <c r="C64" i="14"/>
  <c r="D64" i="14"/>
  <c r="C65" i="14"/>
  <c r="D65" i="14"/>
  <c r="C66" i="14"/>
  <c r="D66" i="14"/>
  <c r="C67" i="14"/>
  <c r="D67" i="14"/>
  <c r="C68" i="14"/>
  <c r="D68" i="14"/>
  <c r="C69" i="14"/>
  <c r="D69" i="14"/>
  <c r="C70" i="14"/>
  <c r="D70" i="14"/>
  <c r="C71" i="14"/>
  <c r="D71" i="14"/>
  <c r="C72" i="14"/>
  <c r="D72" i="14"/>
  <c r="C73" i="14"/>
  <c r="D73" i="14"/>
  <c r="C74" i="14"/>
  <c r="D74" i="14"/>
  <c r="C75" i="14"/>
  <c r="D75" i="14"/>
  <c r="C76" i="14"/>
  <c r="D76" i="14"/>
  <c r="C77" i="14"/>
  <c r="D77" i="14"/>
  <c r="C78" i="14"/>
  <c r="D78" i="14"/>
  <c r="C79" i="14"/>
  <c r="D79" i="14"/>
  <c r="C80" i="14"/>
  <c r="D80" i="14"/>
  <c r="C81" i="14"/>
  <c r="D81" i="14"/>
  <c r="C82" i="14"/>
  <c r="D82" i="14"/>
  <c r="C83" i="14"/>
  <c r="D83" i="14"/>
  <c r="C84" i="14"/>
  <c r="D84" i="14"/>
  <c r="C85" i="14"/>
  <c r="D85" i="14"/>
  <c r="C86" i="14"/>
  <c r="D86" i="14"/>
  <c r="C87" i="14"/>
  <c r="D87" i="14"/>
  <c r="C88" i="14"/>
  <c r="D88" i="14"/>
  <c r="C89" i="14"/>
  <c r="D89" i="14"/>
  <c r="C90" i="14"/>
  <c r="D90" i="14"/>
  <c r="C91" i="14"/>
  <c r="D91" i="14"/>
  <c r="C92" i="14"/>
  <c r="D92" i="14"/>
  <c r="C93" i="14"/>
  <c r="D93" i="14"/>
  <c r="C94" i="14"/>
  <c r="D94" i="14"/>
  <c r="C95" i="14"/>
  <c r="D95" i="14"/>
  <c r="C96" i="14"/>
  <c r="D96" i="14"/>
  <c r="C97" i="14"/>
  <c r="D97" i="14"/>
  <c r="C98" i="14"/>
  <c r="D98" i="14"/>
  <c r="C99" i="14"/>
  <c r="D99" i="14"/>
  <c r="C100" i="14"/>
  <c r="D100" i="14"/>
  <c r="C101" i="14"/>
  <c r="D101" i="14"/>
  <c r="C102" i="14"/>
  <c r="D102" i="14"/>
  <c r="C103" i="14"/>
  <c r="D103" i="14"/>
  <c r="D4" i="14"/>
  <c r="C4" i="14"/>
  <c r="B5" i="14"/>
  <c r="B6" i="14"/>
  <c r="B7" i="14"/>
  <c r="B8" i="14"/>
  <c r="B9" i="14"/>
  <c r="B10" i="14"/>
  <c r="B11" i="14"/>
  <c r="B12" i="14"/>
  <c r="B13" i="14"/>
  <c r="B14" i="14"/>
  <c r="B15" i="14"/>
  <c r="B16" i="14"/>
  <c r="B17" i="14"/>
  <c r="B18" i="14"/>
  <c r="B19" i="14"/>
  <c r="B20" i="14"/>
  <c r="B21" i="14"/>
  <c r="B22" i="14"/>
  <c r="B23" i="14"/>
  <c r="B24" i="14"/>
  <c r="B25" i="14"/>
  <c r="B26" i="14"/>
  <c r="B27" i="14"/>
  <c r="B28" i="14"/>
  <c r="B29" i="14"/>
  <c r="B30" i="14"/>
  <c r="B31" i="14"/>
  <c r="B32" i="14"/>
  <c r="B33" i="14"/>
  <c r="B34" i="14"/>
  <c r="B35" i="14"/>
  <c r="B36" i="14"/>
  <c r="B37" i="14"/>
  <c r="B38" i="14"/>
  <c r="B39" i="14"/>
  <c r="B40" i="14"/>
  <c r="B41" i="14"/>
  <c r="B42" i="14"/>
  <c r="B43" i="14"/>
  <c r="B44" i="14"/>
  <c r="B45" i="14"/>
  <c r="B46" i="14"/>
  <c r="B47" i="14"/>
  <c r="B48" i="14"/>
  <c r="B49" i="14"/>
  <c r="B50" i="14"/>
  <c r="B51" i="14"/>
  <c r="B52" i="14"/>
  <c r="B53" i="14"/>
  <c r="B54" i="14"/>
  <c r="B55" i="14"/>
  <c r="B56" i="14"/>
  <c r="B57" i="14"/>
  <c r="B58" i="14"/>
  <c r="B59" i="14"/>
  <c r="B60" i="14"/>
  <c r="B61" i="14"/>
  <c r="B62" i="14"/>
  <c r="B63" i="14"/>
  <c r="B64" i="14"/>
  <c r="B65" i="14"/>
  <c r="B66" i="14"/>
  <c r="B67" i="14"/>
  <c r="B68" i="14"/>
  <c r="B69" i="14"/>
  <c r="B70" i="14"/>
  <c r="B71" i="14"/>
  <c r="B72" i="14"/>
  <c r="B73" i="14"/>
  <c r="B74" i="14"/>
  <c r="B75" i="14"/>
  <c r="B76" i="14"/>
  <c r="B77" i="14"/>
  <c r="B78" i="14"/>
  <c r="B79" i="14"/>
  <c r="B80" i="14"/>
  <c r="B81" i="14"/>
  <c r="B82" i="14"/>
  <c r="B83" i="14"/>
  <c r="B84" i="14"/>
  <c r="B85" i="14"/>
  <c r="B86" i="14"/>
  <c r="B87" i="14"/>
  <c r="B88" i="14"/>
  <c r="B89" i="14"/>
  <c r="B90" i="14"/>
  <c r="B91" i="14"/>
  <c r="B92" i="14"/>
  <c r="B93" i="14"/>
  <c r="B94" i="14"/>
  <c r="B95" i="14"/>
  <c r="B96" i="14"/>
  <c r="B97" i="14"/>
  <c r="B98" i="14"/>
  <c r="B99" i="14"/>
  <c r="B100" i="14"/>
  <c r="B101" i="14"/>
  <c r="B102" i="14"/>
  <c r="B103" i="14"/>
  <c r="B4" i="14"/>
  <c r="A5" i="14"/>
  <c r="A6" i="14"/>
  <c r="A7" i="14"/>
  <c r="A8" i="14"/>
  <c r="A9" i="14"/>
  <c r="A10" i="14"/>
  <c r="A11" i="14"/>
  <c r="A12" i="14"/>
  <c r="A13" i="14"/>
  <c r="A14" i="14"/>
  <c r="A15" i="14"/>
  <c r="A16" i="14"/>
  <c r="A17" i="14"/>
  <c r="A18" i="14"/>
  <c r="A19" i="14"/>
  <c r="A20" i="14"/>
  <c r="A21" i="14"/>
  <c r="A22" i="14"/>
  <c r="A23" i="14"/>
  <c r="A24" i="14"/>
  <c r="A25" i="14"/>
  <c r="A26" i="14"/>
  <c r="A27" i="14"/>
  <c r="A28" i="14"/>
  <c r="A29" i="14"/>
  <c r="A30" i="14"/>
  <c r="A31" i="14"/>
  <c r="A32" i="14"/>
  <c r="A33" i="14"/>
  <c r="A34" i="14"/>
  <c r="A35" i="14"/>
  <c r="A36" i="14"/>
  <c r="A37" i="14"/>
  <c r="A38" i="14"/>
  <c r="A39" i="14"/>
  <c r="A40" i="14"/>
  <c r="A41" i="14"/>
  <c r="A42" i="14"/>
  <c r="A43" i="14"/>
  <c r="A44" i="14"/>
  <c r="A45" i="14"/>
  <c r="A46" i="14"/>
  <c r="A47" i="14"/>
  <c r="A48" i="14"/>
  <c r="A49" i="14"/>
  <c r="A50" i="14"/>
  <c r="A51" i="14"/>
  <c r="A52" i="14"/>
  <c r="A53" i="14"/>
  <c r="A54" i="14"/>
  <c r="A55" i="14"/>
  <c r="A56" i="14"/>
  <c r="A57" i="14"/>
  <c r="A58" i="14"/>
  <c r="A59" i="14"/>
  <c r="A60" i="14"/>
  <c r="A61" i="14"/>
  <c r="A62" i="14"/>
  <c r="A63" i="14"/>
  <c r="A64" i="14"/>
  <c r="A65" i="14"/>
  <c r="A66" i="14"/>
  <c r="A67" i="14"/>
  <c r="A68" i="14"/>
  <c r="A69" i="14"/>
  <c r="A70" i="14"/>
  <c r="A71" i="14"/>
  <c r="A72" i="14"/>
  <c r="A73" i="14"/>
  <c r="A74" i="14"/>
  <c r="A75" i="14"/>
  <c r="A76" i="14"/>
  <c r="A77" i="14"/>
  <c r="A78" i="14"/>
  <c r="A79" i="14"/>
  <c r="A80" i="14"/>
  <c r="A81" i="14"/>
  <c r="A82" i="14"/>
  <c r="A83" i="14"/>
  <c r="A84" i="14"/>
  <c r="A85" i="14"/>
  <c r="A86" i="14"/>
  <c r="A87" i="14"/>
  <c r="A88" i="14"/>
  <c r="A89" i="14"/>
  <c r="A90" i="14"/>
  <c r="A91" i="14"/>
  <c r="A92" i="14"/>
  <c r="A93" i="14"/>
  <c r="A94" i="14"/>
  <c r="A95" i="14"/>
  <c r="A96" i="14"/>
  <c r="A97" i="14"/>
  <c r="A98" i="14"/>
  <c r="A99" i="14"/>
  <c r="A100" i="14"/>
  <c r="A101" i="14"/>
  <c r="A102" i="14"/>
  <c r="A103" i="14"/>
  <c r="A4" i="14"/>
  <c r="D69" i="23" l="1" a="1"/>
  <c r="D69" i="23" s="1"/>
  <c r="AO2" i="14"/>
  <c r="AO10" i="14" s="1"/>
  <c r="W28" i="14"/>
  <c r="W36" i="14"/>
  <c r="W44" i="14"/>
  <c r="W52" i="14"/>
  <c r="W60" i="14"/>
  <c r="W68" i="14"/>
  <c r="W76" i="14"/>
  <c r="W84" i="14"/>
  <c r="W92" i="14"/>
  <c r="W100" i="14"/>
  <c r="W2" i="14"/>
  <c r="W5" i="14" s="1"/>
  <c r="AC2" i="14"/>
  <c r="AC9" i="14" s="1"/>
  <c r="AI2" i="14"/>
  <c r="AI5" i="14" s="1"/>
  <c r="Q103" i="14"/>
  <c r="Q102" i="14"/>
  <c r="Q101" i="14"/>
  <c r="Q100" i="14"/>
  <c r="Q99" i="14"/>
  <c r="Q98" i="14"/>
  <c r="Q97" i="14"/>
  <c r="Q96" i="14"/>
  <c r="Q95" i="14"/>
  <c r="Q94" i="14"/>
  <c r="AO9" i="14" l="1"/>
  <c r="AO96" i="14"/>
  <c r="AO88" i="14"/>
  <c r="AO80" i="14"/>
  <c r="AO72" i="14"/>
  <c r="AO64" i="14"/>
  <c r="AO56" i="14"/>
  <c r="AO48" i="14"/>
  <c r="AO40" i="14"/>
  <c r="AO32" i="14"/>
  <c r="AO24" i="14"/>
  <c r="AO16" i="14"/>
  <c r="AO8" i="14"/>
  <c r="W98" i="14"/>
  <c r="W90" i="14"/>
  <c r="W82" i="14"/>
  <c r="W74" i="14"/>
  <c r="W66" i="14"/>
  <c r="W58" i="14"/>
  <c r="W50" i="14"/>
  <c r="W42" i="14"/>
  <c r="W34" i="14"/>
  <c r="W26" i="14"/>
  <c r="W18" i="14"/>
  <c r="W10" i="14"/>
  <c r="AC102" i="14"/>
  <c r="AC94" i="14"/>
  <c r="AC86" i="14"/>
  <c r="AC78" i="14"/>
  <c r="AC70" i="14"/>
  <c r="AC62" i="14"/>
  <c r="AC54" i="14"/>
  <c r="AC46" i="14"/>
  <c r="AC38" i="14"/>
  <c r="AC30" i="14"/>
  <c r="AC22" i="14"/>
  <c r="AC14" i="14"/>
  <c r="AC6" i="14"/>
  <c r="AI98" i="14"/>
  <c r="AI90" i="14"/>
  <c r="AI82" i="14"/>
  <c r="AI74" i="14"/>
  <c r="AI66" i="14"/>
  <c r="AI58" i="14"/>
  <c r="AI50" i="14"/>
  <c r="AI42" i="14"/>
  <c r="AI34" i="14"/>
  <c r="AI26" i="14"/>
  <c r="AI18" i="14"/>
  <c r="AI10" i="14"/>
  <c r="AO103" i="14"/>
  <c r="AO95" i="14"/>
  <c r="AO87" i="14"/>
  <c r="AO79" i="14"/>
  <c r="AO71" i="14"/>
  <c r="AO63" i="14"/>
  <c r="AO55" i="14"/>
  <c r="AO47" i="14"/>
  <c r="AO39" i="14"/>
  <c r="AO31" i="14"/>
  <c r="AO23" i="14"/>
  <c r="AO15" i="14"/>
  <c r="AO7" i="14"/>
  <c r="W97" i="14"/>
  <c r="W89" i="14"/>
  <c r="W81" i="14"/>
  <c r="W73" i="14"/>
  <c r="W65" i="14"/>
  <c r="W57" i="14"/>
  <c r="W49" i="14"/>
  <c r="W41" i="14"/>
  <c r="W33" i="14"/>
  <c r="W25" i="14"/>
  <c r="W17" i="14"/>
  <c r="W9" i="14"/>
  <c r="AC101" i="14"/>
  <c r="AC93" i="14"/>
  <c r="AC85" i="14"/>
  <c r="AC77" i="14"/>
  <c r="AC69" i="14"/>
  <c r="AC61" i="14"/>
  <c r="AC53" i="14"/>
  <c r="AC45" i="14"/>
  <c r="AC37" i="14"/>
  <c r="AC29" i="14"/>
  <c r="AC21" i="14"/>
  <c r="AC13" i="14"/>
  <c r="AC5" i="14"/>
  <c r="AI97" i="14"/>
  <c r="AI89" i="14"/>
  <c r="AI81" i="14"/>
  <c r="AI73" i="14"/>
  <c r="AI65" i="14"/>
  <c r="AI57" i="14"/>
  <c r="AI49" i="14"/>
  <c r="AI41" i="14"/>
  <c r="AI33" i="14"/>
  <c r="AI25" i="14"/>
  <c r="AI17" i="14"/>
  <c r="AI9" i="14"/>
  <c r="AO102" i="14"/>
  <c r="AO94" i="14"/>
  <c r="AO86" i="14"/>
  <c r="AO78" i="14"/>
  <c r="AO70" i="14"/>
  <c r="AO62" i="14"/>
  <c r="AO54" i="14"/>
  <c r="AO46" i="14"/>
  <c r="AO38" i="14"/>
  <c r="AO30" i="14"/>
  <c r="AO22" i="14"/>
  <c r="AO14" i="14"/>
  <c r="AO6" i="14"/>
  <c r="W96" i="14"/>
  <c r="W88" i="14"/>
  <c r="W80" i="14"/>
  <c r="W72" i="14"/>
  <c r="W64" i="14"/>
  <c r="W56" i="14"/>
  <c r="W48" i="14"/>
  <c r="W40" i="14"/>
  <c r="W32" i="14"/>
  <c r="W24" i="14"/>
  <c r="W16" i="14"/>
  <c r="W8" i="14"/>
  <c r="AC100" i="14"/>
  <c r="AC92" i="14"/>
  <c r="AC84" i="14"/>
  <c r="AC76" i="14"/>
  <c r="AC68" i="14"/>
  <c r="AC60" i="14"/>
  <c r="AC52" i="14"/>
  <c r="AC44" i="14"/>
  <c r="AC36" i="14"/>
  <c r="AC28" i="14"/>
  <c r="AC20" i="14"/>
  <c r="AC12" i="14"/>
  <c r="AC4" i="14"/>
  <c r="AI96" i="14"/>
  <c r="AI88" i="14"/>
  <c r="AI80" i="14"/>
  <c r="AI72" i="14"/>
  <c r="AI64" i="14"/>
  <c r="AI56" i="14"/>
  <c r="AI48" i="14"/>
  <c r="AI40" i="14"/>
  <c r="AI32" i="14"/>
  <c r="AI24" i="14"/>
  <c r="AI16" i="14"/>
  <c r="AI8" i="14"/>
  <c r="AO101" i="14"/>
  <c r="AO93" i="14"/>
  <c r="AO85" i="14"/>
  <c r="AO77" i="14"/>
  <c r="AO69" i="14"/>
  <c r="AO61" i="14"/>
  <c r="AO53" i="14"/>
  <c r="AO45" i="14"/>
  <c r="AO37" i="14"/>
  <c r="AO29" i="14"/>
  <c r="AO21" i="14"/>
  <c r="AO13" i="14"/>
  <c r="AO5" i="14"/>
  <c r="AC96" i="14"/>
  <c r="AC64" i="14"/>
  <c r="AC40" i="14"/>
  <c r="AC16" i="14"/>
  <c r="AI100" i="14"/>
  <c r="AI76" i="14"/>
  <c r="AI52" i="14"/>
  <c r="AI36" i="14"/>
  <c r="AI12" i="14"/>
  <c r="AO81" i="14"/>
  <c r="AO57" i="14"/>
  <c r="AO17" i="14"/>
  <c r="W91" i="14"/>
  <c r="W67" i="14"/>
  <c r="W43" i="14"/>
  <c r="W27" i="14"/>
  <c r="AC103" i="14"/>
  <c r="AC95" i="14"/>
  <c r="AC71" i="14"/>
  <c r="AC63" i="14"/>
  <c r="AC47" i="14"/>
  <c r="AC23" i="14"/>
  <c r="AC15" i="14"/>
  <c r="AC7" i="14"/>
  <c r="AI99" i="14"/>
  <c r="AI91" i="14"/>
  <c r="AI83" i="14"/>
  <c r="AI59" i="14"/>
  <c r="AI51" i="14"/>
  <c r="AI43" i="14"/>
  <c r="AI35" i="14"/>
  <c r="AI27" i="14"/>
  <c r="AI19" i="14"/>
  <c r="AI11" i="14"/>
  <c r="W103" i="14"/>
  <c r="W95" i="14"/>
  <c r="W87" i="14"/>
  <c r="W79" i="14"/>
  <c r="W71" i="14"/>
  <c r="W63" i="14"/>
  <c r="W55" i="14"/>
  <c r="W47" i="14"/>
  <c r="W39" i="14"/>
  <c r="W31" i="14"/>
  <c r="W23" i="14"/>
  <c r="W15" i="14"/>
  <c r="W7" i="14"/>
  <c r="AC99" i="14"/>
  <c r="AC91" i="14"/>
  <c r="AC83" i="14"/>
  <c r="AC75" i="14"/>
  <c r="AC67" i="14"/>
  <c r="AC59" i="14"/>
  <c r="AC51" i="14"/>
  <c r="AC43" i="14"/>
  <c r="AC35" i="14"/>
  <c r="AC27" i="14"/>
  <c r="AC19" i="14"/>
  <c r="AC11" i="14"/>
  <c r="AI103" i="14"/>
  <c r="AI95" i="14"/>
  <c r="AI87" i="14"/>
  <c r="AI79" i="14"/>
  <c r="AI71" i="14"/>
  <c r="AI63" i="14"/>
  <c r="AI55" i="14"/>
  <c r="AI47" i="14"/>
  <c r="AI39" i="14"/>
  <c r="AI31" i="14"/>
  <c r="AI23" i="14"/>
  <c r="AI15" i="14"/>
  <c r="AI7" i="14"/>
  <c r="AO100" i="14"/>
  <c r="AO92" i="14"/>
  <c r="AO84" i="14"/>
  <c r="AO76" i="14"/>
  <c r="AO68" i="14"/>
  <c r="AO60" i="14"/>
  <c r="AO52" i="14"/>
  <c r="AO44" i="14"/>
  <c r="AO36" i="14"/>
  <c r="AO28" i="14"/>
  <c r="AO20" i="14"/>
  <c r="AO12" i="14"/>
  <c r="AO4" i="14"/>
  <c r="W4" i="14"/>
  <c r="AC80" i="14"/>
  <c r="AC56" i="14"/>
  <c r="AC24" i="14"/>
  <c r="AI92" i="14"/>
  <c r="AI60" i="14"/>
  <c r="AI28" i="14"/>
  <c r="AI4" i="14"/>
  <c r="AO89" i="14"/>
  <c r="AO65" i="14"/>
  <c r="AO41" i="14"/>
  <c r="AO25" i="14"/>
  <c r="W83" i="14"/>
  <c r="W59" i="14"/>
  <c r="W35" i="14"/>
  <c r="W19" i="14"/>
  <c r="AC87" i="14"/>
  <c r="AC55" i="14"/>
  <c r="AC31" i="14"/>
  <c r="AI75" i="14"/>
  <c r="W94" i="14"/>
  <c r="W86" i="14"/>
  <c r="W70" i="14"/>
  <c r="W62" i="14"/>
  <c r="W54" i="14"/>
  <c r="W46" i="14"/>
  <c r="W38" i="14"/>
  <c r="W30" i="14"/>
  <c r="W22" i="14"/>
  <c r="W14" i="14"/>
  <c r="W6" i="14"/>
  <c r="AC98" i="14"/>
  <c r="AC90" i="14"/>
  <c r="AC82" i="14"/>
  <c r="AC74" i="14"/>
  <c r="AC66" i="14"/>
  <c r="AC58" i="14"/>
  <c r="AC50" i="14"/>
  <c r="AC42" i="14"/>
  <c r="AC34" i="14"/>
  <c r="AC26" i="14"/>
  <c r="AC18" i="14"/>
  <c r="AC10" i="14"/>
  <c r="AI102" i="14"/>
  <c r="AI94" i="14"/>
  <c r="AI86" i="14"/>
  <c r="AI78" i="14"/>
  <c r="AI70" i="14"/>
  <c r="AI62" i="14"/>
  <c r="AI54" i="14"/>
  <c r="AI46" i="14"/>
  <c r="AI38" i="14"/>
  <c r="AI30" i="14"/>
  <c r="AI22" i="14"/>
  <c r="AI14" i="14"/>
  <c r="AI6" i="14"/>
  <c r="AO99" i="14"/>
  <c r="AO91" i="14"/>
  <c r="AO83" i="14"/>
  <c r="AO75" i="14"/>
  <c r="AO67" i="14"/>
  <c r="AO59" i="14"/>
  <c r="AO51" i="14"/>
  <c r="AO43" i="14"/>
  <c r="AO35" i="14"/>
  <c r="AO27" i="14"/>
  <c r="AO19" i="14"/>
  <c r="AO11" i="14"/>
  <c r="W20" i="14"/>
  <c r="W12" i="14"/>
  <c r="AC88" i="14"/>
  <c r="AC72" i="14"/>
  <c r="AC48" i="14"/>
  <c r="AC32" i="14"/>
  <c r="AC8" i="14"/>
  <c r="AI84" i="14"/>
  <c r="AI68" i="14"/>
  <c r="AI44" i="14"/>
  <c r="AI20" i="14"/>
  <c r="AO97" i="14"/>
  <c r="AO73" i="14"/>
  <c r="AO49" i="14"/>
  <c r="AO33" i="14"/>
  <c r="W99" i="14"/>
  <c r="W75" i="14"/>
  <c r="W51" i="14"/>
  <c r="W11" i="14"/>
  <c r="AC79" i="14"/>
  <c r="AC39" i="14"/>
  <c r="AI67" i="14"/>
  <c r="W102" i="14"/>
  <c r="W78" i="14"/>
  <c r="W101" i="14"/>
  <c r="W93" i="14"/>
  <c r="W85" i="14"/>
  <c r="W77" i="14"/>
  <c r="W69" i="14"/>
  <c r="W61" i="14"/>
  <c r="W53" i="14"/>
  <c r="W45" i="14"/>
  <c r="W37" i="14"/>
  <c r="W29" i="14"/>
  <c r="W21" i="14"/>
  <c r="W13" i="14"/>
  <c r="AC97" i="14"/>
  <c r="AC89" i="14"/>
  <c r="AC81" i="14"/>
  <c r="AC73" i="14"/>
  <c r="AC65" i="14"/>
  <c r="AC57" i="14"/>
  <c r="AC49" i="14"/>
  <c r="AC41" i="14"/>
  <c r="AC33" i="14"/>
  <c r="AC25" i="14"/>
  <c r="AC17" i="14"/>
  <c r="AI101" i="14"/>
  <c r="AI93" i="14"/>
  <c r="AI85" i="14"/>
  <c r="AI77" i="14"/>
  <c r="AI69" i="14"/>
  <c r="AI61" i="14"/>
  <c r="AI53" i="14"/>
  <c r="AI45" i="14"/>
  <c r="AI37" i="14"/>
  <c r="AI29" i="14"/>
  <c r="AI21" i="14"/>
  <c r="AI13" i="14"/>
  <c r="AO98" i="14"/>
  <c r="AO90" i="14"/>
  <c r="AO82" i="14"/>
  <c r="AO74" i="14"/>
  <c r="AO66" i="14"/>
  <c r="AO58" i="14"/>
  <c r="AO50" i="14"/>
  <c r="AO42" i="14"/>
  <c r="AO34" i="14"/>
  <c r="AO26" i="14"/>
  <c r="AO18" i="14"/>
  <c r="B39" i="34"/>
  <c r="B38" i="34"/>
  <c r="B37" i="34"/>
  <c r="B36" i="34"/>
  <c r="B35" i="34"/>
  <c r="B14" i="34"/>
  <c r="B13" i="34"/>
  <c r="B11" i="34"/>
  <c r="B10" i="34"/>
  <c r="B9" i="34"/>
  <c r="B8" i="34"/>
  <c r="B7" i="34"/>
  <c r="C4" i="34"/>
  <c r="C34" i="23" l="1"/>
  <c r="C35" i="23"/>
  <c r="C36" i="23"/>
  <c r="C37" i="23"/>
  <c r="C38" i="23"/>
  <c r="C39" i="23"/>
  <c r="C40" i="23"/>
  <c r="C42" i="23"/>
  <c r="C43" i="23"/>
  <c r="C44" i="23"/>
  <c r="C46" i="23"/>
  <c r="C47" i="23"/>
  <c r="AB5" i="14"/>
  <c r="AB6" i="14"/>
  <c r="AB7" i="14"/>
  <c r="AB8" i="14"/>
  <c r="AB9" i="14"/>
  <c r="AB10" i="14"/>
  <c r="AB11" i="14"/>
  <c r="AB12" i="14"/>
  <c r="AB13" i="14"/>
  <c r="AB14" i="14"/>
  <c r="AB15" i="14"/>
  <c r="AB16" i="14"/>
  <c r="AB17" i="14"/>
  <c r="AB18" i="14"/>
  <c r="AB19" i="14"/>
  <c r="AB20" i="14"/>
  <c r="AB21" i="14"/>
  <c r="AB22" i="14"/>
  <c r="AB23" i="14"/>
  <c r="AB24" i="14"/>
  <c r="AB25" i="14"/>
  <c r="AB26" i="14"/>
  <c r="AB27" i="14"/>
  <c r="AB28" i="14"/>
  <c r="AB29" i="14"/>
  <c r="AB30" i="14"/>
  <c r="AB31" i="14"/>
  <c r="AB32" i="14"/>
  <c r="AB33" i="14"/>
  <c r="AB34" i="14"/>
  <c r="AB35" i="14"/>
  <c r="AB36" i="14"/>
  <c r="AB37" i="14"/>
  <c r="AB38" i="14"/>
  <c r="AB39" i="14"/>
  <c r="AB40" i="14"/>
  <c r="AB41" i="14"/>
  <c r="AB42" i="14"/>
  <c r="AB43" i="14"/>
  <c r="AB44" i="14"/>
  <c r="AB45" i="14"/>
  <c r="AB46" i="14"/>
  <c r="AB47" i="14"/>
  <c r="AB48" i="14"/>
  <c r="AB49" i="14"/>
  <c r="AB50" i="14"/>
  <c r="AB51" i="14"/>
  <c r="AB52" i="14"/>
  <c r="AB53" i="14"/>
  <c r="AB54" i="14"/>
  <c r="AB55" i="14"/>
  <c r="AB56" i="14"/>
  <c r="AB57" i="14"/>
  <c r="AB58" i="14"/>
  <c r="AB59" i="14"/>
  <c r="AB60" i="14"/>
  <c r="AB61" i="14"/>
  <c r="AB62" i="14"/>
  <c r="AB63" i="14"/>
  <c r="AB64" i="14"/>
  <c r="AB65" i="14"/>
  <c r="AB66" i="14"/>
  <c r="AB67" i="14"/>
  <c r="AB68" i="14"/>
  <c r="AB69" i="14"/>
  <c r="AB70" i="14"/>
  <c r="AB71" i="14"/>
  <c r="AB72" i="14"/>
  <c r="AB73" i="14"/>
  <c r="AB74" i="14"/>
  <c r="AB75" i="14"/>
  <c r="AB76" i="14"/>
  <c r="AB77" i="14"/>
  <c r="AB78" i="14"/>
  <c r="AB79" i="14"/>
  <c r="AB80" i="14"/>
  <c r="AB81" i="14"/>
  <c r="AB82" i="14"/>
  <c r="AB83" i="14"/>
  <c r="AB84" i="14"/>
  <c r="AB85" i="14"/>
  <c r="AB86" i="14"/>
  <c r="AB87" i="14"/>
  <c r="AB88" i="14"/>
  <c r="AB89" i="14"/>
  <c r="AB90" i="14"/>
  <c r="AB91" i="14"/>
  <c r="AB92" i="14"/>
  <c r="AB93" i="14"/>
  <c r="AB94" i="14"/>
  <c r="AB95" i="14"/>
  <c r="AB96" i="14"/>
  <c r="AB97" i="14"/>
  <c r="AB98" i="14"/>
  <c r="AB99" i="14"/>
  <c r="AB100" i="14"/>
  <c r="AB101" i="14"/>
  <c r="AB102" i="14"/>
  <c r="AB103" i="14"/>
  <c r="AB4" i="14"/>
  <c r="V5" i="14"/>
  <c r="V6" i="14"/>
  <c r="V7" i="14"/>
  <c r="V8" i="14"/>
  <c r="V9" i="14"/>
  <c r="V10" i="14"/>
  <c r="V11" i="14"/>
  <c r="V12" i="14"/>
  <c r="V13" i="14"/>
  <c r="V14" i="14"/>
  <c r="V15" i="14"/>
  <c r="V16" i="14"/>
  <c r="V17" i="14"/>
  <c r="V18" i="14"/>
  <c r="V19" i="14"/>
  <c r="V20" i="14"/>
  <c r="V21" i="14"/>
  <c r="V22" i="14"/>
  <c r="V23" i="14"/>
  <c r="V24" i="14"/>
  <c r="V25" i="14"/>
  <c r="V26" i="14"/>
  <c r="V27" i="14"/>
  <c r="V28" i="14"/>
  <c r="V29" i="14"/>
  <c r="V30" i="14"/>
  <c r="V31" i="14"/>
  <c r="V32" i="14"/>
  <c r="V33" i="14"/>
  <c r="V34" i="14"/>
  <c r="V35" i="14"/>
  <c r="V36" i="14"/>
  <c r="V37" i="14"/>
  <c r="V38" i="14"/>
  <c r="V39" i="14"/>
  <c r="V40" i="14"/>
  <c r="V41" i="14"/>
  <c r="V42" i="14"/>
  <c r="V43" i="14"/>
  <c r="V44" i="14"/>
  <c r="V45" i="14"/>
  <c r="V46" i="14"/>
  <c r="V47" i="14"/>
  <c r="V48" i="14"/>
  <c r="V49" i="14"/>
  <c r="V50" i="14"/>
  <c r="V51" i="14"/>
  <c r="V52" i="14"/>
  <c r="V53" i="14"/>
  <c r="V54" i="14"/>
  <c r="V55" i="14"/>
  <c r="V56" i="14"/>
  <c r="V57" i="14"/>
  <c r="V58" i="14"/>
  <c r="V59" i="14"/>
  <c r="V60" i="14"/>
  <c r="V61" i="14"/>
  <c r="V62" i="14"/>
  <c r="V63" i="14"/>
  <c r="V64" i="14"/>
  <c r="V65" i="14"/>
  <c r="V66" i="14"/>
  <c r="V67" i="14"/>
  <c r="V68" i="14"/>
  <c r="V69" i="14"/>
  <c r="V70" i="14"/>
  <c r="V71" i="14"/>
  <c r="V72" i="14"/>
  <c r="V73" i="14"/>
  <c r="V74" i="14"/>
  <c r="V75" i="14"/>
  <c r="V76" i="14"/>
  <c r="V77" i="14"/>
  <c r="V78" i="14"/>
  <c r="V79" i="14"/>
  <c r="V80" i="14"/>
  <c r="V81" i="14"/>
  <c r="V82" i="14"/>
  <c r="V83" i="14"/>
  <c r="V84" i="14"/>
  <c r="V85" i="14"/>
  <c r="V86" i="14"/>
  <c r="V87" i="14"/>
  <c r="V88" i="14"/>
  <c r="V89" i="14"/>
  <c r="V90" i="14"/>
  <c r="V91" i="14"/>
  <c r="V92" i="14"/>
  <c r="V93" i="14"/>
  <c r="V94" i="14"/>
  <c r="V95" i="14"/>
  <c r="V96" i="14"/>
  <c r="V97" i="14"/>
  <c r="V98" i="14"/>
  <c r="V99" i="14"/>
  <c r="V100" i="14"/>
  <c r="V101" i="14"/>
  <c r="V102" i="14"/>
  <c r="V103" i="14"/>
  <c r="V4" i="14"/>
  <c r="D5" i="23"/>
  <c r="D98" i="23" a="1"/>
  <c r="D98" i="23" s="1"/>
  <c r="D99" i="23" a="1"/>
  <c r="D99" i="23" s="1"/>
  <c r="D100" i="23" a="1"/>
  <c r="D100" i="23" s="1"/>
  <c r="D103" i="23" a="1"/>
  <c r="D103" i="23" s="1"/>
  <c r="D132" i="23" a="1"/>
  <c r="D132" i="23" s="1"/>
  <c r="D133" i="23" a="1"/>
  <c r="D133" i="23" s="1"/>
  <c r="D134" i="23" a="1"/>
  <c r="D134" i="23" s="1"/>
  <c r="D138" i="23" a="1"/>
  <c r="D138" i="23" s="1"/>
  <c r="D139" i="23" a="1"/>
  <c r="D139" i="23" s="1"/>
  <c r="D140" i="23" a="1"/>
  <c r="D140" i="23" s="1"/>
  <c r="D144" i="23" a="1"/>
  <c r="D144" i="23" s="1"/>
  <c r="D145" i="23" a="1"/>
  <c r="D145" i="23" s="1"/>
  <c r="D146" i="23" a="1"/>
  <c r="D146" i="23" s="1"/>
  <c r="D150" i="23" a="1"/>
  <c r="D150" i="23" s="1"/>
  <c r="D151" i="23" a="1"/>
  <c r="D151" i="23" s="1"/>
  <c r="D152" i="23" a="1"/>
  <c r="D152" i="23" s="1"/>
  <c r="D156" i="23" a="1"/>
  <c r="D156" i="23" s="1"/>
  <c r="D157" i="23" a="1"/>
  <c r="D157" i="23" s="1"/>
  <c r="D158" i="23" a="1"/>
  <c r="D158" i="23" s="1"/>
  <c r="D162" i="23" a="1"/>
  <c r="D162" i="23" s="1"/>
  <c r="D163" i="23" a="1"/>
  <c r="D163" i="23" s="1"/>
  <c r="D164" i="23" a="1"/>
  <c r="D164" i="23" s="1"/>
  <c r="D168" i="23" a="1"/>
  <c r="D168" i="23" s="1"/>
  <c r="D169" i="23" a="1"/>
  <c r="D169" i="23" s="1"/>
  <c r="D170" i="23" a="1"/>
  <c r="D170" i="23" s="1"/>
  <c r="D174" i="23" a="1"/>
  <c r="D174" i="23" s="1"/>
  <c r="D175" i="23" a="1"/>
  <c r="D175" i="23" s="1"/>
  <c r="D176" i="23" a="1"/>
  <c r="D176" i="23" s="1"/>
  <c r="D180" i="23" a="1"/>
  <c r="D180" i="23" s="1"/>
  <c r="D181" i="23" a="1"/>
  <c r="D181" i="23" s="1"/>
  <c r="D182" i="23" a="1"/>
  <c r="D182" i="23" s="1"/>
  <c r="BR5" i="14"/>
  <c r="BR6" i="14"/>
  <c r="BR7" i="14"/>
  <c r="BR8" i="14"/>
  <c r="BR9" i="14"/>
  <c r="BR10" i="14"/>
  <c r="BR11" i="14"/>
  <c r="BR12" i="14"/>
  <c r="BR13" i="14"/>
  <c r="BR14" i="14"/>
  <c r="BR15" i="14"/>
  <c r="BR16" i="14"/>
  <c r="BR17" i="14"/>
  <c r="BR18" i="14"/>
  <c r="BR19" i="14"/>
  <c r="BR20" i="14"/>
  <c r="BR21" i="14"/>
  <c r="BR22" i="14"/>
  <c r="BR23" i="14"/>
  <c r="BR24" i="14"/>
  <c r="BR25" i="14"/>
  <c r="BR26" i="14"/>
  <c r="BR27" i="14"/>
  <c r="BR28" i="14"/>
  <c r="BR29" i="14"/>
  <c r="BR30" i="14"/>
  <c r="BR31" i="14"/>
  <c r="BR32" i="14"/>
  <c r="BR33" i="14"/>
  <c r="BR34" i="14"/>
  <c r="BR35" i="14"/>
  <c r="BR36" i="14"/>
  <c r="BR37" i="14"/>
  <c r="BR38" i="14"/>
  <c r="BR39" i="14"/>
  <c r="BR40" i="14"/>
  <c r="BR41" i="14"/>
  <c r="BR42" i="14"/>
  <c r="BR43" i="14"/>
  <c r="BR44" i="14"/>
  <c r="BR45" i="14"/>
  <c r="BR46" i="14"/>
  <c r="BR47" i="14"/>
  <c r="BR48" i="14"/>
  <c r="BR49" i="14"/>
  <c r="BR50" i="14"/>
  <c r="BR51" i="14"/>
  <c r="BR52" i="14"/>
  <c r="BR53" i="14"/>
  <c r="BR54" i="14"/>
  <c r="BR55" i="14"/>
  <c r="BR56" i="14"/>
  <c r="BR57" i="14"/>
  <c r="BR58" i="14"/>
  <c r="BR59" i="14"/>
  <c r="BR60" i="14"/>
  <c r="BR61" i="14"/>
  <c r="BR62" i="14"/>
  <c r="BR63" i="14"/>
  <c r="BR64" i="14"/>
  <c r="BR65" i="14"/>
  <c r="BR66" i="14"/>
  <c r="BR67" i="14"/>
  <c r="BR68" i="14"/>
  <c r="BR69" i="14"/>
  <c r="BR70" i="14"/>
  <c r="BR71" i="14"/>
  <c r="BR72" i="14"/>
  <c r="BR73" i="14"/>
  <c r="BR74" i="14"/>
  <c r="BR75" i="14"/>
  <c r="BR76" i="14"/>
  <c r="BR77" i="14"/>
  <c r="BR78" i="14"/>
  <c r="BR79" i="14"/>
  <c r="BR80" i="14"/>
  <c r="BR81" i="14"/>
  <c r="BR82" i="14"/>
  <c r="BR83" i="14"/>
  <c r="BR84" i="14"/>
  <c r="BR85" i="14"/>
  <c r="BR86" i="14"/>
  <c r="BR87" i="14"/>
  <c r="BR88" i="14"/>
  <c r="BR89" i="14"/>
  <c r="BR90" i="14"/>
  <c r="BR91" i="14"/>
  <c r="BR92" i="14"/>
  <c r="BR93" i="14"/>
  <c r="BR94" i="14"/>
  <c r="BR95" i="14"/>
  <c r="BR96" i="14"/>
  <c r="BR97" i="14"/>
  <c r="BR98" i="14"/>
  <c r="BR99" i="14"/>
  <c r="BR100" i="14"/>
  <c r="BR101" i="14"/>
  <c r="BR102" i="14"/>
  <c r="BR103" i="14"/>
  <c r="BR4" i="14"/>
  <c r="BL5" i="14"/>
  <c r="BL6" i="14"/>
  <c r="BL7" i="14"/>
  <c r="BL8" i="14"/>
  <c r="BL9" i="14"/>
  <c r="BL10" i="14"/>
  <c r="BL11" i="14"/>
  <c r="BL12" i="14"/>
  <c r="BL13" i="14"/>
  <c r="BL14" i="14"/>
  <c r="BL15" i="14"/>
  <c r="BL16" i="14"/>
  <c r="BL17" i="14"/>
  <c r="BL18" i="14"/>
  <c r="BL19" i="14"/>
  <c r="BL20" i="14"/>
  <c r="BL21" i="14"/>
  <c r="BL22" i="14"/>
  <c r="BL23" i="14"/>
  <c r="BL24" i="14"/>
  <c r="BL25" i="14"/>
  <c r="BL26" i="14"/>
  <c r="BL27" i="14"/>
  <c r="BL28" i="14"/>
  <c r="BL29" i="14"/>
  <c r="BL30" i="14"/>
  <c r="BL31" i="14"/>
  <c r="BL32" i="14"/>
  <c r="BL33" i="14"/>
  <c r="BL34" i="14"/>
  <c r="BL35" i="14"/>
  <c r="BL36" i="14"/>
  <c r="BL37" i="14"/>
  <c r="BL38" i="14"/>
  <c r="BL39" i="14"/>
  <c r="BL40" i="14"/>
  <c r="BL41" i="14"/>
  <c r="BL42" i="14"/>
  <c r="BL43" i="14"/>
  <c r="BL44" i="14"/>
  <c r="BL45" i="14"/>
  <c r="BL46" i="14"/>
  <c r="BL47" i="14"/>
  <c r="BL48" i="14"/>
  <c r="BL49" i="14"/>
  <c r="BL50" i="14"/>
  <c r="BL51" i="14"/>
  <c r="BL52" i="14"/>
  <c r="BL53" i="14"/>
  <c r="BL54" i="14"/>
  <c r="BL55" i="14"/>
  <c r="BL56" i="14"/>
  <c r="BL57" i="14"/>
  <c r="BL58" i="14"/>
  <c r="BL59" i="14"/>
  <c r="BL60" i="14"/>
  <c r="BL61" i="14"/>
  <c r="BL62" i="14"/>
  <c r="BL63" i="14"/>
  <c r="BL64" i="14"/>
  <c r="BL65" i="14"/>
  <c r="BL66" i="14"/>
  <c r="BL67" i="14"/>
  <c r="BL68" i="14"/>
  <c r="BL69" i="14"/>
  <c r="BL70" i="14"/>
  <c r="BL71" i="14"/>
  <c r="BL72" i="14"/>
  <c r="BL73" i="14"/>
  <c r="BL74" i="14"/>
  <c r="BL75" i="14"/>
  <c r="BL76" i="14"/>
  <c r="BL77" i="14"/>
  <c r="BL78" i="14"/>
  <c r="BL79" i="14"/>
  <c r="BL80" i="14"/>
  <c r="BL81" i="14"/>
  <c r="BL82" i="14"/>
  <c r="BL83" i="14"/>
  <c r="BL84" i="14"/>
  <c r="BL85" i="14"/>
  <c r="BL86" i="14"/>
  <c r="BL87" i="14"/>
  <c r="BL88" i="14"/>
  <c r="BL89" i="14"/>
  <c r="BL90" i="14"/>
  <c r="BL91" i="14"/>
  <c r="BL92" i="14"/>
  <c r="BL93" i="14"/>
  <c r="BL94" i="14"/>
  <c r="BL95" i="14"/>
  <c r="BL96" i="14"/>
  <c r="BL97" i="14"/>
  <c r="BL98" i="14"/>
  <c r="BL99" i="14"/>
  <c r="BL100" i="14"/>
  <c r="BL101" i="14"/>
  <c r="BL102" i="14"/>
  <c r="BL103" i="14"/>
  <c r="BL4" i="14"/>
  <c r="BF5" i="14"/>
  <c r="BF6" i="14"/>
  <c r="BF7" i="14"/>
  <c r="BF8" i="14"/>
  <c r="BF9" i="14"/>
  <c r="BF10" i="14"/>
  <c r="BF11" i="14"/>
  <c r="BF12" i="14"/>
  <c r="BF13" i="14"/>
  <c r="BF14" i="14"/>
  <c r="BF15" i="14"/>
  <c r="BF16" i="14"/>
  <c r="BF17" i="14"/>
  <c r="BF18" i="14"/>
  <c r="BF19" i="14"/>
  <c r="BF20" i="14"/>
  <c r="BF21" i="14"/>
  <c r="BF22" i="14"/>
  <c r="BF23" i="14"/>
  <c r="BF24" i="14"/>
  <c r="BF25" i="14"/>
  <c r="BF26" i="14"/>
  <c r="BF27" i="14"/>
  <c r="BF28" i="14"/>
  <c r="BF29" i="14"/>
  <c r="BF30" i="14"/>
  <c r="BF31" i="14"/>
  <c r="BF32" i="14"/>
  <c r="BF33" i="14"/>
  <c r="BF34" i="14"/>
  <c r="BF35" i="14"/>
  <c r="BF36" i="14"/>
  <c r="BF37" i="14"/>
  <c r="BF38" i="14"/>
  <c r="BF39" i="14"/>
  <c r="BF40" i="14"/>
  <c r="BF41" i="14"/>
  <c r="BF42" i="14"/>
  <c r="BF43" i="14"/>
  <c r="BF44" i="14"/>
  <c r="BF45" i="14"/>
  <c r="BF46" i="14"/>
  <c r="BF47" i="14"/>
  <c r="BF48" i="14"/>
  <c r="BF49" i="14"/>
  <c r="BF50" i="14"/>
  <c r="BF51" i="14"/>
  <c r="BF52" i="14"/>
  <c r="BF53" i="14"/>
  <c r="BF54" i="14"/>
  <c r="BF55" i="14"/>
  <c r="BF56" i="14"/>
  <c r="BF57" i="14"/>
  <c r="BF58" i="14"/>
  <c r="BF59" i="14"/>
  <c r="BF60" i="14"/>
  <c r="BF61" i="14"/>
  <c r="BF62" i="14"/>
  <c r="BF63" i="14"/>
  <c r="BF64" i="14"/>
  <c r="BF65" i="14"/>
  <c r="BF66" i="14"/>
  <c r="BF67" i="14"/>
  <c r="BF68" i="14"/>
  <c r="BF69" i="14"/>
  <c r="BF70" i="14"/>
  <c r="BF71" i="14"/>
  <c r="BF72" i="14"/>
  <c r="BF73" i="14"/>
  <c r="BF74" i="14"/>
  <c r="BF75" i="14"/>
  <c r="BF76" i="14"/>
  <c r="BF77" i="14"/>
  <c r="BF78" i="14"/>
  <c r="BF79" i="14"/>
  <c r="BF80" i="14"/>
  <c r="BF81" i="14"/>
  <c r="BF82" i="14"/>
  <c r="BF83" i="14"/>
  <c r="BF84" i="14"/>
  <c r="BF85" i="14"/>
  <c r="BF86" i="14"/>
  <c r="BF87" i="14"/>
  <c r="BF88" i="14"/>
  <c r="BF89" i="14"/>
  <c r="BF90" i="14"/>
  <c r="BF91" i="14"/>
  <c r="BF92" i="14"/>
  <c r="BF93" i="14"/>
  <c r="BF94" i="14"/>
  <c r="BF95" i="14"/>
  <c r="BF96" i="14"/>
  <c r="BF97" i="14"/>
  <c r="BF98" i="14"/>
  <c r="BF99" i="14"/>
  <c r="BF100" i="14"/>
  <c r="BF101" i="14"/>
  <c r="BF102" i="14"/>
  <c r="BF103" i="14"/>
  <c r="BF4" i="14"/>
  <c r="AZ5" i="14"/>
  <c r="AZ6" i="14"/>
  <c r="AZ7" i="14"/>
  <c r="AZ8" i="14"/>
  <c r="AZ9" i="14"/>
  <c r="AZ10" i="14"/>
  <c r="AZ11" i="14"/>
  <c r="AZ12" i="14"/>
  <c r="AZ13" i="14"/>
  <c r="AZ14" i="14"/>
  <c r="AZ15" i="14"/>
  <c r="AZ16" i="14"/>
  <c r="AZ17" i="14"/>
  <c r="AZ18" i="14"/>
  <c r="AZ19" i="14"/>
  <c r="AZ20" i="14"/>
  <c r="AZ21" i="14"/>
  <c r="AZ22" i="14"/>
  <c r="AZ23" i="14"/>
  <c r="AZ24" i="14"/>
  <c r="AZ25" i="14"/>
  <c r="AZ26" i="14"/>
  <c r="AZ27" i="14"/>
  <c r="AZ28" i="14"/>
  <c r="AZ29" i="14"/>
  <c r="AZ30" i="14"/>
  <c r="AZ31" i="14"/>
  <c r="AZ32" i="14"/>
  <c r="AZ33" i="14"/>
  <c r="AZ34" i="14"/>
  <c r="AZ35" i="14"/>
  <c r="AZ36" i="14"/>
  <c r="AZ37" i="14"/>
  <c r="AZ38" i="14"/>
  <c r="AZ39" i="14"/>
  <c r="AZ40" i="14"/>
  <c r="AZ41" i="14"/>
  <c r="AZ42" i="14"/>
  <c r="AZ43" i="14"/>
  <c r="AZ44" i="14"/>
  <c r="AZ45" i="14"/>
  <c r="AZ46" i="14"/>
  <c r="AZ47" i="14"/>
  <c r="AZ48" i="14"/>
  <c r="AZ49" i="14"/>
  <c r="AZ50" i="14"/>
  <c r="AZ51" i="14"/>
  <c r="AZ52" i="14"/>
  <c r="AZ53" i="14"/>
  <c r="AZ54" i="14"/>
  <c r="AZ55" i="14"/>
  <c r="AZ56" i="14"/>
  <c r="AZ57" i="14"/>
  <c r="AZ58" i="14"/>
  <c r="AZ59" i="14"/>
  <c r="AZ60" i="14"/>
  <c r="AZ61" i="14"/>
  <c r="AZ62" i="14"/>
  <c r="AZ63" i="14"/>
  <c r="AZ64" i="14"/>
  <c r="AZ65" i="14"/>
  <c r="AZ66" i="14"/>
  <c r="AZ67" i="14"/>
  <c r="AZ68" i="14"/>
  <c r="AZ69" i="14"/>
  <c r="AZ70" i="14"/>
  <c r="AZ71" i="14"/>
  <c r="AZ72" i="14"/>
  <c r="AZ73" i="14"/>
  <c r="AZ74" i="14"/>
  <c r="AZ75" i="14"/>
  <c r="AZ76" i="14"/>
  <c r="AZ77" i="14"/>
  <c r="AZ78" i="14"/>
  <c r="AZ79" i="14"/>
  <c r="AZ80" i="14"/>
  <c r="AZ81" i="14"/>
  <c r="AZ82" i="14"/>
  <c r="AZ83" i="14"/>
  <c r="AZ84" i="14"/>
  <c r="AZ85" i="14"/>
  <c r="AZ86" i="14"/>
  <c r="AZ87" i="14"/>
  <c r="AZ88" i="14"/>
  <c r="AZ89" i="14"/>
  <c r="AZ90" i="14"/>
  <c r="AZ91" i="14"/>
  <c r="AZ92" i="14"/>
  <c r="AZ93" i="14"/>
  <c r="AZ94" i="14"/>
  <c r="AZ95" i="14"/>
  <c r="AZ96" i="14"/>
  <c r="AZ97" i="14"/>
  <c r="AZ98" i="14"/>
  <c r="AZ99" i="14"/>
  <c r="AZ100" i="14"/>
  <c r="AZ101" i="14"/>
  <c r="AZ102" i="14"/>
  <c r="AZ103" i="14"/>
  <c r="AZ4" i="14"/>
  <c r="AT5" i="14"/>
  <c r="AT6" i="14"/>
  <c r="AT7" i="14"/>
  <c r="AT8" i="14"/>
  <c r="AT9" i="14"/>
  <c r="AT10" i="14"/>
  <c r="AT11" i="14"/>
  <c r="AT12" i="14"/>
  <c r="AT13" i="14"/>
  <c r="AT14" i="14"/>
  <c r="AT15" i="14"/>
  <c r="AT16" i="14"/>
  <c r="AT17" i="14"/>
  <c r="AT18" i="14"/>
  <c r="AT19" i="14"/>
  <c r="AT20" i="14"/>
  <c r="AT21" i="14"/>
  <c r="AT22" i="14"/>
  <c r="AT23" i="14"/>
  <c r="AT24" i="14"/>
  <c r="AT25" i="14"/>
  <c r="AT26" i="14"/>
  <c r="AT27" i="14"/>
  <c r="AT28" i="14"/>
  <c r="AT29" i="14"/>
  <c r="AT30" i="14"/>
  <c r="AT31" i="14"/>
  <c r="AT32" i="14"/>
  <c r="AT33" i="14"/>
  <c r="AT34" i="14"/>
  <c r="AT35" i="14"/>
  <c r="AT36" i="14"/>
  <c r="AT37" i="14"/>
  <c r="AT38" i="14"/>
  <c r="AT39" i="14"/>
  <c r="AT40" i="14"/>
  <c r="AT41" i="14"/>
  <c r="AT42" i="14"/>
  <c r="AT43" i="14"/>
  <c r="AT44" i="14"/>
  <c r="AT45" i="14"/>
  <c r="AT46" i="14"/>
  <c r="AT47" i="14"/>
  <c r="AT48" i="14"/>
  <c r="AT49" i="14"/>
  <c r="AT50" i="14"/>
  <c r="AT51" i="14"/>
  <c r="AT52" i="14"/>
  <c r="AT53" i="14"/>
  <c r="AT54" i="14"/>
  <c r="AT55" i="14"/>
  <c r="AT56" i="14"/>
  <c r="AT57" i="14"/>
  <c r="AT58" i="14"/>
  <c r="AT59" i="14"/>
  <c r="AT60" i="14"/>
  <c r="AT61" i="14"/>
  <c r="AT62" i="14"/>
  <c r="AT63" i="14"/>
  <c r="AT64" i="14"/>
  <c r="AT65" i="14"/>
  <c r="AT66" i="14"/>
  <c r="AT67" i="14"/>
  <c r="AT68" i="14"/>
  <c r="AT69" i="14"/>
  <c r="AT70" i="14"/>
  <c r="AT71" i="14"/>
  <c r="AT72" i="14"/>
  <c r="AT73" i="14"/>
  <c r="AT74" i="14"/>
  <c r="AT75" i="14"/>
  <c r="AT76" i="14"/>
  <c r="AT77" i="14"/>
  <c r="AT78" i="14"/>
  <c r="AT79" i="14"/>
  <c r="AT80" i="14"/>
  <c r="AT81" i="14"/>
  <c r="AT82" i="14"/>
  <c r="AT83" i="14"/>
  <c r="AT84" i="14"/>
  <c r="AT85" i="14"/>
  <c r="AT86" i="14"/>
  <c r="AT87" i="14"/>
  <c r="AT88" i="14"/>
  <c r="AT89" i="14"/>
  <c r="AT90" i="14"/>
  <c r="AT91" i="14"/>
  <c r="AT92" i="14"/>
  <c r="AT93" i="14"/>
  <c r="AT94" i="14"/>
  <c r="AT95" i="14"/>
  <c r="AT96" i="14"/>
  <c r="AT97" i="14"/>
  <c r="AT98" i="14"/>
  <c r="AT99" i="14"/>
  <c r="AT100" i="14"/>
  <c r="AT101" i="14"/>
  <c r="AT102" i="14"/>
  <c r="AT103" i="14"/>
  <c r="AT4" i="14"/>
  <c r="AN5" i="14"/>
  <c r="AN6" i="14"/>
  <c r="AN7" i="14"/>
  <c r="AN8" i="14"/>
  <c r="AN9" i="14"/>
  <c r="AN10" i="14"/>
  <c r="AN11" i="14"/>
  <c r="AN12" i="14"/>
  <c r="AN13" i="14"/>
  <c r="AN14" i="14"/>
  <c r="AN15" i="14"/>
  <c r="AN16" i="14"/>
  <c r="AN17" i="14"/>
  <c r="AN18" i="14"/>
  <c r="AN19" i="14"/>
  <c r="AN20" i="14"/>
  <c r="AN21" i="14"/>
  <c r="AN22" i="14"/>
  <c r="AN23" i="14"/>
  <c r="AN24" i="14"/>
  <c r="AN25" i="14"/>
  <c r="AN26" i="14"/>
  <c r="AN27" i="14"/>
  <c r="AN28" i="14"/>
  <c r="AN29" i="14"/>
  <c r="AN30" i="14"/>
  <c r="AN31" i="14"/>
  <c r="AN32" i="14"/>
  <c r="AN33" i="14"/>
  <c r="AN34" i="14"/>
  <c r="AN35" i="14"/>
  <c r="AN36" i="14"/>
  <c r="AN37" i="14"/>
  <c r="AN38" i="14"/>
  <c r="AN39" i="14"/>
  <c r="AN40" i="14"/>
  <c r="AN41" i="14"/>
  <c r="AN42" i="14"/>
  <c r="AN43" i="14"/>
  <c r="AN44" i="14"/>
  <c r="AN45" i="14"/>
  <c r="AN46" i="14"/>
  <c r="AN47" i="14"/>
  <c r="AN48" i="14"/>
  <c r="AN49" i="14"/>
  <c r="AN50" i="14"/>
  <c r="AN51" i="14"/>
  <c r="AN52" i="14"/>
  <c r="AN53" i="14"/>
  <c r="AN54" i="14"/>
  <c r="AN55" i="14"/>
  <c r="AN56" i="14"/>
  <c r="AN57" i="14"/>
  <c r="AN58" i="14"/>
  <c r="AN59" i="14"/>
  <c r="AN60" i="14"/>
  <c r="AN61" i="14"/>
  <c r="AN62" i="14"/>
  <c r="AN63" i="14"/>
  <c r="AN64" i="14"/>
  <c r="AN65" i="14"/>
  <c r="AN66" i="14"/>
  <c r="AN67" i="14"/>
  <c r="AN68" i="14"/>
  <c r="AN69" i="14"/>
  <c r="AN70" i="14"/>
  <c r="AN71" i="14"/>
  <c r="AN72" i="14"/>
  <c r="AN73" i="14"/>
  <c r="AN74" i="14"/>
  <c r="AN75" i="14"/>
  <c r="AN76" i="14"/>
  <c r="AN77" i="14"/>
  <c r="AN78" i="14"/>
  <c r="AN79" i="14"/>
  <c r="AN80" i="14"/>
  <c r="AN81" i="14"/>
  <c r="AN82" i="14"/>
  <c r="AN83" i="14"/>
  <c r="AN84" i="14"/>
  <c r="AN85" i="14"/>
  <c r="AN86" i="14"/>
  <c r="AN87" i="14"/>
  <c r="AN88" i="14"/>
  <c r="AN89" i="14"/>
  <c r="AN90" i="14"/>
  <c r="AN91" i="14"/>
  <c r="AN92" i="14"/>
  <c r="AN93" i="14"/>
  <c r="AN94" i="14"/>
  <c r="AN95" i="14"/>
  <c r="AN96" i="14"/>
  <c r="AN97" i="14"/>
  <c r="AN98" i="14"/>
  <c r="AN99" i="14"/>
  <c r="AN100" i="14"/>
  <c r="AN101" i="14"/>
  <c r="AN102" i="14"/>
  <c r="AN103" i="14"/>
  <c r="AN4" i="14"/>
  <c r="AH5" i="14"/>
  <c r="AH6" i="14"/>
  <c r="AH7" i="14"/>
  <c r="AH8" i="14"/>
  <c r="AH9" i="14"/>
  <c r="AH10" i="14"/>
  <c r="AH11" i="14"/>
  <c r="AH12" i="14"/>
  <c r="AH13" i="14"/>
  <c r="AH14" i="14"/>
  <c r="AH15" i="14"/>
  <c r="AH16" i="14"/>
  <c r="AH17" i="14"/>
  <c r="AH18" i="14"/>
  <c r="AH19" i="14"/>
  <c r="AH20" i="14"/>
  <c r="AH21" i="14"/>
  <c r="AH22" i="14"/>
  <c r="AH23" i="14"/>
  <c r="AH24" i="14"/>
  <c r="AH25" i="14"/>
  <c r="AH26" i="14"/>
  <c r="AH27" i="14"/>
  <c r="AH28" i="14"/>
  <c r="AH29" i="14"/>
  <c r="AH30" i="14"/>
  <c r="AH31" i="14"/>
  <c r="AH32" i="14"/>
  <c r="AH33" i="14"/>
  <c r="AH34" i="14"/>
  <c r="AH35" i="14"/>
  <c r="AH36" i="14"/>
  <c r="AH37" i="14"/>
  <c r="AH38" i="14"/>
  <c r="AH39" i="14"/>
  <c r="AH40" i="14"/>
  <c r="AH41" i="14"/>
  <c r="AH42" i="14"/>
  <c r="AH43" i="14"/>
  <c r="AH44" i="14"/>
  <c r="AH45" i="14"/>
  <c r="AH46" i="14"/>
  <c r="AH47" i="14"/>
  <c r="AH48" i="14"/>
  <c r="AH49" i="14"/>
  <c r="AH50" i="14"/>
  <c r="AH51" i="14"/>
  <c r="AH52" i="14"/>
  <c r="AH53" i="14"/>
  <c r="AH54" i="14"/>
  <c r="AH55" i="14"/>
  <c r="AH56" i="14"/>
  <c r="AH57" i="14"/>
  <c r="AH58" i="14"/>
  <c r="AH59" i="14"/>
  <c r="AH60" i="14"/>
  <c r="AH61" i="14"/>
  <c r="AH62" i="14"/>
  <c r="AH63" i="14"/>
  <c r="AH64" i="14"/>
  <c r="AH65" i="14"/>
  <c r="AH66" i="14"/>
  <c r="AH67" i="14"/>
  <c r="AH68" i="14"/>
  <c r="AH69" i="14"/>
  <c r="AH70" i="14"/>
  <c r="AH71" i="14"/>
  <c r="AH72" i="14"/>
  <c r="AH73" i="14"/>
  <c r="AH74" i="14"/>
  <c r="AH75" i="14"/>
  <c r="AH76" i="14"/>
  <c r="AH77" i="14"/>
  <c r="AH78" i="14"/>
  <c r="AH79" i="14"/>
  <c r="AH80" i="14"/>
  <c r="AH81" i="14"/>
  <c r="AH82" i="14"/>
  <c r="AH83" i="14"/>
  <c r="AH84" i="14"/>
  <c r="AH85" i="14"/>
  <c r="AH86" i="14"/>
  <c r="AH87" i="14"/>
  <c r="AH88" i="14"/>
  <c r="AH89" i="14"/>
  <c r="AH90" i="14"/>
  <c r="AH91" i="14"/>
  <c r="AH92" i="14"/>
  <c r="AH93" i="14"/>
  <c r="AH94" i="14"/>
  <c r="AH95" i="14"/>
  <c r="AH96" i="14"/>
  <c r="AH97" i="14"/>
  <c r="AH98" i="14"/>
  <c r="AH99" i="14"/>
  <c r="AH100" i="14"/>
  <c r="AH101" i="14"/>
  <c r="AH102" i="14"/>
  <c r="AH103" i="14"/>
  <c r="AH4" i="14"/>
  <c r="D16" i="23" l="1"/>
  <c r="D18" i="23"/>
  <c r="D20" i="23"/>
  <c r="D15" i="23"/>
  <c r="D19" i="23"/>
  <c r="D21" i="23"/>
  <c r="D17" i="23"/>
  <c r="BW14" i="14"/>
  <c r="BW15" i="14"/>
  <c r="BW16" i="14"/>
  <c r="BW17" i="14"/>
  <c r="BW18" i="14"/>
  <c r="BW19" i="14"/>
  <c r="BW20" i="14"/>
  <c r="BW21" i="14"/>
  <c r="BW22" i="14"/>
  <c r="BW23" i="14"/>
  <c r="BW24" i="14"/>
  <c r="BW25" i="14"/>
  <c r="BW26" i="14"/>
  <c r="BW27" i="14"/>
  <c r="BW28" i="14"/>
  <c r="BW29" i="14"/>
  <c r="BW30" i="14"/>
  <c r="BW31" i="14"/>
  <c r="BW32" i="14"/>
  <c r="BW33" i="14"/>
  <c r="BW34" i="14"/>
  <c r="BW35" i="14"/>
  <c r="BW36" i="14"/>
  <c r="BW37" i="14"/>
  <c r="BW38" i="14"/>
  <c r="BW39" i="14"/>
  <c r="BW40" i="14"/>
  <c r="BW41" i="14"/>
  <c r="BW42" i="14"/>
  <c r="BW43" i="14"/>
  <c r="BW44" i="14"/>
  <c r="BW45" i="14"/>
  <c r="BW46" i="14"/>
  <c r="BW47" i="14"/>
  <c r="BW48" i="14"/>
  <c r="BW49" i="14"/>
  <c r="BW50" i="14"/>
  <c r="BW51" i="14"/>
  <c r="BW52" i="14"/>
  <c r="BW53" i="14"/>
  <c r="BW54" i="14"/>
  <c r="BW55" i="14"/>
  <c r="BW56" i="14"/>
  <c r="BW57" i="14"/>
  <c r="BW58" i="14"/>
  <c r="BW59" i="14"/>
  <c r="BW60" i="14"/>
  <c r="BW61" i="14"/>
  <c r="BW62" i="14"/>
  <c r="BW63" i="14"/>
  <c r="BW64" i="14"/>
  <c r="BW65" i="14"/>
  <c r="BW66" i="14"/>
  <c r="BW67" i="14"/>
  <c r="BW68" i="14"/>
  <c r="BW69" i="14"/>
  <c r="BW70" i="14"/>
  <c r="BW71" i="14"/>
  <c r="BW72" i="14"/>
  <c r="BW73" i="14"/>
  <c r="BW74" i="14"/>
  <c r="BW75" i="14"/>
  <c r="BW76" i="14"/>
  <c r="BW77" i="14"/>
  <c r="BW78" i="14"/>
  <c r="BW79" i="14"/>
  <c r="BW80" i="14"/>
  <c r="BW81" i="14"/>
  <c r="BW82" i="14"/>
  <c r="BW83" i="14"/>
  <c r="BW84" i="14"/>
  <c r="BW85" i="14"/>
  <c r="BW86" i="14"/>
  <c r="BW87" i="14"/>
  <c r="BW88" i="14"/>
  <c r="BW89" i="14"/>
  <c r="BW90" i="14"/>
  <c r="BW91" i="14"/>
  <c r="BW92" i="14"/>
  <c r="BW93" i="14"/>
  <c r="BW94" i="14"/>
  <c r="BW95" i="14"/>
  <c r="BW96" i="14"/>
  <c r="BW97" i="14"/>
  <c r="BW98" i="14"/>
  <c r="BW99" i="14"/>
  <c r="BW100" i="14"/>
  <c r="BW101" i="14"/>
  <c r="BW102" i="14"/>
  <c r="BW103" i="14"/>
  <c r="BQ24" i="14"/>
  <c r="BQ25" i="14"/>
  <c r="BQ26" i="14"/>
  <c r="BQ27" i="14"/>
  <c r="BQ28" i="14"/>
  <c r="BQ29" i="14"/>
  <c r="BQ30" i="14"/>
  <c r="BQ31" i="14"/>
  <c r="BQ32" i="14"/>
  <c r="BQ33" i="14"/>
  <c r="BQ34" i="14"/>
  <c r="BQ35" i="14"/>
  <c r="BQ36" i="14"/>
  <c r="BQ37" i="14"/>
  <c r="BQ38" i="14"/>
  <c r="BQ39" i="14"/>
  <c r="BQ40" i="14"/>
  <c r="BQ41" i="14"/>
  <c r="BQ42" i="14"/>
  <c r="BQ43" i="14"/>
  <c r="BQ44" i="14"/>
  <c r="BQ45" i="14"/>
  <c r="BQ46" i="14"/>
  <c r="BQ47" i="14"/>
  <c r="BQ48" i="14"/>
  <c r="BQ49" i="14"/>
  <c r="BQ50" i="14"/>
  <c r="BQ51" i="14"/>
  <c r="BQ52" i="14"/>
  <c r="BQ53" i="14"/>
  <c r="BQ54" i="14"/>
  <c r="BQ55" i="14"/>
  <c r="BQ56" i="14"/>
  <c r="BQ57" i="14"/>
  <c r="BQ58" i="14"/>
  <c r="BQ59" i="14"/>
  <c r="BQ60" i="14"/>
  <c r="BQ61" i="14"/>
  <c r="BQ62" i="14"/>
  <c r="BQ63" i="14"/>
  <c r="BQ64" i="14"/>
  <c r="BQ65" i="14"/>
  <c r="BQ66" i="14"/>
  <c r="BQ67" i="14"/>
  <c r="BQ68" i="14"/>
  <c r="BQ69" i="14"/>
  <c r="BQ70" i="14"/>
  <c r="BQ71" i="14"/>
  <c r="BQ72" i="14"/>
  <c r="BQ73" i="14"/>
  <c r="BQ74" i="14"/>
  <c r="BQ75" i="14"/>
  <c r="BQ76" i="14"/>
  <c r="BQ77" i="14"/>
  <c r="BQ78" i="14"/>
  <c r="BQ79" i="14"/>
  <c r="BQ80" i="14"/>
  <c r="BQ81" i="14"/>
  <c r="BQ82" i="14"/>
  <c r="BQ83" i="14"/>
  <c r="BQ84" i="14"/>
  <c r="BQ85" i="14"/>
  <c r="BQ86" i="14"/>
  <c r="BQ87" i="14"/>
  <c r="BQ88" i="14"/>
  <c r="BQ89" i="14"/>
  <c r="BQ90" i="14"/>
  <c r="BQ91" i="14"/>
  <c r="BQ92" i="14"/>
  <c r="BQ93" i="14"/>
  <c r="BQ94" i="14"/>
  <c r="BQ95" i="14"/>
  <c r="BQ96" i="14"/>
  <c r="BQ97" i="14"/>
  <c r="BQ98" i="14"/>
  <c r="BQ99" i="14"/>
  <c r="BQ100" i="14"/>
  <c r="BQ101" i="14"/>
  <c r="BQ102" i="14"/>
  <c r="BQ103" i="14"/>
  <c r="BK34" i="14"/>
  <c r="BK35" i="14"/>
  <c r="BK36" i="14"/>
  <c r="BK37" i="14"/>
  <c r="BK38" i="14"/>
  <c r="BK39" i="14"/>
  <c r="BK40" i="14"/>
  <c r="BK41" i="14"/>
  <c r="BK42" i="14"/>
  <c r="BK43" i="14"/>
  <c r="BK44" i="14"/>
  <c r="BK45" i="14"/>
  <c r="BK46" i="14"/>
  <c r="BK47" i="14"/>
  <c r="BK48" i="14"/>
  <c r="BK49" i="14"/>
  <c r="BK50" i="14"/>
  <c r="BK51" i="14"/>
  <c r="BK52" i="14"/>
  <c r="BK53" i="14"/>
  <c r="BK54" i="14"/>
  <c r="BK55" i="14"/>
  <c r="BK56" i="14"/>
  <c r="BK57" i="14"/>
  <c r="BK58" i="14"/>
  <c r="BK59" i="14"/>
  <c r="BK60" i="14"/>
  <c r="BK61" i="14"/>
  <c r="BK62" i="14"/>
  <c r="BK63" i="14"/>
  <c r="BK64" i="14"/>
  <c r="BK65" i="14"/>
  <c r="BK66" i="14"/>
  <c r="BK67" i="14"/>
  <c r="BK68" i="14"/>
  <c r="BK69" i="14"/>
  <c r="BK70" i="14"/>
  <c r="BK71" i="14"/>
  <c r="BK72" i="14"/>
  <c r="BK73" i="14"/>
  <c r="BK74" i="14"/>
  <c r="BK75" i="14"/>
  <c r="BK76" i="14"/>
  <c r="BK77" i="14"/>
  <c r="BK78" i="14"/>
  <c r="BK79" i="14"/>
  <c r="BK80" i="14"/>
  <c r="BK81" i="14"/>
  <c r="BK82" i="14"/>
  <c r="BK83" i="14"/>
  <c r="BK84" i="14"/>
  <c r="BK85" i="14"/>
  <c r="BK86" i="14"/>
  <c r="BK87" i="14"/>
  <c r="BK88" i="14"/>
  <c r="BK89" i="14"/>
  <c r="BK90" i="14"/>
  <c r="BK91" i="14"/>
  <c r="BK92" i="14"/>
  <c r="BK93" i="14"/>
  <c r="BK94" i="14"/>
  <c r="BK95" i="14"/>
  <c r="BK96" i="14"/>
  <c r="BK97" i="14"/>
  <c r="BK98" i="14"/>
  <c r="BK99" i="14"/>
  <c r="BK100" i="14"/>
  <c r="BK101" i="14"/>
  <c r="BK102" i="14"/>
  <c r="BK103" i="14"/>
  <c r="BE44" i="14"/>
  <c r="BE45" i="14"/>
  <c r="BE46" i="14"/>
  <c r="BE47" i="14"/>
  <c r="BE48" i="14"/>
  <c r="BE49" i="14"/>
  <c r="BE50" i="14"/>
  <c r="BE51" i="14"/>
  <c r="BE52" i="14"/>
  <c r="BE53" i="14"/>
  <c r="BE54" i="14"/>
  <c r="BE55" i="14"/>
  <c r="BE56" i="14"/>
  <c r="BE57" i="14"/>
  <c r="BE58" i="14"/>
  <c r="BE59" i="14"/>
  <c r="BE60" i="14"/>
  <c r="BE61" i="14"/>
  <c r="BE62" i="14"/>
  <c r="BE63" i="14"/>
  <c r="BE64" i="14"/>
  <c r="BE65" i="14"/>
  <c r="BE66" i="14"/>
  <c r="BE67" i="14"/>
  <c r="BE68" i="14"/>
  <c r="BE69" i="14"/>
  <c r="BE70" i="14"/>
  <c r="BE71" i="14"/>
  <c r="BE72" i="14"/>
  <c r="BE73" i="14"/>
  <c r="BE74" i="14"/>
  <c r="BE75" i="14"/>
  <c r="BE76" i="14"/>
  <c r="BE77" i="14"/>
  <c r="BE78" i="14"/>
  <c r="BE79" i="14"/>
  <c r="BE80" i="14"/>
  <c r="BE81" i="14"/>
  <c r="BE82" i="14"/>
  <c r="BE83" i="14"/>
  <c r="BE84" i="14"/>
  <c r="BE85" i="14"/>
  <c r="BE86" i="14"/>
  <c r="BE87" i="14"/>
  <c r="BE88" i="14"/>
  <c r="BE89" i="14"/>
  <c r="BE90" i="14"/>
  <c r="BE91" i="14"/>
  <c r="BE92" i="14"/>
  <c r="BE93" i="14"/>
  <c r="BE94" i="14"/>
  <c r="BE95" i="14"/>
  <c r="BE96" i="14"/>
  <c r="BE97" i="14"/>
  <c r="BE98" i="14"/>
  <c r="BE99" i="14"/>
  <c r="BE100" i="14"/>
  <c r="BE101" i="14"/>
  <c r="BE102" i="14"/>
  <c r="BE103" i="14"/>
  <c r="AY55" i="14"/>
  <c r="AY56" i="14"/>
  <c r="AY57" i="14"/>
  <c r="AY58" i="14"/>
  <c r="AY59" i="14"/>
  <c r="AY60" i="14"/>
  <c r="AY61" i="14"/>
  <c r="AY62" i="14"/>
  <c r="AY63" i="14"/>
  <c r="AY64" i="14"/>
  <c r="AY65" i="14"/>
  <c r="AY66" i="14"/>
  <c r="AY67" i="14"/>
  <c r="AY68" i="14"/>
  <c r="AY69" i="14"/>
  <c r="AY70" i="14"/>
  <c r="AY71" i="14"/>
  <c r="AY72" i="14"/>
  <c r="AY73" i="14"/>
  <c r="AY74" i="14"/>
  <c r="AY75" i="14"/>
  <c r="AY76" i="14"/>
  <c r="AY77" i="14"/>
  <c r="AY78" i="14"/>
  <c r="AY79" i="14"/>
  <c r="AY80" i="14"/>
  <c r="AY81" i="14"/>
  <c r="AY82" i="14"/>
  <c r="AY83" i="14"/>
  <c r="AY84" i="14"/>
  <c r="AY85" i="14"/>
  <c r="AY86" i="14"/>
  <c r="AY87" i="14"/>
  <c r="AY88" i="14"/>
  <c r="AY89" i="14"/>
  <c r="AY90" i="14"/>
  <c r="AY91" i="14"/>
  <c r="AY92" i="14"/>
  <c r="AY93" i="14"/>
  <c r="AY94" i="14"/>
  <c r="AY95" i="14"/>
  <c r="AY96" i="14"/>
  <c r="AY97" i="14"/>
  <c r="AY98" i="14"/>
  <c r="AY99" i="14"/>
  <c r="AY100" i="14"/>
  <c r="AY101" i="14"/>
  <c r="AY102" i="14"/>
  <c r="AY103" i="14"/>
  <c r="AS64" i="14"/>
  <c r="AS65" i="14"/>
  <c r="AS66" i="14"/>
  <c r="AS67" i="14"/>
  <c r="AS68" i="14"/>
  <c r="AS69" i="14"/>
  <c r="AS70" i="14"/>
  <c r="AS71" i="14"/>
  <c r="AS72" i="14"/>
  <c r="AS73" i="14"/>
  <c r="AS74" i="14"/>
  <c r="AS75" i="14"/>
  <c r="AS76" i="14"/>
  <c r="AS77" i="14"/>
  <c r="AS78" i="14"/>
  <c r="AS79" i="14"/>
  <c r="AS80" i="14"/>
  <c r="AS81" i="14"/>
  <c r="AS82" i="14"/>
  <c r="AS83" i="14"/>
  <c r="AS84" i="14"/>
  <c r="AS85" i="14"/>
  <c r="AS86" i="14"/>
  <c r="AS87" i="14"/>
  <c r="AS88" i="14"/>
  <c r="AS89" i="14"/>
  <c r="AS90" i="14"/>
  <c r="AS91" i="14"/>
  <c r="AS92" i="14"/>
  <c r="AS93" i="14"/>
  <c r="AS94" i="14"/>
  <c r="AS95" i="14"/>
  <c r="AS96" i="14"/>
  <c r="AS97" i="14"/>
  <c r="AS98" i="14"/>
  <c r="AS99" i="14"/>
  <c r="AS100" i="14"/>
  <c r="AS101" i="14"/>
  <c r="AS102" i="14"/>
  <c r="AS103" i="14"/>
  <c r="AM74" i="14"/>
  <c r="AM75" i="14"/>
  <c r="AM76" i="14"/>
  <c r="AM77" i="14"/>
  <c r="AM78" i="14"/>
  <c r="AM79" i="14"/>
  <c r="AM80" i="14"/>
  <c r="AM81" i="14"/>
  <c r="AM82" i="14"/>
  <c r="AM83" i="14"/>
  <c r="AM84" i="14"/>
  <c r="AM85" i="14"/>
  <c r="AM86" i="14"/>
  <c r="AM87" i="14"/>
  <c r="AM88" i="14"/>
  <c r="AM89" i="14"/>
  <c r="AM90" i="14"/>
  <c r="AM91" i="14"/>
  <c r="AM92" i="14"/>
  <c r="AM93" i="14"/>
  <c r="AM94" i="14"/>
  <c r="AM95" i="14"/>
  <c r="AM96" i="14"/>
  <c r="AM97" i="14"/>
  <c r="AM98" i="14"/>
  <c r="AM99" i="14"/>
  <c r="AM100" i="14"/>
  <c r="AM101" i="14"/>
  <c r="AM102" i="14"/>
  <c r="AM103" i="14"/>
  <c r="AG84" i="14"/>
  <c r="AG85" i="14"/>
  <c r="AG86" i="14"/>
  <c r="AG87" i="14"/>
  <c r="AG88" i="14"/>
  <c r="AG89" i="14"/>
  <c r="AG90" i="14"/>
  <c r="AG91" i="14"/>
  <c r="AG92" i="14"/>
  <c r="AG93" i="14"/>
  <c r="AG94" i="14"/>
  <c r="AG95" i="14"/>
  <c r="AG96" i="14"/>
  <c r="AG97" i="14"/>
  <c r="AG98" i="14"/>
  <c r="AG99" i="14"/>
  <c r="AG100" i="14"/>
  <c r="AG101" i="14"/>
  <c r="AG102" i="14"/>
  <c r="AG103" i="14"/>
  <c r="AA88" i="14"/>
  <c r="AA89" i="14"/>
  <c r="AA90" i="14"/>
  <c r="AA91" i="14"/>
  <c r="AA92" i="14"/>
  <c r="AA93" i="14"/>
  <c r="AA94" i="14"/>
  <c r="AA95" i="14"/>
  <c r="AA96" i="14"/>
  <c r="AA97" i="14"/>
  <c r="AA98" i="14"/>
  <c r="AA99" i="14"/>
  <c r="AA100" i="14"/>
  <c r="AA101" i="14"/>
  <c r="AA102" i="14"/>
  <c r="AA103" i="14"/>
  <c r="L4" i="14"/>
  <c r="L5" i="14"/>
  <c r="L6" i="14"/>
  <c r="L7" i="14"/>
  <c r="L8" i="14"/>
  <c r="L9" i="14"/>
  <c r="L10" i="14"/>
  <c r="L11" i="14"/>
  <c r="L12" i="14"/>
  <c r="L13" i="14"/>
  <c r="L14" i="14"/>
  <c r="L15" i="14"/>
  <c r="L16" i="14"/>
  <c r="L17" i="14"/>
  <c r="L18" i="14"/>
  <c r="L19" i="14"/>
  <c r="L20" i="14"/>
  <c r="L21" i="14"/>
  <c r="L22" i="14"/>
  <c r="L23" i="14"/>
  <c r="L24" i="14"/>
  <c r="L25" i="14"/>
  <c r="L26" i="14"/>
  <c r="L27" i="14"/>
  <c r="L28" i="14"/>
  <c r="L29" i="14"/>
  <c r="L30" i="14"/>
  <c r="L31" i="14"/>
  <c r="L32" i="14"/>
  <c r="L33" i="14"/>
  <c r="L34" i="14"/>
  <c r="L35" i="14"/>
  <c r="L36" i="14"/>
  <c r="L37" i="14"/>
  <c r="L38" i="14"/>
  <c r="L39" i="14"/>
  <c r="L40" i="14"/>
  <c r="L41" i="14"/>
  <c r="L42" i="14"/>
  <c r="L43" i="14"/>
  <c r="L44" i="14"/>
  <c r="L45" i="14"/>
  <c r="L46" i="14"/>
  <c r="L47" i="14"/>
  <c r="L48" i="14"/>
  <c r="L49" i="14"/>
  <c r="L50" i="14"/>
  <c r="L51" i="14"/>
  <c r="L52" i="14"/>
  <c r="L53" i="14"/>
  <c r="L54" i="14"/>
  <c r="L55" i="14"/>
  <c r="L56" i="14"/>
  <c r="L57" i="14"/>
  <c r="L58" i="14"/>
  <c r="L59" i="14"/>
  <c r="L60" i="14"/>
  <c r="L61" i="14"/>
  <c r="L62" i="14"/>
  <c r="L63" i="14"/>
  <c r="L64" i="14"/>
  <c r="L65" i="14"/>
  <c r="L66" i="14"/>
  <c r="L67" i="14"/>
  <c r="L68" i="14"/>
  <c r="L69" i="14"/>
  <c r="L70" i="14"/>
  <c r="L71" i="14"/>
  <c r="L72" i="14"/>
  <c r="L73" i="14"/>
  <c r="L74" i="14"/>
  <c r="L75" i="14"/>
  <c r="L76" i="14"/>
  <c r="L77" i="14"/>
  <c r="L78" i="14"/>
  <c r="L79" i="14"/>
  <c r="L80" i="14"/>
  <c r="L81" i="14"/>
  <c r="L82" i="14"/>
  <c r="L83" i="14"/>
  <c r="L84" i="14"/>
  <c r="L85" i="14"/>
  <c r="L86" i="14"/>
  <c r="L87" i="14"/>
  <c r="L88" i="14"/>
  <c r="L89" i="14"/>
  <c r="L90" i="14"/>
  <c r="L91" i="14"/>
  <c r="L92" i="14"/>
  <c r="L93" i="14"/>
  <c r="L94" i="14"/>
  <c r="L95" i="14"/>
  <c r="L96" i="14"/>
  <c r="L97" i="14"/>
  <c r="L98" i="14"/>
  <c r="L99" i="14"/>
  <c r="L100" i="14"/>
  <c r="L101" i="14"/>
  <c r="L102" i="14"/>
  <c r="L103" i="14"/>
  <c r="I99" i="23" l="1" a="1"/>
  <c r="I99" i="23" s="1"/>
  <c r="H99" i="23" a="1"/>
  <c r="H99" i="23" s="1"/>
  <c r="E5" i="27" l="1"/>
  <c r="E6" i="27"/>
  <c r="E7" i="27"/>
  <c r="E8" i="27"/>
  <c r="E9" i="27"/>
  <c r="E10" i="27"/>
  <c r="E11" i="27"/>
  <c r="E12" i="27"/>
  <c r="E13" i="27"/>
  <c r="E14" i="27"/>
  <c r="E15" i="27"/>
  <c r="E16" i="27"/>
  <c r="E17" i="27"/>
  <c r="E18" i="27"/>
  <c r="E19" i="27"/>
  <c r="E20" i="27"/>
  <c r="E21" i="27"/>
  <c r="E22" i="27"/>
  <c r="E23" i="27"/>
  <c r="E24" i="27"/>
  <c r="E25" i="27"/>
  <c r="E26" i="27"/>
  <c r="E27" i="27"/>
  <c r="E28" i="27"/>
  <c r="E29" i="27"/>
  <c r="E30" i="27"/>
  <c r="E31" i="27"/>
  <c r="E32" i="27"/>
  <c r="E33" i="27"/>
  <c r="E34" i="27"/>
  <c r="E35" i="27"/>
  <c r="E36" i="27"/>
  <c r="E37" i="27"/>
  <c r="E38" i="27"/>
  <c r="E39" i="27"/>
  <c r="E40" i="27"/>
  <c r="E41" i="27"/>
  <c r="E42" i="27"/>
  <c r="E43" i="27"/>
  <c r="E44" i="27"/>
  <c r="E45" i="27"/>
  <c r="E46" i="27"/>
  <c r="E47" i="27"/>
  <c r="E48" i="27"/>
  <c r="E49" i="27"/>
  <c r="E50" i="27"/>
  <c r="E51" i="27"/>
  <c r="E52" i="27"/>
  <c r="E53" i="27"/>
  <c r="E54" i="27"/>
  <c r="E55" i="27"/>
  <c r="E56" i="27"/>
  <c r="E57" i="27"/>
  <c r="E58" i="27"/>
  <c r="E59" i="27"/>
  <c r="E60" i="27"/>
  <c r="E61" i="27"/>
  <c r="E62" i="27"/>
  <c r="E63" i="27"/>
  <c r="E64" i="27"/>
  <c r="E65" i="27"/>
  <c r="E66" i="27"/>
  <c r="E67" i="27"/>
  <c r="E68" i="27"/>
  <c r="E69" i="27"/>
  <c r="E70" i="27"/>
  <c r="E71" i="27"/>
  <c r="E72" i="27"/>
  <c r="E73" i="27"/>
  <c r="E74" i="27"/>
  <c r="E75" i="27"/>
  <c r="E76" i="27"/>
  <c r="E77" i="27"/>
  <c r="E78" i="27"/>
  <c r="E79" i="27"/>
  <c r="E80" i="27"/>
  <c r="E81" i="27"/>
  <c r="E82" i="27"/>
  <c r="E83" i="27"/>
  <c r="E84" i="27"/>
  <c r="E85" i="27"/>
  <c r="E86" i="27"/>
  <c r="E87" i="27"/>
  <c r="E88" i="27"/>
  <c r="E89" i="27"/>
  <c r="E90" i="27"/>
  <c r="E91" i="27"/>
  <c r="E92" i="27"/>
  <c r="E93" i="27"/>
  <c r="E94" i="27"/>
  <c r="E95" i="27"/>
  <c r="E96" i="27"/>
  <c r="E97" i="27"/>
  <c r="E98" i="27"/>
  <c r="E99" i="27"/>
  <c r="E100" i="27"/>
  <c r="E101" i="27"/>
  <c r="E102" i="27"/>
  <c r="E103" i="27"/>
  <c r="E104" i="27"/>
  <c r="G4" i="14" l="1"/>
  <c r="G5" i="14"/>
  <c r="G6" i="14"/>
  <c r="G7" i="14"/>
  <c r="G8" i="14"/>
  <c r="G9" i="14"/>
  <c r="G10" i="14"/>
  <c r="G11" i="14"/>
  <c r="G12" i="14"/>
  <c r="G13" i="14"/>
  <c r="G14" i="14"/>
  <c r="G15" i="14"/>
  <c r="G16" i="14"/>
  <c r="G17" i="14"/>
  <c r="G18" i="14"/>
  <c r="G19" i="14"/>
  <c r="G20" i="14"/>
  <c r="G21" i="14"/>
  <c r="G22" i="14"/>
  <c r="G23" i="14"/>
  <c r="G24" i="14"/>
  <c r="G25" i="14"/>
  <c r="G26" i="14"/>
  <c r="G27" i="14"/>
  <c r="G28" i="14"/>
  <c r="G29" i="14"/>
  <c r="G30" i="14"/>
  <c r="G31" i="14"/>
  <c r="G32" i="14"/>
  <c r="G33" i="14"/>
  <c r="G34" i="14"/>
  <c r="G35" i="14"/>
  <c r="G36" i="14"/>
  <c r="G37" i="14"/>
  <c r="G38" i="14"/>
  <c r="G39" i="14"/>
  <c r="G40" i="14"/>
  <c r="G41" i="14"/>
  <c r="G42" i="14"/>
  <c r="G43" i="14"/>
  <c r="G44" i="14"/>
  <c r="G45" i="14"/>
  <c r="G46" i="14"/>
  <c r="G47" i="14"/>
  <c r="G48" i="14"/>
  <c r="G49" i="14"/>
  <c r="G50" i="14"/>
  <c r="G51" i="14"/>
  <c r="G52" i="14"/>
  <c r="G53" i="14"/>
  <c r="G54" i="14"/>
  <c r="G55" i="14"/>
  <c r="G56" i="14"/>
  <c r="G57" i="14"/>
  <c r="G58" i="14"/>
  <c r="G59" i="14"/>
  <c r="G60" i="14"/>
  <c r="G61" i="14"/>
  <c r="G62" i="14"/>
  <c r="G63" i="14"/>
  <c r="G64" i="14"/>
  <c r="G65" i="14"/>
  <c r="G66" i="14"/>
  <c r="G67" i="14"/>
  <c r="G68" i="14"/>
  <c r="G69" i="14"/>
  <c r="G70" i="14"/>
  <c r="G71" i="14"/>
  <c r="G72" i="14"/>
  <c r="G73" i="14"/>
  <c r="G74" i="14"/>
  <c r="G75" i="14"/>
  <c r="G76" i="14"/>
  <c r="G77" i="14"/>
  <c r="G78" i="14"/>
  <c r="G79" i="14"/>
  <c r="G80" i="14"/>
  <c r="G81" i="14"/>
  <c r="G82" i="14"/>
  <c r="G83" i="14"/>
  <c r="G84" i="14"/>
  <c r="G85" i="14"/>
  <c r="G86" i="14"/>
  <c r="G87" i="14"/>
  <c r="G88" i="14"/>
  <c r="G89" i="14"/>
  <c r="G90" i="14"/>
  <c r="G91" i="14"/>
  <c r="G92" i="14"/>
  <c r="G93" i="14"/>
  <c r="G94" i="14"/>
  <c r="G95" i="14"/>
  <c r="G96" i="14"/>
  <c r="G97" i="14"/>
  <c r="G98" i="14"/>
  <c r="G99" i="14"/>
  <c r="G100" i="14"/>
  <c r="G101" i="14"/>
  <c r="G102" i="14"/>
  <c r="G103" i="14"/>
  <c r="D65" i="23" l="1"/>
  <c r="D66" i="23"/>
  <c r="D67" i="23"/>
  <c r="D57" i="23"/>
  <c r="D61" i="23"/>
  <c r="D70" i="23" a="1"/>
  <c r="D70" i="23" s="1"/>
  <c r="D62" i="23"/>
  <c r="D63" i="23"/>
  <c r="D64" i="23"/>
  <c r="BY90" i="14"/>
  <c r="CA90" i="14"/>
  <c r="BY26" i="14"/>
  <c r="CA26" i="14"/>
  <c r="BY73" i="14"/>
  <c r="CA73" i="14"/>
  <c r="BY103" i="14"/>
  <c r="CA103" i="14"/>
  <c r="BY99" i="14"/>
  <c r="CA99" i="14"/>
  <c r="CA91" i="14"/>
  <c r="BY91" i="14"/>
  <c r="CA83" i="14"/>
  <c r="BY83" i="14"/>
  <c r="BY75" i="14"/>
  <c r="CA75" i="14"/>
  <c r="BY67" i="14"/>
  <c r="CA67" i="14"/>
  <c r="CA59" i="14"/>
  <c r="BY59" i="14"/>
  <c r="CA51" i="14"/>
  <c r="BY51" i="14"/>
  <c r="BY43" i="14"/>
  <c r="CA43" i="14"/>
  <c r="CA35" i="14"/>
  <c r="BY35" i="14"/>
  <c r="BY27" i="14"/>
  <c r="CA27" i="14"/>
  <c r="CA19" i="14"/>
  <c r="BY19" i="14"/>
  <c r="CA11" i="14"/>
  <c r="BY11" i="14"/>
  <c r="BY74" i="14"/>
  <c r="CA74" i="14"/>
  <c r="BY34" i="14"/>
  <c r="CA34" i="14"/>
  <c r="BY97" i="14"/>
  <c r="CA97" i="14"/>
  <c r="BY57" i="14"/>
  <c r="CA57" i="14"/>
  <c r="BY25" i="14"/>
  <c r="CA25" i="14"/>
  <c r="BY17" i="14"/>
  <c r="CA17" i="14"/>
  <c r="BY9" i="14"/>
  <c r="CA9" i="14"/>
  <c r="BY96" i="14"/>
  <c r="CA96" i="14"/>
  <c r="BY88" i="14"/>
  <c r="CA88" i="14"/>
  <c r="BY80" i="14"/>
  <c r="CA80" i="14"/>
  <c r="BY72" i="14"/>
  <c r="CA72" i="14"/>
  <c r="BY64" i="14"/>
  <c r="CA64" i="14"/>
  <c r="BY56" i="14"/>
  <c r="CA56" i="14"/>
  <c r="BY48" i="14"/>
  <c r="CA48" i="14"/>
  <c r="BY40" i="14"/>
  <c r="CA40" i="14"/>
  <c r="BY32" i="14"/>
  <c r="CA32" i="14"/>
  <c r="BY24" i="14"/>
  <c r="CA24" i="14"/>
  <c r="BY16" i="14"/>
  <c r="CA16" i="14"/>
  <c r="BY8" i="14"/>
  <c r="CA8" i="14"/>
  <c r="BY66" i="14"/>
  <c r="CA66" i="14"/>
  <c r="BY18" i="14"/>
  <c r="CA18" i="14"/>
  <c r="BY65" i="14"/>
  <c r="CA65" i="14"/>
  <c r="BY95" i="14"/>
  <c r="CA95" i="14"/>
  <c r="BY71" i="14"/>
  <c r="CA71" i="14"/>
  <c r="BY63" i="14"/>
  <c r="CA63" i="14"/>
  <c r="BY55" i="14"/>
  <c r="CA55" i="14"/>
  <c r="BY47" i="14"/>
  <c r="CA47" i="14"/>
  <c r="BY39" i="14"/>
  <c r="CA39" i="14"/>
  <c r="BY31" i="14"/>
  <c r="CA31" i="14"/>
  <c r="BY23" i="14"/>
  <c r="CA23" i="14"/>
  <c r="BY15" i="14"/>
  <c r="CA15" i="14"/>
  <c r="BY7" i="14"/>
  <c r="CA7" i="14"/>
  <c r="BY82" i="14"/>
  <c r="CA82" i="14"/>
  <c r="BY42" i="14"/>
  <c r="CA42" i="14"/>
  <c r="BY81" i="14"/>
  <c r="CA81" i="14"/>
  <c r="BY33" i="14"/>
  <c r="CA33" i="14"/>
  <c r="CA102" i="14"/>
  <c r="BY102" i="14"/>
  <c r="CA94" i="14"/>
  <c r="BY94" i="14"/>
  <c r="CA86" i="14"/>
  <c r="BY86" i="14"/>
  <c r="CA78" i="14"/>
  <c r="BY78" i="14"/>
  <c r="CA70" i="14"/>
  <c r="BY70" i="14"/>
  <c r="BY62" i="14"/>
  <c r="CA62" i="14"/>
  <c r="CA54" i="14"/>
  <c r="BY54" i="14"/>
  <c r="CA46" i="14"/>
  <c r="BY46" i="14"/>
  <c r="CA38" i="14"/>
  <c r="BY38" i="14"/>
  <c r="CA30" i="14"/>
  <c r="BY30" i="14"/>
  <c r="CA22" i="14"/>
  <c r="BY22" i="14"/>
  <c r="BY14" i="14"/>
  <c r="CA14" i="14"/>
  <c r="CA6" i="14"/>
  <c r="BY6" i="14"/>
  <c r="BY50" i="14"/>
  <c r="CA50" i="14"/>
  <c r="BY89" i="14"/>
  <c r="CA89" i="14"/>
  <c r="BY41" i="14"/>
  <c r="CA41" i="14"/>
  <c r="BY79" i="14"/>
  <c r="CA79" i="14"/>
  <c r="CA93" i="14"/>
  <c r="BY93" i="14"/>
  <c r="CA85" i="14"/>
  <c r="BY85" i="14"/>
  <c r="CA77" i="14"/>
  <c r="BY77" i="14"/>
  <c r="CA69" i="14"/>
  <c r="BY69" i="14"/>
  <c r="CA61" i="14"/>
  <c r="BY61" i="14"/>
  <c r="CA53" i="14"/>
  <c r="BY53" i="14"/>
  <c r="CA45" i="14"/>
  <c r="BY45" i="14"/>
  <c r="CA37" i="14"/>
  <c r="BY37" i="14"/>
  <c r="CA29" i="14"/>
  <c r="BY29" i="14"/>
  <c r="CA21" i="14"/>
  <c r="BY21" i="14"/>
  <c r="CA13" i="14"/>
  <c r="BY13" i="14"/>
  <c r="CA5" i="14"/>
  <c r="BY5" i="14"/>
  <c r="BY98" i="14"/>
  <c r="CA98" i="14"/>
  <c r="BY58" i="14"/>
  <c r="CA58" i="14"/>
  <c r="BY10" i="14"/>
  <c r="CA10" i="14"/>
  <c r="BY49" i="14"/>
  <c r="CA49" i="14"/>
  <c r="BY87" i="14"/>
  <c r="CA87" i="14"/>
  <c r="CA101" i="14"/>
  <c r="BY101" i="14"/>
  <c r="BY100" i="14"/>
  <c r="CA100" i="14"/>
  <c r="CA92" i="14"/>
  <c r="BY92" i="14"/>
  <c r="CA84" i="14"/>
  <c r="BY84" i="14"/>
  <c r="BY76" i="14"/>
  <c r="CA76" i="14"/>
  <c r="CA68" i="14"/>
  <c r="BY68" i="14"/>
  <c r="CA60" i="14"/>
  <c r="BY60" i="14"/>
  <c r="CA52" i="14"/>
  <c r="BY52" i="14"/>
  <c r="BY44" i="14"/>
  <c r="CA44" i="14"/>
  <c r="CA36" i="14"/>
  <c r="BY36" i="14"/>
  <c r="CA28" i="14"/>
  <c r="BY28" i="14"/>
  <c r="CA20" i="14"/>
  <c r="BY20" i="14"/>
  <c r="CA12" i="14"/>
  <c r="BY12" i="14"/>
  <c r="CA4" i="14"/>
  <c r="BY4" i="14"/>
  <c r="D29" i="23" l="1"/>
  <c r="D188" i="23"/>
  <c r="D186" i="23"/>
  <c r="D187" i="23"/>
  <c r="D30" i="23"/>
  <c r="D13" i="23"/>
  <c r="D53" i="23"/>
  <c r="C5" i="34" s="1"/>
  <c r="C5" i="15"/>
  <c r="C6" i="15"/>
  <c r="C7" i="15"/>
  <c r="C8" i="15"/>
  <c r="C9" i="15"/>
  <c r="D9" i="15"/>
  <c r="C10" i="15"/>
  <c r="C11" i="15"/>
  <c r="C12" i="15"/>
  <c r="C13" i="15"/>
  <c r="D13" i="15"/>
  <c r="C14" i="15"/>
  <c r="C15" i="15"/>
  <c r="C16" i="15"/>
  <c r="C17" i="15"/>
  <c r="D17" i="15"/>
  <c r="C18" i="15"/>
  <c r="C19" i="15"/>
  <c r="C20" i="15"/>
  <c r="C21" i="15"/>
  <c r="D21" i="15" s="1"/>
  <c r="C22" i="15"/>
  <c r="C23" i="15"/>
  <c r="C24" i="15"/>
  <c r="C25" i="15"/>
  <c r="C26" i="15"/>
  <c r="C27" i="15"/>
  <c r="C28" i="15"/>
  <c r="C29" i="15"/>
  <c r="C30" i="15"/>
  <c r="C31" i="15"/>
  <c r="C32" i="15"/>
  <c r="C33" i="15"/>
  <c r="C34" i="15"/>
  <c r="C35" i="15"/>
  <c r="C36" i="15"/>
  <c r="C37" i="15"/>
  <c r="C38" i="15"/>
  <c r="DI4" i="15"/>
  <c r="DJ4" i="15" s="1"/>
  <c r="DC4" i="15"/>
  <c r="DD4" i="15" s="1"/>
  <c r="CS4" i="15"/>
  <c r="CT4" i="15" s="1"/>
  <c r="CO4" i="15"/>
  <c r="CP4" i="15" s="1"/>
  <c r="CE4" i="15"/>
  <c r="CF4" i="15" s="1"/>
  <c r="BU4" i="15"/>
  <c r="BV4" i="15" s="1"/>
  <c r="BO4" i="15"/>
  <c r="BP4" i="15" s="1"/>
  <c r="BE4" i="15"/>
  <c r="BF4" i="15" s="1"/>
  <c r="BA4" i="15"/>
  <c r="BB4" i="15" s="1"/>
  <c r="AQ4" i="15"/>
  <c r="AR4" i="15" s="1"/>
  <c r="AG4" i="15"/>
  <c r="AH4" i="15" s="1"/>
  <c r="AA4" i="15"/>
  <c r="AB4" i="15" s="1"/>
  <c r="G4" i="15"/>
  <c r="H4" i="15" s="1"/>
  <c r="E4" i="15"/>
  <c r="F4" i="15" s="1"/>
  <c r="C4" i="15"/>
  <c r="D4" i="15" s="1"/>
  <c r="I4" i="14"/>
  <c r="I5" i="14"/>
  <c r="I6" i="14"/>
  <c r="I7" i="14"/>
  <c r="I8" i="14"/>
  <c r="I9" i="14"/>
  <c r="I10" i="14"/>
  <c r="I11" i="14"/>
  <c r="I12" i="14"/>
  <c r="I13" i="14"/>
  <c r="I14" i="14"/>
  <c r="I15" i="14"/>
  <c r="I16" i="14"/>
  <c r="I17" i="14"/>
  <c r="I18" i="14"/>
  <c r="I19" i="14"/>
  <c r="I20" i="14"/>
  <c r="I21" i="14"/>
  <c r="I22" i="14"/>
  <c r="I23" i="14"/>
  <c r="I24" i="14"/>
  <c r="I25" i="14"/>
  <c r="I26" i="14"/>
  <c r="I27" i="14"/>
  <c r="I28" i="14"/>
  <c r="I29" i="14"/>
  <c r="I30" i="14"/>
  <c r="I31" i="14"/>
  <c r="I32" i="14"/>
  <c r="I33" i="14"/>
  <c r="I34" i="14"/>
  <c r="I35" i="14"/>
  <c r="I36" i="14"/>
  <c r="I37" i="14"/>
  <c r="I38" i="14"/>
  <c r="I39" i="14"/>
  <c r="I40" i="14"/>
  <c r="I41" i="14"/>
  <c r="I42" i="14"/>
  <c r="I43" i="14"/>
  <c r="I44" i="14"/>
  <c r="I45" i="14"/>
  <c r="I46" i="14"/>
  <c r="I47" i="14"/>
  <c r="I48" i="14"/>
  <c r="I49" i="14"/>
  <c r="I50" i="14"/>
  <c r="I51" i="14"/>
  <c r="I52" i="14"/>
  <c r="I53" i="14"/>
  <c r="I54" i="14"/>
  <c r="I55" i="14"/>
  <c r="I56" i="14"/>
  <c r="I57" i="14"/>
  <c r="I58" i="14"/>
  <c r="I59" i="14"/>
  <c r="I60" i="14"/>
  <c r="I61" i="14"/>
  <c r="I62" i="14"/>
  <c r="I63" i="14"/>
  <c r="I64" i="14"/>
  <c r="I65" i="14"/>
  <c r="I66" i="14"/>
  <c r="I67" i="14"/>
  <c r="I68" i="14"/>
  <c r="I69" i="14"/>
  <c r="I70" i="14"/>
  <c r="I71" i="14"/>
  <c r="I72" i="14"/>
  <c r="I73" i="14"/>
  <c r="I74" i="14"/>
  <c r="I75" i="14"/>
  <c r="I76" i="14"/>
  <c r="I77" i="14"/>
  <c r="I78" i="14"/>
  <c r="I79" i="14"/>
  <c r="I80" i="14"/>
  <c r="I81" i="14"/>
  <c r="I82" i="14"/>
  <c r="I83" i="14"/>
  <c r="I84" i="14"/>
  <c r="I85" i="14"/>
  <c r="I86" i="14"/>
  <c r="I87" i="14"/>
  <c r="I88" i="14"/>
  <c r="I89" i="14"/>
  <c r="I90" i="14"/>
  <c r="I91" i="14"/>
  <c r="I92" i="14"/>
  <c r="I93" i="14"/>
  <c r="I94" i="14"/>
  <c r="I95" i="14"/>
  <c r="I96" i="14"/>
  <c r="I97" i="14"/>
  <c r="I98" i="14"/>
  <c r="I99" i="14"/>
  <c r="I100" i="14"/>
  <c r="I101" i="14"/>
  <c r="I102" i="14"/>
  <c r="I103" i="14"/>
  <c r="D25" i="15" l="1"/>
  <c r="AA25" i="15"/>
  <c r="BO25" i="15"/>
  <c r="DC25" i="15"/>
  <c r="AK25" i="15"/>
  <c r="BY25" i="15"/>
  <c r="DM25" i="15"/>
  <c r="AU25" i="15"/>
  <c r="CI25" i="15"/>
  <c r="G25" i="15"/>
  <c r="BE25" i="15"/>
  <c r="CS25" i="15"/>
  <c r="BA25" i="15"/>
  <c r="BK25" i="15"/>
  <c r="CE25" i="15"/>
  <c r="BU25" i="15"/>
  <c r="E25" i="15"/>
  <c r="W25" i="15"/>
  <c r="AQ25" i="15"/>
  <c r="CO25" i="15"/>
  <c r="CY25" i="15"/>
  <c r="DI25" i="15"/>
  <c r="AG25" i="15"/>
  <c r="D32" i="15"/>
  <c r="AG32" i="15"/>
  <c r="AK4" i="15"/>
  <c r="BY4" i="15"/>
  <c r="BZ4" i="15" s="1"/>
  <c r="DM4" i="15"/>
  <c r="BE31" i="15"/>
  <c r="CS31" i="15"/>
  <c r="AA31" i="15"/>
  <c r="BU31" i="15"/>
  <c r="CE31" i="15"/>
  <c r="E31" i="15"/>
  <c r="BK23" i="15"/>
  <c r="BA23" i="15"/>
  <c r="AA17" i="15"/>
  <c r="BO17" i="15"/>
  <c r="DC17" i="15"/>
  <c r="AK17" i="15"/>
  <c r="BY17" i="15"/>
  <c r="DM17" i="15"/>
  <c r="AU17" i="15"/>
  <c r="CI17" i="15"/>
  <c r="G17" i="15"/>
  <c r="BE17" i="15"/>
  <c r="CS17" i="15"/>
  <c r="BA17" i="15"/>
  <c r="CE17" i="15"/>
  <c r="E17" i="15"/>
  <c r="BK17" i="15"/>
  <c r="CO17" i="15"/>
  <c r="BU17" i="15"/>
  <c r="W17" i="15"/>
  <c r="CY17" i="15"/>
  <c r="AG17" i="15"/>
  <c r="DI17" i="15"/>
  <c r="AQ17" i="15"/>
  <c r="D10" i="15"/>
  <c r="CI10" i="15" s="1"/>
  <c r="AK10" i="15"/>
  <c r="BY10" i="15"/>
  <c r="DM10" i="15"/>
  <c r="AU10" i="15"/>
  <c r="BE10" i="15"/>
  <c r="CS10" i="15"/>
  <c r="AA10" i="15"/>
  <c r="BO10" i="15"/>
  <c r="DC10" i="15"/>
  <c r="W10" i="15"/>
  <c r="AG10" i="15"/>
  <c r="DI10" i="15"/>
  <c r="BK10" i="15"/>
  <c r="AQ10" i="15"/>
  <c r="E10" i="15"/>
  <c r="BU10" i="15"/>
  <c r="CS33" i="15"/>
  <c r="D12" i="15"/>
  <c r="G12" i="15"/>
  <c r="BE12" i="15"/>
  <c r="CS12" i="15"/>
  <c r="AA12" i="15"/>
  <c r="BO12" i="15"/>
  <c r="DC12" i="15"/>
  <c r="AK12" i="15"/>
  <c r="BY12" i="15"/>
  <c r="DM12" i="15"/>
  <c r="AU12" i="15"/>
  <c r="CI12" i="15"/>
  <c r="AQ12" i="15"/>
  <c r="CE12" i="15"/>
  <c r="BA12" i="15"/>
  <c r="BU12" i="15"/>
  <c r="BK12" i="15"/>
  <c r="DI12" i="15"/>
  <c r="CY12" i="15"/>
  <c r="E12" i="15"/>
  <c r="W12" i="15"/>
  <c r="AG12" i="15"/>
  <c r="CO12" i="15"/>
  <c r="D24" i="15"/>
  <c r="BO24" i="15"/>
  <c r="DC24" i="15"/>
  <c r="AK24" i="15"/>
  <c r="W24" i="15"/>
  <c r="BK24" i="15"/>
  <c r="BU24" i="15"/>
  <c r="AK30" i="15"/>
  <c r="CO30" i="15"/>
  <c r="CY30" i="15"/>
  <c r="AK22" i="15"/>
  <c r="BY22" i="15"/>
  <c r="DM22" i="15"/>
  <c r="AU22" i="15"/>
  <c r="AA22" i="15"/>
  <c r="BO22" i="15"/>
  <c r="DC22" i="15"/>
  <c r="BK22" i="15"/>
  <c r="W22" i="15"/>
  <c r="AG22" i="15"/>
  <c r="BA22" i="15"/>
  <c r="CY22" i="15"/>
  <c r="D16" i="15"/>
  <c r="DC16" i="15" s="1"/>
  <c r="BE16" i="15"/>
  <c r="CS16" i="15"/>
  <c r="AA16" i="15"/>
  <c r="BO16" i="15"/>
  <c r="BY16" i="15"/>
  <c r="AU16" i="15"/>
  <c r="CI16" i="15"/>
  <c r="CE16" i="15"/>
  <c r="E16" i="15"/>
  <c r="AQ16" i="15"/>
  <c r="CY16" i="15"/>
  <c r="AG16" i="15"/>
  <c r="BU16" i="15"/>
  <c r="BA16" i="15"/>
  <c r="D18" i="15"/>
  <c r="BE18" i="15" s="1"/>
  <c r="AK18" i="15"/>
  <c r="BY18" i="15"/>
  <c r="DM18" i="15"/>
  <c r="AU18" i="15"/>
  <c r="CI18" i="15"/>
  <c r="G18" i="15"/>
  <c r="CS18" i="15"/>
  <c r="AA18" i="15"/>
  <c r="BO18" i="15"/>
  <c r="DC18" i="15"/>
  <c r="W18" i="15"/>
  <c r="CY18" i="15"/>
  <c r="AG18" i="15"/>
  <c r="DI18" i="15"/>
  <c r="AQ18" i="15"/>
  <c r="BA18" i="15"/>
  <c r="CO18" i="15"/>
  <c r="E18" i="15"/>
  <c r="BU18" i="15"/>
  <c r="CE18" i="15"/>
  <c r="D11" i="15"/>
  <c r="AU11" i="15"/>
  <c r="CI11" i="15"/>
  <c r="G11" i="15"/>
  <c r="BE11" i="15"/>
  <c r="CS11" i="15"/>
  <c r="AA11" i="15"/>
  <c r="BO11" i="15"/>
  <c r="DC11" i="15"/>
  <c r="AK11" i="15"/>
  <c r="BY11" i="15"/>
  <c r="DM11" i="15"/>
  <c r="BU11" i="15"/>
  <c r="CE11" i="15"/>
  <c r="W11" i="15"/>
  <c r="AG11" i="15"/>
  <c r="DI11" i="15"/>
  <c r="E11" i="15"/>
  <c r="CO11" i="15"/>
  <c r="CY11" i="15"/>
  <c r="AQ11" i="15"/>
  <c r="BA11" i="15"/>
  <c r="BK11" i="15"/>
  <c r="AU4" i="15"/>
  <c r="AV4" i="15" s="1"/>
  <c r="CI4" i="15"/>
  <c r="CJ4" i="15" s="1"/>
  <c r="BO37" i="15"/>
  <c r="W37" i="15"/>
  <c r="DI37" i="15"/>
  <c r="BY37" i="15"/>
  <c r="BA37" i="15"/>
  <c r="AA29" i="15"/>
  <c r="DM29" i="15"/>
  <c r="AU29" i="15"/>
  <c r="DI29" i="15"/>
  <c r="BU29" i="15"/>
  <c r="D15" i="15"/>
  <c r="AQ15" i="15"/>
  <c r="AA9" i="15"/>
  <c r="BO9" i="15"/>
  <c r="DC9" i="15"/>
  <c r="AK9" i="15"/>
  <c r="BY9" i="15"/>
  <c r="DM9" i="15"/>
  <c r="AU9" i="15"/>
  <c r="CI9" i="15"/>
  <c r="G9" i="15"/>
  <c r="BE9" i="15"/>
  <c r="CS9" i="15"/>
  <c r="BA9" i="15"/>
  <c r="BK9" i="15"/>
  <c r="E9" i="15"/>
  <c r="CO9" i="15"/>
  <c r="BU9" i="15"/>
  <c r="CE9" i="15"/>
  <c r="AG9" i="15"/>
  <c r="DI9" i="15"/>
  <c r="W9" i="15"/>
  <c r="AQ9" i="15"/>
  <c r="CY9" i="15"/>
  <c r="CI8" i="15"/>
  <c r="CE8" i="15"/>
  <c r="AG8" i="15"/>
  <c r="AQ8" i="15"/>
  <c r="D7" i="15"/>
  <c r="AU7" i="15"/>
  <c r="CI7" i="15"/>
  <c r="G7" i="15"/>
  <c r="BE7" i="15"/>
  <c r="CS7" i="15"/>
  <c r="AA7" i="15"/>
  <c r="BO7" i="15"/>
  <c r="DC7" i="15"/>
  <c r="AK7" i="15"/>
  <c r="BY7" i="15"/>
  <c r="DM7" i="15"/>
  <c r="AG7" i="15"/>
  <c r="DI7" i="15"/>
  <c r="AQ7" i="15"/>
  <c r="BU7" i="15"/>
  <c r="BA7" i="15"/>
  <c r="BK7" i="15"/>
  <c r="W7" i="15"/>
  <c r="CY7" i="15"/>
  <c r="CE7" i="15"/>
  <c r="E7" i="15"/>
  <c r="CO7" i="15"/>
  <c r="D36" i="15"/>
  <c r="BO36" i="15"/>
  <c r="DC36" i="15"/>
  <c r="AK36" i="15"/>
  <c r="BY36" i="15"/>
  <c r="AG36" i="15"/>
  <c r="CY36" i="15"/>
  <c r="AQ36" i="15"/>
  <c r="AU36" i="15"/>
  <c r="D28" i="15"/>
  <c r="DM28" i="15" s="1"/>
  <c r="G28" i="15"/>
  <c r="CY28" i="15"/>
  <c r="DI28" i="15"/>
  <c r="AA21" i="15"/>
  <c r="BO21" i="15"/>
  <c r="DC21" i="15"/>
  <c r="AK21" i="15"/>
  <c r="BY21" i="15"/>
  <c r="DM21" i="15"/>
  <c r="AU21" i="15"/>
  <c r="CI21" i="15"/>
  <c r="G21" i="15"/>
  <c r="BE21" i="15"/>
  <c r="CS21" i="15"/>
  <c r="E21" i="15"/>
  <c r="CO21" i="15"/>
  <c r="W21" i="15"/>
  <c r="CY21" i="15"/>
  <c r="AQ21" i="15"/>
  <c r="AG21" i="15"/>
  <c r="DI21" i="15"/>
  <c r="BA21" i="15"/>
  <c r="BK21" i="15"/>
  <c r="BU21" i="15"/>
  <c r="CE21" i="15"/>
  <c r="BY14" i="15"/>
  <c r="CI14" i="15"/>
  <c r="DC14" i="15"/>
  <c r="BK14" i="15"/>
  <c r="BU14" i="15"/>
  <c r="E14" i="15"/>
  <c r="BA14" i="15"/>
  <c r="D35" i="15"/>
  <c r="BO35" i="15" s="1"/>
  <c r="AU35" i="15"/>
  <c r="G35" i="15"/>
  <c r="BE35" i="15"/>
  <c r="CS35" i="15"/>
  <c r="AA35" i="15"/>
  <c r="DC35" i="15"/>
  <c r="BA35" i="15"/>
  <c r="BK35" i="15"/>
  <c r="E35" i="15"/>
  <c r="BY35" i="15"/>
  <c r="BU35" i="15"/>
  <c r="W35" i="15"/>
  <c r="AG35" i="15"/>
  <c r="CY35" i="15"/>
  <c r="DI35" i="15"/>
  <c r="AK35" i="15"/>
  <c r="AQ35" i="15"/>
  <c r="D27" i="15"/>
  <c r="AU27" i="15"/>
  <c r="CI27" i="15"/>
  <c r="G27" i="15"/>
  <c r="BE27" i="15"/>
  <c r="CS27" i="15"/>
  <c r="AA27" i="15"/>
  <c r="BO27" i="15"/>
  <c r="DC27" i="15"/>
  <c r="AK27" i="15"/>
  <c r="BY27" i="15"/>
  <c r="DM27" i="15"/>
  <c r="BU27" i="15"/>
  <c r="CE27" i="15"/>
  <c r="W27" i="15"/>
  <c r="E27" i="15"/>
  <c r="CO27" i="15"/>
  <c r="CY27" i="15"/>
  <c r="DI27" i="15"/>
  <c r="AG27" i="15"/>
  <c r="AQ27" i="15"/>
  <c r="BA27" i="15"/>
  <c r="BK27" i="15"/>
  <c r="D20" i="15"/>
  <c r="AK20" i="15" s="1"/>
  <c r="CS20" i="15"/>
  <c r="AA20" i="15"/>
  <c r="BO20" i="15"/>
  <c r="AQ20" i="15"/>
  <c r="BU20" i="15"/>
  <c r="BA20" i="15"/>
  <c r="BK20" i="15"/>
  <c r="CY20" i="15"/>
  <c r="W4" i="15"/>
  <c r="X4" i="15" s="1"/>
  <c r="BK4" i="15"/>
  <c r="BL4" i="15" s="1"/>
  <c r="CY4" i="15"/>
  <c r="CZ4" i="15" s="1"/>
  <c r="D34" i="15"/>
  <c r="AK34" i="15"/>
  <c r="BY34" i="15"/>
  <c r="DM34" i="15"/>
  <c r="AU34" i="15"/>
  <c r="CI34" i="15"/>
  <c r="G34" i="15"/>
  <c r="CS34" i="15"/>
  <c r="AG34" i="15"/>
  <c r="CY34" i="15"/>
  <c r="AQ34" i="15"/>
  <c r="BA34" i="15"/>
  <c r="DC34" i="15"/>
  <c r="DI34" i="15"/>
  <c r="BO34" i="15"/>
  <c r="CE34" i="15"/>
  <c r="CO34" i="15"/>
  <c r="W34" i="15"/>
  <c r="AA34" i="15"/>
  <c r="BU34" i="15"/>
  <c r="E34" i="15"/>
  <c r="D26" i="15"/>
  <c r="AK26" i="15"/>
  <c r="BY26" i="15"/>
  <c r="DM26" i="15"/>
  <c r="AU26" i="15"/>
  <c r="CI26" i="15"/>
  <c r="G26" i="15"/>
  <c r="BE26" i="15"/>
  <c r="CS26" i="15"/>
  <c r="AA26" i="15"/>
  <c r="BO26" i="15"/>
  <c r="DC26" i="15"/>
  <c r="W26" i="15"/>
  <c r="CY26" i="15"/>
  <c r="AG26" i="15"/>
  <c r="DI26" i="15"/>
  <c r="AQ26" i="15"/>
  <c r="BA26" i="15"/>
  <c r="BK26" i="15"/>
  <c r="CO26" i="15"/>
  <c r="BU26" i="15"/>
  <c r="E26" i="15"/>
  <c r="CE26" i="15"/>
  <c r="AU19" i="15"/>
  <c r="G19" i="15"/>
  <c r="BE19" i="15"/>
  <c r="CS19" i="15"/>
  <c r="BO19" i="15"/>
  <c r="DC19" i="15"/>
  <c r="AK19" i="15"/>
  <c r="DM19" i="15"/>
  <c r="BU19" i="15"/>
  <c r="CE19" i="15"/>
  <c r="W19" i="15"/>
  <c r="E19" i="15"/>
  <c r="CO19" i="15"/>
  <c r="BK19" i="15"/>
  <c r="AG19" i="15"/>
  <c r="BA19" i="15"/>
  <c r="AQ19" i="15"/>
  <c r="AA13" i="15"/>
  <c r="BO13" i="15"/>
  <c r="DC13" i="15"/>
  <c r="AK13" i="15"/>
  <c r="BY13" i="15"/>
  <c r="DM13" i="15"/>
  <c r="AU13" i="15"/>
  <c r="CI13" i="15"/>
  <c r="G13" i="15"/>
  <c r="BE13" i="15"/>
  <c r="CS13" i="15"/>
  <c r="E13" i="15"/>
  <c r="CO13" i="15"/>
  <c r="AQ13" i="15"/>
  <c r="W13" i="15"/>
  <c r="CY13" i="15"/>
  <c r="BA13" i="15"/>
  <c r="AG13" i="15"/>
  <c r="DI13" i="15"/>
  <c r="CE13" i="15"/>
  <c r="BK13" i="15"/>
  <c r="BU13" i="15"/>
  <c r="DM6" i="15"/>
  <c r="BK6" i="15"/>
  <c r="DI6" i="15"/>
  <c r="D5" i="15"/>
  <c r="CO5" i="15"/>
  <c r="CP5" i="15" s="1"/>
  <c r="BA5" i="15"/>
  <c r="BB5" i="15" s="1"/>
  <c r="E5" i="15"/>
  <c r="F5" i="15" s="1"/>
  <c r="CE5" i="15"/>
  <c r="CF5" i="15" s="1"/>
  <c r="AQ5" i="15"/>
  <c r="AR5" i="15" s="1"/>
  <c r="DM5" i="15"/>
  <c r="CI5" i="15"/>
  <c r="CJ5" i="15" s="1"/>
  <c r="AU5" i="15"/>
  <c r="AV5" i="15" s="1"/>
  <c r="DI5" i="15"/>
  <c r="DJ5" i="15" s="1"/>
  <c r="BU5" i="15"/>
  <c r="BV5" i="15" s="1"/>
  <c r="AG5" i="15"/>
  <c r="AH5" i="15" s="1"/>
  <c r="DC5" i="15"/>
  <c r="DD5" i="15" s="1"/>
  <c r="BO5" i="15"/>
  <c r="BP5" i="15" s="1"/>
  <c r="G5" i="15"/>
  <c r="H5" i="15" s="1"/>
  <c r="CY5" i="15"/>
  <c r="BK5" i="15"/>
  <c r="W5" i="15"/>
  <c r="CS5" i="15"/>
  <c r="CT5" i="15" s="1"/>
  <c r="BE5" i="15"/>
  <c r="BF5" i="15" s="1"/>
  <c r="BY5" i="15"/>
  <c r="D38" i="15"/>
  <c r="D31" i="15"/>
  <c r="AQ31" i="15" s="1"/>
  <c r="D23" i="15"/>
  <c r="D6" i="15"/>
  <c r="CO6" i="15" s="1"/>
  <c r="DN4" i="15"/>
  <c r="AL4" i="15"/>
  <c r="D37" i="15"/>
  <c r="BK37" i="15" s="1"/>
  <c r="D29" i="15"/>
  <c r="CY29" i="15" s="1"/>
  <c r="D30" i="15"/>
  <c r="CS30" i="15" s="1"/>
  <c r="D33" i="15"/>
  <c r="AK33" i="15" s="1"/>
  <c r="D22" i="15"/>
  <c r="CI22" i="15" s="1"/>
  <c r="D19" i="15"/>
  <c r="D14" i="15"/>
  <c r="AU14" i="15" s="1"/>
  <c r="D8" i="15"/>
  <c r="BO8" i="15" s="1"/>
  <c r="CZ5" i="15" l="1"/>
  <c r="AG38" i="15"/>
  <c r="DM38" i="15"/>
  <c r="G15" i="15"/>
  <c r="DM15" i="15"/>
  <c r="W15" i="15"/>
  <c r="BE15" i="15"/>
  <c r="AG15" i="15"/>
  <c r="CO15" i="15"/>
  <c r="CS15" i="15"/>
  <c r="DI15" i="15"/>
  <c r="CY15" i="15"/>
  <c r="AA15" i="15"/>
  <c r="BK15" i="15"/>
  <c r="CE15" i="15"/>
  <c r="G32" i="15"/>
  <c r="DM32" i="15"/>
  <c r="AU32" i="15"/>
  <c r="BE32" i="15"/>
  <c r="BK32" i="15"/>
  <c r="BA32" i="15"/>
  <c r="CS32" i="15"/>
  <c r="BU32" i="15"/>
  <c r="CO32" i="15"/>
  <c r="AA32" i="15"/>
  <c r="CE32" i="15"/>
  <c r="CY32" i="15"/>
  <c r="BA6" i="15"/>
  <c r="BY6" i="15"/>
  <c r="BU15" i="15"/>
  <c r="CI23" i="15"/>
  <c r="BY23" i="15"/>
  <c r="CY23" i="15"/>
  <c r="G23" i="15"/>
  <c r="DM23" i="15"/>
  <c r="W23" i="15"/>
  <c r="BE23" i="15"/>
  <c r="AG23" i="15"/>
  <c r="CE23" i="15"/>
  <c r="CS23" i="15"/>
  <c r="DI23" i="15"/>
  <c r="E23" i="15"/>
  <c r="BY15" i="15"/>
  <c r="E32" i="15"/>
  <c r="BU28" i="15"/>
  <c r="G24" i="15"/>
  <c r="DM24" i="15"/>
  <c r="CY24" i="15"/>
  <c r="BE24" i="15"/>
  <c r="AU24" i="15"/>
  <c r="AG24" i="15"/>
  <c r="CS24" i="15"/>
  <c r="CI24" i="15"/>
  <c r="AQ24" i="15"/>
  <c r="AA24" i="15"/>
  <c r="CE24" i="15"/>
  <c r="BA24" i="15"/>
  <c r="W20" i="15"/>
  <c r="CI20" i="15"/>
  <c r="BO14" i="15"/>
  <c r="G36" i="15"/>
  <c r="BU36" i="15"/>
  <c r="BA36" i="15"/>
  <c r="BE36" i="15"/>
  <c r="CE36" i="15"/>
  <c r="BK36" i="15"/>
  <c r="CS36" i="15"/>
  <c r="W36" i="15"/>
  <c r="DI36" i="15"/>
  <c r="AA36" i="15"/>
  <c r="E36" i="15"/>
  <c r="DM36" i="15"/>
  <c r="BU8" i="15"/>
  <c r="DC8" i="15"/>
  <c r="DC15" i="15"/>
  <c r="AU37" i="15"/>
  <c r="CY37" i="15"/>
  <c r="AA30" i="15"/>
  <c r="CO24" i="15"/>
  <c r="DI33" i="15"/>
  <c r="BY33" i="15"/>
  <c r="DC23" i="15"/>
  <c r="DM31" i="15"/>
  <c r="BY32" i="15"/>
  <c r="DC6" i="15"/>
  <c r="DD6" i="15" s="1"/>
  <c r="DD7" i="15" s="1"/>
  <c r="BE28" i="15"/>
  <c r="AU28" i="15"/>
  <c r="E28" i="15"/>
  <c r="CS28" i="15"/>
  <c r="CI28" i="15"/>
  <c r="AG28" i="15"/>
  <c r="AA28" i="15"/>
  <c r="AQ28" i="15"/>
  <c r="CE28" i="15"/>
  <c r="BO28" i="15"/>
  <c r="BA28" i="15"/>
  <c r="CO28" i="15"/>
  <c r="AQ6" i="15"/>
  <c r="AR6" i="15" s="1"/>
  <c r="AR7" i="15" s="1"/>
  <c r="AR8" i="15" s="1"/>
  <c r="AR9" i="15" s="1"/>
  <c r="AR10" i="15" s="1"/>
  <c r="AR11" i="15" s="1"/>
  <c r="AR12" i="15" s="1"/>
  <c r="AR13" i="15" s="1"/>
  <c r="AK6" i="15"/>
  <c r="BO29" i="15"/>
  <c r="BE29" i="15"/>
  <c r="AQ29" i="15"/>
  <c r="DC29" i="15"/>
  <c r="CS29" i="15"/>
  <c r="BA29" i="15"/>
  <c r="AK29" i="15"/>
  <c r="E29" i="15"/>
  <c r="CE29" i="15"/>
  <c r="BY29" i="15"/>
  <c r="CO29" i="15"/>
  <c r="BK29" i="15"/>
  <c r="CE6" i="15"/>
  <c r="CF6" i="15" s="1"/>
  <c r="CF7" i="15" s="1"/>
  <c r="CF8" i="15" s="1"/>
  <c r="CF9" i="15" s="1"/>
  <c r="AA6" i="15"/>
  <c r="AK15" i="15"/>
  <c r="BO30" i="15"/>
  <c r="AK23" i="15"/>
  <c r="BA31" i="15"/>
  <c r="CI32" i="15"/>
  <c r="BY28" i="15"/>
  <c r="BK8" i="15"/>
  <c r="BO15" i="15"/>
  <c r="W29" i="15"/>
  <c r="DM37" i="15"/>
  <c r="DI24" i="15"/>
  <c r="BU33" i="15"/>
  <c r="BO23" i="15"/>
  <c r="AK32" i="15"/>
  <c r="AU33" i="15"/>
  <c r="AG33" i="15"/>
  <c r="CI33" i="15"/>
  <c r="AQ33" i="15"/>
  <c r="AA33" i="15"/>
  <c r="G33" i="15"/>
  <c r="BA33" i="15"/>
  <c r="BO33" i="15"/>
  <c r="CE33" i="15"/>
  <c r="BE33" i="15"/>
  <c r="DM30" i="15"/>
  <c r="DC30" i="15"/>
  <c r="AG30" i="15"/>
  <c r="AU30" i="15"/>
  <c r="BK30" i="15"/>
  <c r="DI30" i="15"/>
  <c r="CI30" i="15"/>
  <c r="BU30" i="15"/>
  <c r="AQ30" i="15"/>
  <c r="G30" i="15"/>
  <c r="E30" i="15"/>
  <c r="BA30" i="15"/>
  <c r="AQ38" i="15"/>
  <c r="BK28" i="15"/>
  <c r="W33" i="15"/>
  <c r="AQ23" i="15"/>
  <c r="DC31" i="15"/>
  <c r="BK31" i="15"/>
  <c r="AU31" i="15"/>
  <c r="AK31" i="15"/>
  <c r="CO31" i="15"/>
  <c r="CI31" i="15"/>
  <c r="BY31" i="15"/>
  <c r="CY31" i="15"/>
  <c r="G31" i="15"/>
  <c r="AG31" i="15"/>
  <c r="W31" i="15"/>
  <c r="E33" i="15"/>
  <c r="DM33" i="15"/>
  <c r="DC37" i="15"/>
  <c r="AK37" i="15"/>
  <c r="G37" i="15"/>
  <c r="BU37" i="15"/>
  <c r="AQ37" i="15"/>
  <c r="BE37" i="15"/>
  <c r="AA37" i="15"/>
  <c r="CE37" i="15"/>
  <c r="CS37" i="15"/>
  <c r="AG37" i="15"/>
  <c r="CO37" i="15"/>
  <c r="CY6" i="15"/>
  <c r="CZ6" i="15" s="1"/>
  <c r="CZ7" i="15" s="1"/>
  <c r="AK8" i="15"/>
  <c r="E8" i="15"/>
  <c r="BY8" i="15"/>
  <c r="CO8" i="15"/>
  <c r="G8" i="15"/>
  <c r="DM8" i="15"/>
  <c r="DI8" i="15"/>
  <c r="BE8" i="15"/>
  <c r="AU8" i="15"/>
  <c r="W8" i="15"/>
  <c r="X5" i="15"/>
  <c r="DJ6" i="15"/>
  <c r="DJ7" i="15" s="1"/>
  <c r="CO20" i="15"/>
  <c r="AQ14" i="15"/>
  <c r="AK28" i="15"/>
  <c r="CO36" i="15"/>
  <c r="BA8" i="15"/>
  <c r="AA8" i="15"/>
  <c r="E15" i="15"/>
  <c r="CI15" i="15"/>
  <c r="G29" i="15"/>
  <c r="E37" i="15"/>
  <c r="BE30" i="15"/>
  <c r="E24" i="15"/>
  <c r="BK33" i="15"/>
  <c r="DC33" i="15"/>
  <c r="CO23" i="15"/>
  <c r="AA23" i="15"/>
  <c r="DI31" i="15"/>
  <c r="DI32" i="15"/>
  <c r="DC32" i="15"/>
  <c r="G6" i="15"/>
  <c r="H6" i="15" s="1"/>
  <c r="H7" i="15" s="1"/>
  <c r="BU6" i="15"/>
  <c r="BV6" i="15" s="1"/>
  <c r="BV7" i="15" s="1"/>
  <c r="AG6" i="15"/>
  <c r="AH6" i="15" s="1"/>
  <c r="AH7" i="15" s="1"/>
  <c r="AH8" i="15" s="1"/>
  <c r="AH9" i="15" s="1"/>
  <c r="AH10" i="15" s="1"/>
  <c r="AH11" i="15" s="1"/>
  <c r="AH12" i="15" s="1"/>
  <c r="AH13" i="15" s="1"/>
  <c r="E38" i="15"/>
  <c r="CO33" i="15"/>
  <c r="W32" i="15"/>
  <c r="BO6" i="15"/>
  <c r="BP6" i="15" s="1"/>
  <c r="BP7" i="15" s="1"/>
  <c r="BP8" i="15" s="1"/>
  <c r="BP9" i="15" s="1"/>
  <c r="BP10" i="15" s="1"/>
  <c r="BP11" i="15" s="1"/>
  <c r="BP12" i="15" s="1"/>
  <c r="BP13" i="15" s="1"/>
  <c r="BP14" i="15" s="1"/>
  <c r="CE30" i="15"/>
  <c r="G20" i="15"/>
  <c r="DM20" i="15"/>
  <c r="DI20" i="15"/>
  <c r="AG20" i="15"/>
  <c r="BE20" i="15"/>
  <c r="AU20" i="15"/>
  <c r="AG29" i="15"/>
  <c r="CS6" i="15"/>
  <c r="CT6" i="15" s="1"/>
  <c r="CT7" i="15" s="1"/>
  <c r="BB6" i="15"/>
  <c r="BB7" i="15" s="1"/>
  <c r="W6" i="15"/>
  <c r="BE6" i="15"/>
  <c r="BF6" i="15" s="1"/>
  <c r="BF7" i="15" s="1"/>
  <c r="BF8" i="15" s="1"/>
  <c r="BF9" i="15" s="1"/>
  <c r="BF10" i="15" s="1"/>
  <c r="BF11" i="15" s="1"/>
  <c r="BF12" i="15" s="1"/>
  <c r="BF13" i="15" s="1"/>
  <c r="E20" i="15"/>
  <c r="BY20" i="15"/>
  <c r="G14" i="15"/>
  <c r="W14" i="15"/>
  <c r="DI14" i="15"/>
  <c r="CO14" i="15"/>
  <c r="BE14" i="15"/>
  <c r="CS14" i="15"/>
  <c r="CY14" i="15"/>
  <c r="AK14" i="15"/>
  <c r="AA14" i="15"/>
  <c r="CE14" i="15"/>
  <c r="CP6" i="15"/>
  <c r="CP7" i="15" s="1"/>
  <c r="CP8" i="15" s="1"/>
  <c r="CP9" i="15" s="1"/>
  <c r="CI6" i="15"/>
  <c r="CJ6" i="15" s="1"/>
  <c r="CJ7" i="15" s="1"/>
  <c r="CJ8" i="15" s="1"/>
  <c r="CJ9" i="15" s="1"/>
  <c r="CJ10" i="15" s="1"/>
  <c r="CJ11" i="15" s="1"/>
  <c r="CJ12" i="15" s="1"/>
  <c r="CJ13" i="15" s="1"/>
  <c r="CJ14" i="15" s="1"/>
  <c r="CJ15" i="15" s="1"/>
  <c r="CJ16" i="15" s="1"/>
  <c r="CJ17" i="15" s="1"/>
  <c r="CJ18" i="15" s="1"/>
  <c r="CI19" i="15"/>
  <c r="BY19" i="15"/>
  <c r="CY19" i="15"/>
  <c r="BL5" i="15"/>
  <c r="BL6" i="15" s="1"/>
  <c r="BL7" i="15" s="1"/>
  <c r="AK5" i="15"/>
  <c r="AA5" i="15"/>
  <c r="AB5" i="15" s="1"/>
  <c r="E6" i="15"/>
  <c r="F6" i="15" s="1"/>
  <c r="F7" i="15" s="1"/>
  <c r="F8" i="15" s="1"/>
  <c r="F9" i="15" s="1"/>
  <c r="F10" i="15" s="1"/>
  <c r="F11" i="15" s="1"/>
  <c r="F12" i="15" s="1"/>
  <c r="F13" i="15" s="1"/>
  <c r="F14" i="15" s="1"/>
  <c r="AU6" i="15"/>
  <c r="AV6" i="15" s="1"/>
  <c r="AV7" i="15" s="1"/>
  <c r="AV8" i="15" s="1"/>
  <c r="AV9" i="15" s="1"/>
  <c r="AV10" i="15" s="1"/>
  <c r="AV11" i="15" s="1"/>
  <c r="AV12" i="15" s="1"/>
  <c r="AV13" i="15" s="1"/>
  <c r="AV14" i="15" s="1"/>
  <c r="DI19" i="15"/>
  <c r="AA19" i="15"/>
  <c r="BE34" i="15"/>
  <c r="BK34" i="15"/>
  <c r="CE20" i="15"/>
  <c r="DC20" i="15"/>
  <c r="AG14" i="15"/>
  <c r="DM14" i="15"/>
  <c r="W28" i="15"/>
  <c r="DC28" i="15"/>
  <c r="CI36" i="15"/>
  <c r="CY8" i="15"/>
  <c r="CS8" i="15"/>
  <c r="BA15" i="15"/>
  <c r="AU15" i="15"/>
  <c r="CI29" i="15"/>
  <c r="CI37" i="15"/>
  <c r="W30" i="15"/>
  <c r="BY30" i="15"/>
  <c r="BY24" i="15"/>
  <c r="CY33" i="15"/>
  <c r="BU23" i="15"/>
  <c r="AU23" i="15"/>
  <c r="BO31" i="15"/>
  <c r="AQ32" i="15"/>
  <c r="BO32" i="15"/>
  <c r="CO35" i="15"/>
  <c r="DM35" i="15"/>
  <c r="CI35" i="15"/>
  <c r="W16" i="15"/>
  <c r="DM16" i="15"/>
  <c r="G16" i="15"/>
  <c r="E22" i="15"/>
  <c r="CS22" i="15"/>
  <c r="CE22" i="15"/>
  <c r="BE22" i="15"/>
  <c r="DI16" i="15"/>
  <c r="AK16" i="15"/>
  <c r="AQ22" i="15"/>
  <c r="CO22" i="15"/>
  <c r="G22" i="15"/>
  <c r="CO10" i="15"/>
  <c r="BA10" i="15"/>
  <c r="G10" i="15"/>
  <c r="CE35" i="15"/>
  <c r="BK18" i="15"/>
  <c r="BK16" i="15"/>
  <c r="CO16" i="15"/>
  <c r="DI22" i="15"/>
  <c r="BU22" i="15"/>
  <c r="CE10" i="15"/>
  <c r="CY10" i="15"/>
  <c r="AL5" i="15"/>
  <c r="DN5" i="15"/>
  <c r="DN6" i="15" s="1"/>
  <c r="DN7" i="15" s="1"/>
  <c r="BZ5" i="15"/>
  <c r="BZ6" i="15" s="1"/>
  <c r="BZ7" i="15" s="1"/>
  <c r="CS38" i="15"/>
  <c r="BA38" i="15"/>
  <c r="CY38" i="15"/>
  <c r="AK38" i="15"/>
  <c r="BK38" i="15"/>
  <c r="BO38" i="15"/>
  <c r="DC38" i="15"/>
  <c r="BY38" i="15"/>
  <c r="CI38" i="15"/>
  <c r="W38" i="15"/>
  <c r="BE38" i="15"/>
  <c r="AU38" i="15"/>
  <c r="DI38" i="15"/>
  <c r="G38" i="15"/>
  <c r="AA38" i="15"/>
  <c r="BU38" i="15"/>
  <c r="CO38" i="15"/>
  <c r="CE38" i="15"/>
  <c r="AB6" i="15" l="1"/>
  <c r="AB7" i="15" s="1"/>
  <c r="AB8" i="15" s="1"/>
  <c r="AB9" i="15" s="1"/>
  <c r="AB10" i="15" s="1"/>
  <c r="AB11" i="15" s="1"/>
  <c r="AB12" i="15" s="1"/>
  <c r="AB13" i="15" s="1"/>
  <c r="AB14" i="15" s="1"/>
  <c r="AB15" i="15" s="1"/>
  <c r="AB16" i="15" s="1"/>
  <c r="AB17" i="15" s="1"/>
  <c r="AB18" i="15" s="1"/>
  <c r="AB19" i="15" s="1"/>
  <c r="AB20" i="15" s="1"/>
  <c r="AB21" i="15" s="1"/>
  <c r="AB22" i="15" s="1"/>
  <c r="AB23" i="15" s="1"/>
  <c r="AB24" i="15" s="1"/>
  <c r="AB25" i="15" s="1"/>
  <c r="AB26" i="15" s="1"/>
  <c r="AB27" i="15" s="1"/>
  <c r="AB28" i="15" s="1"/>
  <c r="AB29" i="15" s="1"/>
  <c r="AB30" i="15" s="1"/>
  <c r="AB31" i="15" s="1"/>
  <c r="AB32" i="15" s="1"/>
  <c r="AB33" i="15" s="1"/>
  <c r="AB34" i="15" s="1"/>
  <c r="AB35" i="15" s="1"/>
  <c r="AB36" i="15" s="1"/>
  <c r="AB37" i="15" s="1"/>
  <c r="AB38" i="15" s="1"/>
  <c r="BP15" i="15"/>
  <c r="BP16" i="15" s="1"/>
  <c r="BP17" i="15" s="1"/>
  <c r="BP18" i="15" s="1"/>
  <c r="BP19" i="15" s="1"/>
  <c r="BP20" i="15" s="1"/>
  <c r="BP21" i="15" s="1"/>
  <c r="BP22" i="15" s="1"/>
  <c r="BP23" i="15" s="1"/>
  <c r="BP24" i="15" s="1"/>
  <c r="BP25" i="15" s="1"/>
  <c r="BP26" i="15" s="1"/>
  <c r="BP27" i="15" s="1"/>
  <c r="BP28" i="15" s="1"/>
  <c r="BP29" i="15" s="1"/>
  <c r="BP30" i="15" s="1"/>
  <c r="BP31" i="15" s="1"/>
  <c r="BP32" i="15" s="1"/>
  <c r="BP33" i="15" s="1"/>
  <c r="BP34" i="15" s="1"/>
  <c r="BP35" i="15" s="1"/>
  <c r="BP36" i="15" s="1"/>
  <c r="BP37" i="15" s="1"/>
  <c r="BP38" i="15" s="1"/>
  <c r="BV8" i="15"/>
  <c r="BV9" i="15" s="1"/>
  <c r="BV10" i="15" s="1"/>
  <c r="BV11" i="15" s="1"/>
  <c r="BV12" i="15" s="1"/>
  <c r="BV13" i="15" s="1"/>
  <c r="BV14" i="15" s="1"/>
  <c r="BV15" i="15" s="1"/>
  <c r="BV16" i="15" s="1"/>
  <c r="BV17" i="15" s="1"/>
  <c r="BV18" i="15" s="1"/>
  <c r="BV19" i="15" s="1"/>
  <c r="BV20" i="15" s="1"/>
  <c r="BV21" i="15" s="1"/>
  <c r="BV22" i="15" s="1"/>
  <c r="BV23" i="15" s="1"/>
  <c r="BV24" i="15" s="1"/>
  <c r="BV25" i="15" s="1"/>
  <c r="BV26" i="15" s="1"/>
  <c r="BV27" i="15" s="1"/>
  <c r="BV28" i="15" s="1"/>
  <c r="BV29" i="15" s="1"/>
  <c r="BV30" i="15" s="1"/>
  <c r="BV31" i="15" s="1"/>
  <c r="BV32" i="15" s="1"/>
  <c r="BV33" i="15" s="1"/>
  <c r="BV34" i="15" s="1"/>
  <c r="BV35" i="15" s="1"/>
  <c r="BV36" i="15" s="1"/>
  <c r="BV37" i="15" s="1"/>
  <c r="BV38" i="15" s="1"/>
  <c r="DD8" i="15"/>
  <c r="DD9" i="15" s="1"/>
  <c r="DD10" i="15" s="1"/>
  <c r="DD11" i="15" s="1"/>
  <c r="DD12" i="15" s="1"/>
  <c r="DD13" i="15" s="1"/>
  <c r="DD14" i="15" s="1"/>
  <c r="DD15" i="15" s="1"/>
  <c r="DD16" i="15" s="1"/>
  <c r="DD17" i="15" s="1"/>
  <c r="DD18" i="15" s="1"/>
  <c r="DD19" i="15" s="1"/>
  <c r="DD20" i="15" s="1"/>
  <c r="DD21" i="15" s="1"/>
  <c r="DD22" i="15" s="1"/>
  <c r="DD23" i="15" s="1"/>
  <c r="DD24" i="15" s="1"/>
  <c r="DD25" i="15" s="1"/>
  <c r="DD26" i="15" s="1"/>
  <c r="DD27" i="15" s="1"/>
  <c r="DD28" i="15" s="1"/>
  <c r="DD29" i="15" s="1"/>
  <c r="DD30" i="15" s="1"/>
  <c r="DD31" i="15" s="1"/>
  <c r="DD32" i="15" s="1"/>
  <c r="DD33" i="15" s="1"/>
  <c r="DD34" i="15" s="1"/>
  <c r="DD35" i="15" s="1"/>
  <c r="DD36" i="15" s="1"/>
  <c r="DD37" i="15" s="1"/>
  <c r="DD38" i="15" s="1"/>
  <c r="CZ8" i="15"/>
  <c r="CZ9" i="15" s="1"/>
  <c r="CZ10" i="15" s="1"/>
  <c r="CZ11" i="15" s="1"/>
  <c r="CZ12" i="15" s="1"/>
  <c r="CZ13" i="15" s="1"/>
  <c r="CZ14" i="15" s="1"/>
  <c r="CZ15" i="15" s="1"/>
  <c r="CZ16" i="15" s="1"/>
  <c r="CZ17" i="15" s="1"/>
  <c r="CZ18" i="15" s="1"/>
  <c r="CZ19" i="15" s="1"/>
  <c r="CZ20" i="15" s="1"/>
  <c r="CZ21" i="15" s="1"/>
  <c r="CZ22" i="15" s="1"/>
  <c r="CZ23" i="15" s="1"/>
  <c r="CZ24" i="15" s="1"/>
  <c r="CZ25" i="15" s="1"/>
  <c r="CZ26" i="15" s="1"/>
  <c r="CZ27" i="15" s="1"/>
  <c r="CZ28" i="15" s="1"/>
  <c r="CZ29" i="15" s="1"/>
  <c r="CZ30" i="15" s="1"/>
  <c r="CZ31" i="15" s="1"/>
  <c r="CZ32" i="15" s="1"/>
  <c r="CZ33" i="15" s="1"/>
  <c r="CZ34" i="15" s="1"/>
  <c r="CZ35" i="15" s="1"/>
  <c r="CZ36" i="15" s="1"/>
  <c r="CZ37" i="15" s="1"/>
  <c r="CZ38" i="15" s="1"/>
  <c r="BF14" i="15"/>
  <c r="BF15" i="15" s="1"/>
  <c r="BF16" i="15" s="1"/>
  <c r="BF17" i="15" s="1"/>
  <c r="BF18" i="15" s="1"/>
  <c r="BF19" i="15" s="1"/>
  <c r="BF20" i="15" s="1"/>
  <c r="BF21" i="15" s="1"/>
  <c r="BF22" i="15" s="1"/>
  <c r="BF23" i="15" s="1"/>
  <c r="BF24" i="15" s="1"/>
  <c r="BF25" i="15" s="1"/>
  <c r="BF26" i="15" s="1"/>
  <c r="BF27" i="15" s="1"/>
  <c r="BF28" i="15" s="1"/>
  <c r="BF29" i="15" s="1"/>
  <c r="BF30" i="15" s="1"/>
  <c r="BF31" i="15" s="1"/>
  <c r="BF32" i="15" s="1"/>
  <c r="BF33" i="15" s="1"/>
  <c r="BF34" i="15" s="1"/>
  <c r="BF35" i="15" s="1"/>
  <c r="BF36" i="15" s="1"/>
  <c r="BF37" i="15" s="1"/>
  <c r="BF38" i="15" s="1"/>
  <c r="AH14" i="15"/>
  <c r="AH15" i="15" s="1"/>
  <c r="AH16" i="15" s="1"/>
  <c r="AH17" i="15" s="1"/>
  <c r="AH18" i="15" s="1"/>
  <c r="AH19" i="15" s="1"/>
  <c r="AH20" i="15" s="1"/>
  <c r="AH21" i="15" s="1"/>
  <c r="AH22" i="15" s="1"/>
  <c r="AH23" i="15" s="1"/>
  <c r="AH24" i="15" s="1"/>
  <c r="AH25" i="15" s="1"/>
  <c r="AH26" i="15" s="1"/>
  <c r="AH27" i="15" s="1"/>
  <c r="AH28" i="15" s="1"/>
  <c r="AH29" i="15" s="1"/>
  <c r="AH30" i="15" s="1"/>
  <c r="AH31" i="15" s="1"/>
  <c r="AH32" i="15" s="1"/>
  <c r="AH33" i="15" s="1"/>
  <c r="AH34" i="15" s="1"/>
  <c r="AH35" i="15" s="1"/>
  <c r="AH36" i="15" s="1"/>
  <c r="AH37" i="15" s="1"/>
  <c r="AH38" i="15" s="1"/>
  <c r="AV15" i="15"/>
  <c r="AV16" i="15" s="1"/>
  <c r="AV17" i="15" s="1"/>
  <c r="AV18" i="15" s="1"/>
  <c r="AV19" i="15" s="1"/>
  <c r="AV20" i="15" s="1"/>
  <c r="AV21" i="15" s="1"/>
  <c r="AV22" i="15" s="1"/>
  <c r="AV23" i="15" s="1"/>
  <c r="AV24" i="15" s="1"/>
  <c r="AV25" i="15" s="1"/>
  <c r="AV26" i="15" s="1"/>
  <c r="AV27" i="15" s="1"/>
  <c r="AV28" i="15" s="1"/>
  <c r="AV29" i="15" s="1"/>
  <c r="AV30" i="15" s="1"/>
  <c r="AV31" i="15" s="1"/>
  <c r="AV32" i="15" s="1"/>
  <c r="AV33" i="15" s="1"/>
  <c r="AV34" i="15" s="1"/>
  <c r="AV35" i="15" s="1"/>
  <c r="AV36" i="15" s="1"/>
  <c r="AV37" i="15" s="1"/>
  <c r="AV38" i="15" s="1"/>
  <c r="CJ19" i="15"/>
  <c r="CJ20" i="15" s="1"/>
  <c r="CJ21" i="15" s="1"/>
  <c r="CJ22" i="15" s="1"/>
  <c r="CJ23" i="15" s="1"/>
  <c r="CJ24" i="15" s="1"/>
  <c r="CJ25" i="15" s="1"/>
  <c r="CJ26" i="15" s="1"/>
  <c r="CJ27" i="15" s="1"/>
  <c r="CJ28" i="15" s="1"/>
  <c r="CJ29" i="15" s="1"/>
  <c r="CJ30" i="15" s="1"/>
  <c r="CJ31" i="15" s="1"/>
  <c r="CJ32" i="15" s="1"/>
  <c r="CJ33" i="15" s="1"/>
  <c r="CJ34" i="15" s="1"/>
  <c r="CJ35" i="15" s="1"/>
  <c r="CJ36" i="15" s="1"/>
  <c r="CJ37" i="15" s="1"/>
  <c r="CJ38" i="15" s="1"/>
  <c r="BB8" i="15"/>
  <c r="BB9" i="15" s="1"/>
  <c r="BB10" i="15" s="1"/>
  <c r="BB11" i="15" s="1"/>
  <c r="BB12" i="15" s="1"/>
  <c r="BB13" i="15" s="1"/>
  <c r="BB14" i="15" s="1"/>
  <c r="BB15" i="15" s="1"/>
  <c r="BB16" i="15" s="1"/>
  <c r="BB17" i="15" s="1"/>
  <c r="BB18" i="15" s="1"/>
  <c r="BB19" i="15" s="1"/>
  <c r="BB20" i="15" s="1"/>
  <c r="BB21" i="15" s="1"/>
  <c r="BB22" i="15" s="1"/>
  <c r="BB23" i="15" s="1"/>
  <c r="BB24" i="15" s="1"/>
  <c r="BB25" i="15" s="1"/>
  <c r="BB26" i="15" s="1"/>
  <c r="BB27" i="15" s="1"/>
  <c r="BB28" i="15" s="1"/>
  <c r="BB29" i="15" s="1"/>
  <c r="BB30" i="15" s="1"/>
  <c r="BB31" i="15" s="1"/>
  <c r="BB32" i="15" s="1"/>
  <c r="BB33" i="15" s="1"/>
  <c r="BB34" i="15" s="1"/>
  <c r="BB35" i="15" s="1"/>
  <c r="BB36" i="15" s="1"/>
  <c r="BB37" i="15" s="1"/>
  <c r="BB38" i="15" s="1"/>
  <c r="BZ8" i="15"/>
  <c r="BZ9" i="15" s="1"/>
  <c r="BZ10" i="15" s="1"/>
  <c r="BZ11" i="15" s="1"/>
  <c r="BZ12" i="15" s="1"/>
  <c r="BZ13" i="15" s="1"/>
  <c r="BZ14" i="15" s="1"/>
  <c r="BZ15" i="15" s="1"/>
  <c r="BZ16" i="15" s="1"/>
  <c r="BZ17" i="15" s="1"/>
  <c r="BZ18" i="15" s="1"/>
  <c r="BZ19" i="15" s="1"/>
  <c r="BZ20" i="15" s="1"/>
  <c r="BZ21" i="15" s="1"/>
  <c r="BZ22" i="15" s="1"/>
  <c r="BZ23" i="15" s="1"/>
  <c r="BZ24" i="15" s="1"/>
  <c r="BZ25" i="15" s="1"/>
  <c r="BZ26" i="15" s="1"/>
  <c r="BZ27" i="15" s="1"/>
  <c r="BZ28" i="15" s="1"/>
  <c r="BZ29" i="15" s="1"/>
  <c r="BZ30" i="15" s="1"/>
  <c r="BZ31" i="15" s="1"/>
  <c r="BZ32" i="15" s="1"/>
  <c r="BZ33" i="15" s="1"/>
  <c r="BZ34" i="15" s="1"/>
  <c r="BZ35" i="15" s="1"/>
  <c r="BZ36" i="15" s="1"/>
  <c r="BZ37" i="15" s="1"/>
  <c r="BZ38" i="15" s="1"/>
  <c r="F15" i="15"/>
  <c r="F16" i="15" s="1"/>
  <c r="F17" i="15" s="1"/>
  <c r="F18" i="15" s="1"/>
  <c r="F19" i="15" s="1"/>
  <c r="F20" i="15" s="1"/>
  <c r="F21" i="15" s="1"/>
  <c r="F22" i="15" s="1"/>
  <c r="F23" i="15" s="1"/>
  <c r="F24" i="15" s="1"/>
  <c r="F25" i="15" s="1"/>
  <c r="F26" i="15" s="1"/>
  <c r="F27" i="15" s="1"/>
  <c r="F28" i="15" s="1"/>
  <c r="F29" i="15" s="1"/>
  <c r="F30" i="15" s="1"/>
  <c r="F31" i="15" s="1"/>
  <c r="F32" i="15" s="1"/>
  <c r="F33" i="15" s="1"/>
  <c r="F34" i="15" s="1"/>
  <c r="F35" i="15" s="1"/>
  <c r="F36" i="15" s="1"/>
  <c r="F37" i="15" s="1"/>
  <c r="F38" i="15" s="1"/>
  <c r="CP10" i="15"/>
  <c r="CP11" i="15" s="1"/>
  <c r="CP12" i="15" s="1"/>
  <c r="CP13" i="15" s="1"/>
  <c r="CP14" i="15" s="1"/>
  <c r="CP15" i="15" s="1"/>
  <c r="CP16" i="15" s="1"/>
  <c r="CP17" i="15" s="1"/>
  <c r="CP18" i="15" s="1"/>
  <c r="CP19" i="15" s="1"/>
  <c r="CP20" i="15" s="1"/>
  <c r="CP21" i="15" s="1"/>
  <c r="CP22" i="15" s="1"/>
  <c r="CP23" i="15" s="1"/>
  <c r="CP24" i="15" s="1"/>
  <c r="CP25" i="15" s="1"/>
  <c r="CP26" i="15" s="1"/>
  <c r="CP27" i="15" s="1"/>
  <c r="CP28" i="15" s="1"/>
  <c r="CP29" i="15" s="1"/>
  <c r="CP30" i="15" s="1"/>
  <c r="CP31" i="15" s="1"/>
  <c r="CP32" i="15" s="1"/>
  <c r="CP33" i="15" s="1"/>
  <c r="CP34" i="15" s="1"/>
  <c r="CP35" i="15" s="1"/>
  <c r="CP36" i="15" s="1"/>
  <c r="CP37" i="15" s="1"/>
  <c r="CP38" i="15" s="1"/>
  <c r="CT8" i="15"/>
  <c r="CT9" i="15" s="1"/>
  <c r="CT10" i="15" s="1"/>
  <c r="CT11" i="15" s="1"/>
  <c r="CT12" i="15" s="1"/>
  <c r="CT13" i="15" s="1"/>
  <c r="CT14" i="15" s="1"/>
  <c r="CT15" i="15" s="1"/>
  <c r="CT16" i="15" s="1"/>
  <c r="CT17" i="15" s="1"/>
  <c r="CT18" i="15" s="1"/>
  <c r="CT19" i="15" s="1"/>
  <c r="CT20" i="15" s="1"/>
  <c r="CT21" i="15" s="1"/>
  <c r="CT22" i="15" s="1"/>
  <c r="CT23" i="15" s="1"/>
  <c r="CT24" i="15" s="1"/>
  <c r="CT25" i="15" s="1"/>
  <c r="CT26" i="15" s="1"/>
  <c r="CT27" i="15" s="1"/>
  <c r="CT28" i="15" s="1"/>
  <c r="CT29" i="15" s="1"/>
  <c r="CT30" i="15" s="1"/>
  <c r="CT31" i="15" s="1"/>
  <c r="CT32" i="15" s="1"/>
  <c r="CT33" i="15" s="1"/>
  <c r="CT34" i="15" s="1"/>
  <c r="CT35" i="15" s="1"/>
  <c r="CT36" i="15" s="1"/>
  <c r="CT37" i="15" s="1"/>
  <c r="CT38" i="15" s="1"/>
  <c r="AR14" i="15"/>
  <c r="AR15" i="15" s="1"/>
  <c r="AR16" i="15" s="1"/>
  <c r="AR17" i="15" s="1"/>
  <c r="AR18" i="15" s="1"/>
  <c r="AR19" i="15" s="1"/>
  <c r="AR20" i="15" s="1"/>
  <c r="AR21" i="15" s="1"/>
  <c r="AR22" i="15" s="1"/>
  <c r="AR23" i="15" s="1"/>
  <c r="AR24" i="15" s="1"/>
  <c r="AR25" i="15" s="1"/>
  <c r="AR26" i="15" s="1"/>
  <c r="AR27" i="15" s="1"/>
  <c r="AR28" i="15" s="1"/>
  <c r="AR29" i="15" s="1"/>
  <c r="AR30" i="15" s="1"/>
  <c r="AR31" i="15" s="1"/>
  <c r="AR32" i="15" s="1"/>
  <c r="AR33" i="15" s="1"/>
  <c r="AR34" i="15" s="1"/>
  <c r="AR35" i="15" s="1"/>
  <c r="AR36" i="15" s="1"/>
  <c r="AR37" i="15" s="1"/>
  <c r="AR38" i="15" s="1"/>
  <c r="H8" i="15"/>
  <c r="H9" i="15" s="1"/>
  <c r="H10" i="15" s="1"/>
  <c r="H11" i="15" s="1"/>
  <c r="H12" i="15" s="1"/>
  <c r="H13" i="15" s="1"/>
  <c r="H14" i="15" s="1"/>
  <c r="H15" i="15" s="1"/>
  <c r="H16" i="15" s="1"/>
  <c r="H17" i="15" s="1"/>
  <c r="H18" i="15" s="1"/>
  <c r="H19" i="15" s="1"/>
  <c r="H20" i="15" s="1"/>
  <c r="H21" i="15" s="1"/>
  <c r="H22" i="15" s="1"/>
  <c r="H23" i="15" s="1"/>
  <c r="H24" i="15" s="1"/>
  <c r="H25" i="15" s="1"/>
  <c r="H26" i="15" s="1"/>
  <c r="H27" i="15" s="1"/>
  <c r="H28" i="15" s="1"/>
  <c r="H29" i="15" s="1"/>
  <c r="H30" i="15" s="1"/>
  <c r="H31" i="15" s="1"/>
  <c r="H32" i="15" s="1"/>
  <c r="H33" i="15" s="1"/>
  <c r="H34" i="15" s="1"/>
  <c r="H35" i="15" s="1"/>
  <c r="H36" i="15" s="1"/>
  <c r="H37" i="15" s="1"/>
  <c r="H38" i="15" s="1"/>
  <c r="DN8" i="15"/>
  <c r="DN9" i="15" s="1"/>
  <c r="DN10" i="15" s="1"/>
  <c r="DN11" i="15" s="1"/>
  <c r="DN12" i="15" s="1"/>
  <c r="DN13" i="15" s="1"/>
  <c r="DN14" i="15" s="1"/>
  <c r="DN15" i="15" s="1"/>
  <c r="DN16" i="15" s="1"/>
  <c r="DN17" i="15" s="1"/>
  <c r="DN18" i="15" s="1"/>
  <c r="DN19" i="15" s="1"/>
  <c r="DN20" i="15" s="1"/>
  <c r="DN21" i="15" s="1"/>
  <c r="DN22" i="15" s="1"/>
  <c r="DN23" i="15" s="1"/>
  <c r="DN24" i="15" s="1"/>
  <c r="DN25" i="15" s="1"/>
  <c r="DN26" i="15" s="1"/>
  <c r="DN27" i="15" s="1"/>
  <c r="DN28" i="15" s="1"/>
  <c r="DN29" i="15" s="1"/>
  <c r="DN30" i="15" s="1"/>
  <c r="DN31" i="15" s="1"/>
  <c r="DN32" i="15" s="1"/>
  <c r="DN33" i="15" s="1"/>
  <c r="DN34" i="15" s="1"/>
  <c r="DN35" i="15" s="1"/>
  <c r="DN36" i="15" s="1"/>
  <c r="DN37" i="15" s="1"/>
  <c r="DN38" i="15" s="1"/>
  <c r="AL6" i="15"/>
  <c r="AL7" i="15" s="1"/>
  <c r="AL8" i="15" s="1"/>
  <c r="AL9" i="15" s="1"/>
  <c r="AL10" i="15" s="1"/>
  <c r="AL11" i="15" s="1"/>
  <c r="AL12" i="15" s="1"/>
  <c r="AL13" i="15" s="1"/>
  <c r="AL14" i="15" s="1"/>
  <c r="AL15" i="15" s="1"/>
  <c r="AL16" i="15" s="1"/>
  <c r="AL17" i="15" s="1"/>
  <c r="AL18" i="15" s="1"/>
  <c r="AL19" i="15" s="1"/>
  <c r="AL20" i="15" s="1"/>
  <c r="AL21" i="15" s="1"/>
  <c r="AL22" i="15" s="1"/>
  <c r="AL23" i="15" s="1"/>
  <c r="AL24" i="15" s="1"/>
  <c r="AL25" i="15" s="1"/>
  <c r="AL26" i="15" s="1"/>
  <c r="AL27" i="15" s="1"/>
  <c r="AL28" i="15" s="1"/>
  <c r="AL29" i="15" s="1"/>
  <c r="AL30" i="15" s="1"/>
  <c r="AL31" i="15" s="1"/>
  <c r="AL32" i="15" s="1"/>
  <c r="AL33" i="15" s="1"/>
  <c r="AL34" i="15" s="1"/>
  <c r="AL35" i="15" s="1"/>
  <c r="AL36" i="15" s="1"/>
  <c r="AL37" i="15" s="1"/>
  <c r="AL38" i="15" s="1"/>
  <c r="CF10" i="15"/>
  <c r="CF11" i="15" s="1"/>
  <c r="CF12" i="15" s="1"/>
  <c r="CF13" i="15" s="1"/>
  <c r="CF14" i="15" s="1"/>
  <c r="CF15" i="15" s="1"/>
  <c r="CF16" i="15" s="1"/>
  <c r="CF17" i="15" s="1"/>
  <c r="CF18" i="15" s="1"/>
  <c r="CF19" i="15" s="1"/>
  <c r="CF20" i="15" s="1"/>
  <c r="CF21" i="15" s="1"/>
  <c r="CF22" i="15" s="1"/>
  <c r="CF23" i="15" s="1"/>
  <c r="CF24" i="15" s="1"/>
  <c r="CF25" i="15" s="1"/>
  <c r="CF26" i="15" s="1"/>
  <c r="CF27" i="15" s="1"/>
  <c r="CF28" i="15" s="1"/>
  <c r="CF29" i="15" s="1"/>
  <c r="CF30" i="15" s="1"/>
  <c r="CF31" i="15" s="1"/>
  <c r="CF32" i="15" s="1"/>
  <c r="CF33" i="15" s="1"/>
  <c r="CF34" i="15" s="1"/>
  <c r="CF35" i="15" s="1"/>
  <c r="CF36" i="15" s="1"/>
  <c r="CF37" i="15" s="1"/>
  <c r="CF38" i="15" s="1"/>
  <c r="X6" i="15"/>
  <c r="X7" i="15" s="1"/>
  <c r="X8" i="15" s="1"/>
  <c r="X9" i="15" s="1"/>
  <c r="X10" i="15" s="1"/>
  <c r="X11" i="15" s="1"/>
  <c r="X12" i="15" s="1"/>
  <c r="X13" i="15" s="1"/>
  <c r="X14" i="15" s="1"/>
  <c r="X15" i="15" s="1"/>
  <c r="X16" i="15" s="1"/>
  <c r="X17" i="15" s="1"/>
  <c r="X18" i="15" s="1"/>
  <c r="X19" i="15" s="1"/>
  <c r="X20" i="15" s="1"/>
  <c r="X21" i="15" s="1"/>
  <c r="X22" i="15" s="1"/>
  <c r="X23" i="15" s="1"/>
  <c r="X24" i="15" s="1"/>
  <c r="X25" i="15" s="1"/>
  <c r="X26" i="15" s="1"/>
  <c r="X27" i="15" s="1"/>
  <c r="X28" i="15" s="1"/>
  <c r="X29" i="15" s="1"/>
  <c r="X30" i="15" s="1"/>
  <c r="X31" i="15" s="1"/>
  <c r="X32" i="15" s="1"/>
  <c r="X33" i="15" s="1"/>
  <c r="X34" i="15" s="1"/>
  <c r="X35" i="15" s="1"/>
  <c r="X36" i="15" s="1"/>
  <c r="X37" i="15" s="1"/>
  <c r="X38" i="15" s="1"/>
  <c r="BL8" i="15"/>
  <c r="BL9" i="15" s="1"/>
  <c r="BL10" i="15" s="1"/>
  <c r="BL11" i="15" s="1"/>
  <c r="BL12" i="15" s="1"/>
  <c r="BL13" i="15" s="1"/>
  <c r="BL14" i="15" s="1"/>
  <c r="BL15" i="15" s="1"/>
  <c r="BL16" i="15" s="1"/>
  <c r="BL17" i="15" s="1"/>
  <c r="BL18" i="15" s="1"/>
  <c r="BL19" i="15" s="1"/>
  <c r="BL20" i="15" s="1"/>
  <c r="BL21" i="15" s="1"/>
  <c r="BL22" i="15" s="1"/>
  <c r="BL23" i="15" s="1"/>
  <c r="BL24" i="15" s="1"/>
  <c r="BL25" i="15" s="1"/>
  <c r="BL26" i="15" s="1"/>
  <c r="BL27" i="15" s="1"/>
  <c r="BL28" i="15" s="1"/>
  <c r="BL29" i="15" s="1"/>
  <c r="BL30" i="15" s="1"/>
  <c r="BL31" i="15" s="1"/>
  <c r="BL32" i="15" s="1"/>
  <c r="BL33" i="15" s="1"/>
  <c r="BL34" i="15" s="1"/>
  <c r="BL35" i="15" s="1"/>
  <c r="BL36" i="15" s="1"/>
  <c r="BL37" i="15" s="1"/>
  <c r="BL38" i="15" s="1"/>
  <c r="DJ8" i="15"/>
  <c r="DJ9" i="15" s="1"/>
  <c r="DJ10" i="15" s="1"/>
  <c r="DJ11" i="15" s="1"/>
  <c r="DJ12" i="15" s="1"/>
  <c r="DJ13" i="15" s="1"/>
  <c r="DJ14" i="15" s="1"/>
  <c r="DJ15" i="15" s="1"/>
  <c r="DJ16" i="15" s="1"/>
  <c r="DJ17" i="15" s="1"/>
  <c r="DJ18" i="15" s="1"/>
  <c r="DJ19" i="15" s="1"/>
  <c r="DJ20" i="15" s="1"/>
  <c r="DJ21" i="15" s="1"/>
  <c r="DJ22" i="15" s="1"/>
  <c r="DJ23" i="15" s="1"/>
  <c r="DJ24" i="15" s="1"/>
  <c r="DJ25" i="15" s="1"/>
  <c r="DJ26" i="15" s="1"/>
  <c r="DJ27" i="15" s="1"/>
  <c r="DJ28" i="15" s="1"/>
  <c r="DJ29" i="15" s="1"/>
  <c r="DJ30" i="15" s="1"/>
  <c r="DJ31" i="15" s="1"/>
  <c r="DJ32" i="15" s="1"/>
  <c r="DJ33" i="15" s="1"/>
  <c r="DJ34" i="15" s="1"/>
  <c r="DJ35" i="15" s="1"/>
  <c r="DJ36" i="15" s="1"/>
  <c r="DJ37" i="15" s="1"/>
  <c r="DJ38" i="15" s="1"/>
  <c r="F76" i="23"/>
  <c r="F74" i="23"/>
  <c r="F75" i="23"/>
  <c r="F73" i="23"/>
  <c r="F60" i="23"/>
  <c r="D60" i="23" s="1"/>
  <c r="F59" i="23"/>
  <c r="D59" i="23" s="1"/>
  <c r="F58" i="23"/>
  <c r="D58" i="23" s="1"/>
  <c r="G31" i="1"/>
  <c r="G35" i="3"/>
  <c r="AM2" i="15" s="1"/>
  <c r="A5" i="25"/>
  <c r="A6" i="25"/>
  <c r="A7" i="25"/>
  <c r="A8" i="25"/>
  <c r="A9" i="25"/>
  <c r="A10" i="25"/>
  <c r="A11" i="25"/>
  <c r="A12" i="25"/>
  <c r="A13" i="25"/>
  <c r="A14" i="25"/>
  <c r="A3" i="25"/>
  <c r="A4" i="25"/>
  <c r="A2" i="25"/>
  <c r="D54" i="23" l="1"/>
  <c r="C59" i="23"/>
  <c r="AM27" i="15"/>
  <c r="AM28" i="15"/>
  <c r="AM31" i="15"/>
  <c r="AM30" i="15"/>
  <c r="AM36" i="15"/>
  <c r="AM15" i="15"/>
  <c r="AM5" i="15"/>
  <c r="AM32" i="15"/>
  <c r="AM23" i="15"/>
  <c r="AM11" i="15"/>
  <c r="AM16" i="15"/>
  <c r="AM24" i="15"/>
  <c r="AM38" i="15"/>
  <c r="AM10" i="15"/>
  <c r="AM29" i="15"/>
  <c r="AM6" i="15"/>
  <c r="AM18" i="15"/>
  <c r="AM25" i="15"/>
  <c r="AM12" i="15"/>
  <c r="AM22" i="15"/>
  <c r="AM7" i="15"/>
  <c r="AM33" i="15"/>
  <c r="AM26" i="15"/>
  <c r="AM14" i="15"/>
  <c r="AM21" i="15"/>
  <c r="AM9" i="15"/>
  <c r="AM34" i="15"/>
  <c r="AM19" i="15"/>
  <c r="AM20" i="15"/>
  <c r="AM13" i="15"/>
  <c r="AM37" i="15"/>
  <c r="AM35" i="15"/>
  <c r="AM17" i="15"/>
  <c r="AM8" i="15"/>
  <c r="AM4" i="15"/>
  <c r="AN4" i="15" s="1"/>
  <c r="C58" i="23"/>
  <c r="C55" i="23"/>
  <c r="F14" i="26"/>
  <c r="F10" i="26"/>
  <c r="G30" i="1"/>
  <c r="G32" i="1"/>
  <c r="G33" i="1"/>
  <c r="G34" i="1"/>
  <c r="G35" i="1"/>
  <c r="G36" i="1"/>
  <c r="G37" i="1"/>
  <c r="G38" i="1"/>
  <c r="G39" i="1"/>
  <c r="G29" i="1"/>
  <c r="A2" i="27"/>
  <c r="F5" i="26"/>
  <c r="F6" i="26"/>
  <c r="F7" i="26"/>
  <c r="F8" i="26"/>
  <c r="F9" i="26"/>
  <c r="F11" i="26"/>
  <c r="F12" i="26"/>
  <c r="F13" i="26"/>
  <c r="F15" i="26"/>
  <c r="F16" i="26"/>
  <c r="F17" i="26"/>
  <c r="F18" i="26"/>
  <c r="F19" i="26"/>
  <c r="F20" i="26"/>
  <c r="F21" i="26"/>
  <c r="F22" i="26"/>
  <c r="F23" i="26"/>
  <c r="F24" i="26"/>
  <c r="F25" i="26"/>
  <c r="F26" i="26"/>
  <c r="F27" i="26"/>
  <c r="F28" i="26"/>
  <c r="F29" i="26"/>
  <c r="F30" i="26"/>
  <c r="F31" i="26"/>
  <c r="F32" i="26"/>
  <c r="F33" i="26"/>
  <c r="F34" i="26"/>
  <c r="F35" i="26"/>
  <c r="F36" i="26"/>
  <c r="F37" i="26"/>
  <c r="F38" i="26"/>
  <c r="F39" i="26"/>
  <c r="F40" i="26"/>
  <c r="F41" i="26"/>
  <c r="F42" i="26"/>
  <c r="F43" i="26"/>
  <c r="F44" i="26"/>
  <c r="F45" i="26"/>
  <c r="F46" i="26"/>
  <c r="F47" i="26"/>
  <c r="F48" i="26"/>
  <c r="F49" i="26"/>
  <c r="F50" i="26"/>
  <c r="F51" i="26"/>
  <c r="F52" i="26"/>
  <c r="F53" i="26"/>
  <c r="F54" i="26"/>
  <c r="F55" i="26"/>
  <c r="F56" i="26"/>
  <c r="F57" i="26"/>
  <c r="F58" i="26"/>
  <c r="F59" i="26"/>
  <c r="F60" i="26"/>
  <c r="F61" i="26"/>
  <c r="F62" i="26"/>
  <c r="F63" i="26"/>
  <c r="F64" i="26"/>
  <c r="F65" i="26"/>
  <c r="F66" i="26"/>
  <c r="F67" i="26"/>
  <c r="F68" i="26"/>
  <c r="F69" i="26"/>
  <c r="F70" i="26"/>
  <c r="F71" i="26"/>
  <c r="F72" i="26"/>
  <c r="F73" i="26"/>
  <c r="F74" i="26"/>
  <c r="F75" i="26"/>
  <c r="F76" i="26"/>
  <c r="F77" i="26"/>
  <c r="F78" i="26"/>
  <c r="F79" i="26"/>
  <c r="F80" i="26"/>
  <c r="F81" i="26"/>
  <c r="F82" i="26"/>
  <c r="F83" i="26"/>
  <c r="F84" i="26"/>
  <c r="F85" i="26"/>
  <c r="F86" i="26"/>
  <c r="F87" i="26"/>
  <c r="F88" i="26"/>
  <c r="F89" i="26"/>
  <c r="F90" i="26"/>
  <c r="F91" i="26"/>
  <c r="F92" i="26"/>
  <c r="F93" i="26"/>
  <c r="F94" i="26"/>
  <c r="F95" i="26"/>
  <c r="F96" i="26"/>
  <c r="F97" i="26"/>
  <c r="F98" i="26"/>
  <c r="F99" i="26"/>
  <c r="F100" i="26"/>
  <c r="F101" i="26"/>
  <c r="F102" i="26"/>
  <c r="F103" i="26"/>
  <c r="F104" i="26"/>
  <c r="F105" i="26"/>
  <c r="F106" i="26"/>
  <c r="F107" i="26"/>
  <c r="F4" i="26"/>
  <c r="F6" i="27"/>
  <c r="G6" i="27" s="1"/>
  <c r="F7" i="27"/>
  <c r="G7" i="27" s="1"/>
  <c r="F8" i="27"/>
  <c r="G8" i="27" s="1"/>
  <c r="F9" i="27"/>
  <c r="G9" i="27" s="1"/>
  <c r="F10" i="27"/>
  <c r="G10" i="27" s="1"/>
  <c r="F11" i="27"/>
  <c r="G11" i="27" s="1"/>
  <c r="F12" i="27"/>
  <c r="G12" i="27" s="1"/>
  <c r="F13" i="27"/>
  <c r="G13" i="27" s="1"/>
  <c r="F14" i="27"/>
  <c r="G14" i="27" s="1"/>
  <c r="F15" i="27"/>
  <c r="G15" i="27" s="1"/>
  <c r="F16" i="27"/>
  <c r="G16" i="27" s="1"/>
  <c r="F17" i="27"/>
  <c r="G17" i="27" s="1"/>
  <c r="F18" i="27"/>
  <c r="G18" i="27" s="1"/>
  <c r="F19" i="27"/>
  <c r="G19" i="27" s="1"/>
  <c r="F20" i="27"/>
  <c r="G20" i="27" s="1"/>
  <c r="F21" i="27"/>
  <c r="G21" i="27" s="1"/>
  <c r="F22" i="27"/>
  <c r="G22" i="27" s="1"/>
  <c r="F23" i="27"/>
  <c r="G23" i="27" s="1"/>
  <c r="F24" i="27"/>
  <c r="G24" i="27" s="1"/>
  <c r="F25" i="27"/>
  <c r="G25" i="27" s="1"/>
  <c r="F26" i="27"/>
  <c r="G26" i="27" s="1"/>
  <c r="F27" i="27"/>
  <c r="G27" i="27" s="1"/>
  <c r="F28" i="27"/>
  <c r="G28" i="27" s="1"/>
  <c r="F29" i="27"/>
  <c r="G29" i="27" s="1"/>
  <c r="F30" i="27"/>
  <c r="G30" i="27" s="1"/>
  <c r="F31" i="27"/>
  <c r="G31" i="27" s="1"/>
  <c r="F32" i="27"/>
  <c r="G32" i="27" s="1"/>
  <c r="F33" i="27"/>
  <c r="G33" i="27" s="1"/>
  <c r="F34" i="27"/>
  <c r="G34" i="27" s="1"/>
  <c r="F35" i="27"/>
  <c r="G35" i="27" s="1"/>
  <c r="F36" i="27"/>
  <c r="G36" i="27" s="1"/>
  <c r="F37" i="27"/>
  <c r="G37" i="27" s="1"/>
  <c r="F38" i="27"/>
  <c r="G38" i="27" s="1"/>
  <c r="F39" i="27"/>
  <c r="G39" i="27" s="1"/>
  <c r="F40" i="27"/>
  <c r="G40" i="27" s="1"/>
  <c r="F41" i="27"/>
  <c r="G41" i="27" s="1"/>
  <c r="F42" i="27"/>
  <c r="G42" i="27" s="1"/>
  <c r="F43" i="27"/>
  <c r="G43" i="27" s="1"/>
  <c r="F44" i="27"/>
  <c r="G44" i="27" s="1"/>
  <c r="F45" i="27"/>
  <c r="G45" i="27" s="1"/>
  <c r="F46" i="27"/>
  <c r="G46" i="27" s="1"/>
  <c r="F47" i="27"/>
  <c r="G47" i="27" s="1"/>
  <c r="F48" i="27"/>
  <c r="G48" i="27" s="1"/>
  <c r="F49" i="27"/>
  <c r="G49" i="27" s="1"/>
  <c r="F50" i="27"/>
  <c r="G50" i="27" s="1"/>
  <c r="F51" i="27"/>
  <c r="G51" i="27" s="1"/>
  <c r="F52" i="27"/>
  <c r="G52" i="27" s="1"/>
  <c r="F53" i="27"/>
  <c r="G53" i="27" s="1"/>
  <c r="F54" i="27"/>
  <c r="G54" i="27" s="1"/>
  <c r="F55" i="27"/>
  <c r="G55" i="27" s="1"/>
  <c r="F56" i="27"/>
  <c r="G56" i="27" s="1"/>
  <c r="F57" i="27"/>
  <c r="G57" i="27" s="1"/>
  <c r="F58" i="27"/>
  <c r="G58" i="27" s="1"/>
  <c r="F59" i="27"/>
  <c r="G59" i="27" s="1"/>
  <c r="F60" i="27"/>
  <c r="G60" i="27" s="1"/>
  <c r="F61" i="27"/>
  <c r="G61" i="27" s="1"/>
  <c r="F62" i="27"/>
  <c r="G62" i="27" s="1"/>
  <c r="F63" i="27"/>
  <c r="G63" i="27" s="1"/>
  <c r="F64" i="27"/>
  <c r="G64" i="27" s="1"/>
  <c r="F65" i="27"/>
  <c r="G65" i="27" s="1"/>
  <c r="F66" i="27"/>
  <c r="G66" i="27" s="1"/>
  <c r="F67" i="27"/>
  <c r="G67" i="27" s="1"/>
  <c r="F68" i="27"/>
  <c r="G68" i="27" s="1"/>
  <c r="F69" i="27"/>
  <c r="G69" i="27" s="1"/>
  <c r="F70" i="27"/>
  <c r="G70" i="27" s="1"/>
  <c r="F71" i="27"/>
  <c r="G71" i="27" s="1"/>
  <c r="F72" i="27"/>
  <c r="G72" i="27" s="1"/>
  <c r="F73" i="27"/>
  <c r="G73" i="27" s="1"/>
  <c r="F74" i="27"/>
  <c r="G74" i="27" s="1"/>
  <c r="F75" i="27"/>
  <c r="G75" i="27" s="1"/>
  <c r="F76" i="27"/>
  <c r="G76" i="27" s="1"/>
  <c r="F77" i="27"/>
  <c r="G77" i="27" s="1"/>
  <c r="F78" i="27"/>
  <c r="G78" i="27" s="1"/>
  <c r="F79" i="27"/>
  <c r="G79" i="27" s="1"/>
  <c r="F80" i="27"/>
  <c r="G80" i="27" s="1"/>
  <c r="F81" i="27"/>
  <c r="G81" i="27" s="1"/>
  <c r="F82" i="27"/>
  <c r="G82" i="27" s="1"/>
  <c r="F83" i="27"/>
  <c r="G83" i="27" s="1"/>
  <c r="F84" i="27"/>
  <c r="G84" i="27" s="1"/>
  <c r="F85" i="27"/>
  <c r="G85" i="27" s="1"/>
  <c r="F86" i="27"/>
  <c r="G86" i="27" s="1"/>
  <c r="F87" i="27"/>
  <c r="G87" i="27" s="1"/>
  <c r="F88" i="27"/>
  <c r="G88" i="27" s="1"/>
  <c r="F89" i="27"/>
  <c r="G89" i="27" s="1"/>
  <c r="F90" i="27"/>
  <c r="G90" i="27" s="1"/>
  <c r="F91" i="27"/>
  <c r="G91" i="27" s="1"/>
  <c r="F92" i="27"/>
  <c r="G92" i="27" s="1"/>
  <c r="F93" i="27"/>
  <c r="G93" i="27" s="1"/>
  <c r="F94" i="27"/>
  <c r="G94" i="27" s="1"/>
  <c r="F95" i="27"/>
  <c r="G95" i="27" s="1"/>
  <c r="F96" i="27"/>
  <c r="G96" i="27" s="1"/>
  <c r="F97" i="27"/>
  <c r="G97" i="27" s="1"/>
  <c r="F98" i="27"/>
  <c r="G98" i="27" s="1"/>
  <c r="F99" i="27"/>
  <c r="G99" i="27" s="1"/>
  <c r="F100" i="27"/>
  <c r="G100" i="27" s="1"/>
  <c r="F101" i="27"/>
  <c r="G101" i="27" s="1"/>
  <c r="F102" i="27"/>
  <c r="G102" i="27" s="1"/>
  <c r="F103" i="27"/>
  <c r="G103" i="27" s="1"/>
  <c r="F104" i="27"/>
  <c r="G104" i="27" s="1"/>
  <c r="F5" i="27"/>
  <c r="G5" i="27" s="1"/>
  <c r="A2" i="26"/>
  <c r="D7" i="23" l="1"/>
  <c r="D68" i="23"/>
  <c r="C6" i="34"/>
  <c r="O94" i="14"/>
  <c r="O95" i="14"/>
  <c r="O98" i="14"/>
  <c r="O99" i="14"/>
  <c r="O96" i="14"/>
  <c r="O97" i="14"/>
  <c r="AN5" i="15"/>
  <c r="AN6" i="15" s="1"/>
  <c r="AN7" i="15" s="1"/>
  <c r="AN8" i="15" s="1"/>
  <c r="AN9" i="15" s="1"/>
  <c r="AN10" i="15" s="1"/>
  <c r="AN11" i="15" s="1"/>
  <c r="AN12" i="15" s="1"/>
  <c r="AN13" i="15" s="1"/>
  <c r="AN14" i="15" s="1"/>
  <c r="AN15" i="15" s="1"/>
  <c r="AN16" i="15" s="1"/>
  <c r="AN17" i="15" s="1"/>
  <c r="AN18" i="15" s="1"/>
  <c r="AN19" i="15" s="1"/>
  <c r="AN20" i="15" s="1"/>
  <c r="AN21" i="15" s="1"/>
  <c r="AN22" i="15" s="1"/>
  <c r="AN23" i="15" s="1"/>
  <c r="AN24" i="15" s="1"/>
  <c r="AN25" i="15" s="1"/>
  <c r="AN26" i="15" s="1"/>
  <c r="AN27" i="15" s="1"/>
  <c r="AN28" i="15" s="1"/>
  <c r="AN29" i="15" s="1"/>
  <c r="AN30" i="15" s="1"/>
  <c r="AN31" i="15" s="1"/>
  <c r="AN32" i="15" s="1"/>
  <c r="AN33" i="15" s="1"/>
  <c r="AN34" i="15" s="1"/>
  <c r="AN35" i="15" s="1"/>
  <c r="AN36" i="15" s="1"/>
  <c r="AN37" i="15" s="1"/>
  <c r="AN38" i="15" s="1"/>
  <c r="H102" i="27"/>
  <c r="H94" i="27"/>
  <c r="H90" i="27"/>
  <c r="H82" i="27"/>
  <c r="H78" i="27"/>
  <c r="H74" i="27"/>
  <c r="H70" i="27"/>
  <c r="H66" i="27"/>
  <c r="H62" i="27"/>
  <c r="H58" i="27"/>
  <c r="H54" i="27"/>
  <c r="H50" i="27"/>
  <c r="H46" i="27"/>
  <c r="H42" i="27"/>
  <c r="H38" i="27"/>
  <c r="H34" i="27"/>
  <c r="H30" i="27"/>
  <c r="H26" i="27"/>
  <c r="H22" i="27"/>
  <c r="H18" i="27"/>
  <c r="H14" i="27"/>
  <c r="H10" i="27"/>
  <c r="H6" i="27"/>
  <c r="H98" i="27"/>
  <c r="H86" i="27"/>
  <c r="H5" i="27"/>
  <c r="H77" i="27"/>
  <c r="H69" i="27"/>
  <c r="H61" i="27"/>
  <c r="H53" i="27"/>
  <c r="H45" i="27"/>
  <c r="H37" i="27"/>
  <c r="H33" i="27"/>
  <c r="H29" i="27"/>
  <c r="H21" i="27"/>
  <c r="H13" i="27"/>
  <c r="H101" i="27"/>
  <c r="H85" i="27"/>
  <c r="H93" i="27"/>
  <c r="H95" i="27"/>
  <c r="H97" i="27"/>
  <c r="H73" i="27"/>
  <c r="H65" i="27"/>
  <c r="H25" i="27"/>
  <c r="H17" i="27"/>
  <c r="H9" i="27"/>
  <c r="H104" i="27"/>
  <c r="H100" i="27"/>
  <c r="H96" i="27"/>
  <c r="H92" i="27"/>
  <c r="H88" i="27"/>
  <c r="H84" i="27"/>
  <c r="H80" i="27"/>
  <c r="H76" i="27"/>
  <c r="H72" i="27"/>
  <c r="H68" i="27"/>
  <c r="H64" i="27"/>
  <c r="H60" i="27"/>
  <c r="H56" i="27"/>
  <c r="H52" i="27"/>
  <c r="H48" i="27"/>
  <c r="H44" i="27"/>
  <c r="H40" i="27"/>
  <c r="H36" i="27"/>
  <c r="H32" i="27"/>
  <c r="H28" i="27"/>
  <c r="H24" i="27"/>
  <c r="H20" i="27"/>
  <c r="H16" i="27"/>
  <c r="H12" i="27"/>
  <c r="H8" i="27"/>
  <c r="H89" i="27"/>
  <c r="H81" i="27"/>
  <c r="H57" i="27"/>
  <c r="H49" i="27"/>
  <c r="H41" i="27"/>
  <c r="H103" i="27"/>
  <c r="H99" i="27"/>
  <c r="H91" i="27"/>
  <c r="H87" i="27"/>
  <c r="H83" i="27"/>
  <c r="H79" i="27"/>
  <c r="H75" i="27"/>
  <c r="H71" i="27"/>
  <c r="H67" i="27"/>
  <c r="H63" i="27"/>
  <c r="H59" i="27"/>
  <c r="H55" i="27"/>
  <c r="H51" i="27"/>
  <c r="H47" i="27"/>
  <c r="H43" i="27"/>
  <c r="H39" i="27"/>
  <c r="H35" i="27"/>
  <c r="H31" i="27"/>
  <c r="H27" i="27"/>
  <c r="H23" i="27"/>
  <c r="H19" i="27"/>
  <c r="H15" i="27"/>
  <c r="H11" i="27"/>
  <c r="H7" i="27"/>
  <c r="C57" i="23"/>
  <c r="C60" i="23"/>
  <c r="C61" i="23"/>
  <c r="C62" i="23"/>
  <c r="C63" i="23"/>
  <c r="C64" i="23"/>
  <c r="C65" i="23"/>
  <c r="C66" i="23"/>
  <c r="C67" i="23"/>
  <c r="C56" i="23"/>
  <c r="Q14" i="15" l="1"/>
  <c r="M15" i="15"/>
  <c r="M21" i="15"/>
  <c r="Q22" i="15"/>
  <c r="M9" i="15"/>
  <c r="Q11" i="15"/>
  <c r="Q12" i="15"/>
  <c r="Q16" i="15"/>
  <c r="M19" i="15"/>
  <c r="Q27" i="15"/>
  <c r="M28" i="15"/>
  <c r="M10" i="15"/>
  <c r="M13" i="15"/>
  <c r="Q15" i="15"/>
  <c r="Q21" i="15"/>
  <c r="M25" i="15"/>
  <c r="M6" i="15"/>
  <c r="M8" i="15"/>
  <c r="Q9" i="15"/>
  <c r="Q19" i="15"/>
  <c r="M20" i="15"/>
  <c r="M24" i="15"/>
  <c r="M26" i="15"/>
  <c r="Q28" i="15"/>
  <c r="M7" i="15"/>
  <c r="Q13" i="15"/>
  <c r="M18" i="15"/>
  <c r="Q6" i="15"/>
  <c r="Q7" i="15"/>
  <c r="M14" i="15"/>
  <c r="Q18" i="15"/>
  <c r="M22" i="15"/>
  <c r="Q23" i="15"/>
  <c r="M11" i="15"/>
  <c r="M12" i="15"/>
  <c r="M16" i="15"/>
  <c r="Q17" i="15"/>
  <c r="Q31" i="15"/>
  <c r="M32" i="15"/>
  <c r="M33" i="15"/>
  <c r="M34" i="15"/>
  <c r="Q5" i="15"/>
  <c r="Q10" i="15"/>
  <c r="M27" i="15"/>
  <c r="M36" i="15"/>
  <c r="M23" i="15"/>
  <c r="M29" i="15"/>
  <c r="Q32" i="15"/>
  <c r="Q33" i="15"/>
  <c r="Q34" i="15"/>
  <c r="M35" i="15"/>
  <c r="Q36" i="15"/>
  <c r="M38" i="15"/>
  <c r="M5" i="15"/>
  <c r="Q24" i="15"/>
  <c r="Q8" i="15"/>
  <c r="Q20" i="15"/>
  <c r="Q26" i="15"/>
  <c r="Q29" i="15"/>
  <c r="M30" i="15"/>
  <c r="Q35" i="15"/>
  <c r="M37" i="15"/>
  <c r="M17" i="15"/>
  <c r="Q30" i="15"/>
  <c r="M31" i="15"/>
  <c r="Q37" i="15"/>
  <c r="Q25" i="15"/>
  <c r="Q38" i="15"/>
  <c r="M4" i="15"/>
  <c r="N4" i="15" s="1"/>
  <c r="Q4" i="15"/>
  <c r="DQ4" i="15" l="1"/>
  <c r="N5" i="15"/>
  <c r="DQ5" i="15" s="1"/>
  <c r="R4" i="15"/>
  <c r="R5" i="15" s="1"/>
  <c r="R6" i="15" s="1"/>
  <c r="R7" i="15" s="1"/>
  <c r="R8" i="15" s="1"/>
  <c r="R9" i="15" s="1"/>
  <c r="R10" i="15" s="1"/>
  <c r="R11" i="15" s="1"/>
  <c r="R12" i="15" s="1"/>
  <c r="R13" i="15" s="1"/>
  <c r="R14" i="15" s="1"/>
  <c r="R15" i="15" s="1"/>
  <c r="R16" i="15" s="1"/>
  <c r="R17" i="15" s="1"/>
  <c r="R18" i="15" s="1"/>
  <c r="R19" i="15" s="1"/>
  <c r="R20" i="15" s="1"/>
  <c r="R21" i="15" s="1"/>
  <c r="R22" i="15" s="1"/>
  <c r="R23" i="15" s="1"/>
  <c r="R24" i="15" s="1"/>
  <c r="R25" i="15" s="1"/>
  <c r="R26" i="15" s="1"/>
  <c r="R27" i="15" s="1"/>
  <c r="R28" i="15" s="1"/>
  <c r="R29" i="15" s="1"/>
  <c r="R30" i="15" s="1"/>
  <c r="R31" i="15" s="1"/>
  <c r="R32" i="15" s="1"/>
  <c r="R33" i="15" s="1"/>
  <c r="R34" i="15" s="1"/>
  <c r="R35" i="15" s="1"/>
  <c r="R36" i="15" s="1"/>
  <c r="R37" i="15" s="1"/>
  <c r="R38" i="15" s="1"/>
  <c r="G34" i="3"/>
  <c r="G36" i="3"/>
  <c r="G37" i="3"/>
  <c r="G38" i="3"/>
  <c r="F13" i="3"/>
  <c r="F14" i="3"/>
  <c r="F15" i="3"/>
  <c r="O5" i="14"/>
  <c r="Q5" i="14" s="1"/>
  <c r="O6" i="14"/>
  <c r="Q6" i="14" s="1"/>
  <c r="O7" i="14"/>
  <c r="Q7" i="14" s="1"/>
  <c r="O8" i="14"/>
  <c r="Q8" i="14" s="1"/>
  <c r="O9" i="14"/>
  <c r="Q9" i="14" s="1"/>
  <c r="O10" i="14"/>
  <c r="Q10" i="14" s="1"/>
  <c r="O11" i="14"/>
  <c r="Q11" i="14" s="1"/>
  <c r="O12" i="14"/>
  <c r="Q12" i="14" s="1"/>
  <c r="O13" i="14"/>
  <c r="Q13" i="14" s="1"/>
  <c r="O14" i="14"/>
  <c r="Q14" i="14" s="1"/>
  <c r="O15" i="14"/>
  <c r="Q15" i="14" s="1"/>
  <c r="O16" i="14"/>
  <c r="Q16" i="14" s="1"/>
  <c r="O17" i="14"/>
  <c r="Q17" i="14" s="1"/>
  <c r="O18" i="14"/>
  <c r="Q18" i="14" s="1"/>
  <c r="O19" i="14"/>
  <c r="Q19" i="14" s="1"/>
  <c r="O20" i="14"/>
  <c r="Q20" i="14" s="1"/>
  <c r="O21" i="14"/>
  <c r="Q21" i="14" s="1"/>
  <c r="O22" i="14"/>
  <c r="Q22" i="14" s="1"/>
  <c r="O23" i="14"/>
  <c r="Q23" i="14" s="1"/>
  <c r="O24" i="14"/>
  <c r="Q24" i="14" s="1"/>
  <c r="O25" i="14"/>
  <c r="Q25" i="14" s="1"/>
  <c r="O26" i="14"/>
  <c r="Q26" i="14" s="1"/>
  <c r="O27" i="14"/>
  <c r="Q27" i="14" s="1"/>
  <c r="O28" i="14"/>
  <c r="Q28" i="14" s="1"/>
  <c r="O29" i="14"/>
  <c r="Q29" i="14" s="1"/>
  <c r="O30" i="14"/>
  <c r="Q30" i="14" s="1"/>
  <c r="O31" i="14"/>
  <c r="Q31" i="14" s="1"/>
  <c r="O32" i="14"/>
  <c r="Q32" i="14" s="1"/>
  <c r="O33" i="14"/>
  <c r="Q33" i="14" s="1"/>
  <c r="O34" i="14"/>
  <c r="Q34" i="14" s="1"/>
  <c r="O35" i="14"/>
  <c r="Q35" i="14" s="1"/>
  <c r="O36" i="14"/>
  <c r="Q36" i="14" s="1"/>
  <c r="O37" i="14"/>
  <c r="Q37" i="14" s="1"/>
  <c r="O38" i="14"/>
  <c r="Q38" i="14" s="1"/>
  <c r="O39" i="14"/>
  <c r="Q39" i="14" s="1"/>
  <c r="O40" i="14"/>
  <c r="Q40" i="14" s="1"/>
  <c r="O41" i="14"/>
  <c r="Q41" i="14" s="1"/>
  <c r="O42" i="14"/>
  <c r="Q42" i="14" s="1"/>
  <c r="O43" i="14"/>
  <c r="Q43" i="14" s="1"/>
  <c r="O44" i="14"/>
  <c r="Q44" i="14" s="1"/>
  <c r="O45" i="14"/>
  <c r="Q45" i="14" s="1"/>
  <c r="O46" i="14"/>
  <c r="Q46" i="14" s="1"/>
  <c r="O47" i="14"/>
  <c r="Q47" i="14" s="1"/>
  <c r="O48" i="14"/>
  <c r="Q48" i="14" s="1"/>
  <c r="O49" i="14"/>
  <c r="Q49" i="14" s="1"/>
  <c r="O50" i="14"/>
  <c r="Q50" i="14" s="1"/>
  <c r="O51" i="14"/>
  <c r="Q51" i="14" s="1"/>
  <c r="O52" i="14"/>
  <c r="Q52" i="14" s="1"/>
  <c r="O53" i="14"/>
  <c r="Q53" i="14" s="1"/>
  <c r="O54" i="14"/>
  <c r="Q54" i="14" s="1"/>
  <c r="O55" i="14"/>
  <c r="Q55" i="14" s="1"/>
  <c r="O56" i="14"/>
  <c r="Q56" i="14" s="1"/>
  <c r="O57" i="14"/>
  <c r="Q57" i="14" s="1"/>
  <c r="O58" i="14"/>
  <c r="Q58" i="14" s="1"/>
  <c r="O59" i="14"/>
  <c r="Q59" i="14" s="1"/>
  <c r="O60" i="14"/>
  <c r="Q60" i="14" s="1"/>
  <c r="O61" i="14"/>
  <c r="Q61" i="14" s="1"/>
  <c r="O62" i="14"/>
  <c r="Q62" i="14" s="1"/>
  <c r="O63" i="14"/>
  <c r="Q63" i="14" s="1"/>
  <c r="O64" i="14"/>
  <c r="Q64" i="14" s="1"/>
  <c r="O65" i="14"/>
  <c r="Q65" i="14" s="1"/>
  <c r="O66" i="14"/>
  <c r="Q66" i="14" s="1"/>
  <c r="O67" i="14"/>
  <c r="Q67" i="14" s="1"/>
  <c r="O68" i="14"/>
  <c r="Q68" i="14" s="1"/>
  <c r="O69" i="14"/>
  <c r="Q69" i="14" s="1"/>
  <c r="O70" i="14"/>
  <c r="Q70" i="14" s="1"/>
  <c r="O71" i="14"/>
  <c r="Q71" i="14" s="1"/>
  <c r="O72" i="14"/>
  <c r="Q72" i="14" s="1"/>
  <c r="O73" i="14"/>
  <c r="Q73" i="14" s="1"/>
  <c r="O74" i="14"/>
  <c r="Q74" i="14" s="1"/>
  <c r="O75" i="14"/>
  <c r="Q75" i="14" s="1"/>
  <c r="O76" i="14"/>
  <c r="Q76" i="14" s="1"/>
  <c r="O77" i="14"/>
  <c r="Q77" i="14" s="1"/>
  <c r="O78" i="14"/>
  <c r="Q78" i="14" s="1"/>
  <c r="O79" i="14"/>
  <c r="Q79" i="14" s="1"/>
  <c r="O80" i="14"/>
  <c r="Q80" i="14" s="1"/>
  <c r="O81" i="14"/>
  <c r="Q81" i="14" s="1"/>
  <c r="O82" i="14"/>
  <c r="Q82" i="14" s="1"/>
  <c r="O83" i="14"/>
  <c r="Q83" i="14" s="1"/>
  <c r="O84" i="14"/>
  <c r="Q84" i="14" s="1"/>
  <c r="O85" i="14"/>
  <c r="Q85" i="14" s="1"/>
  <c r="O86" i="14"/>
  <c r="Q86" i="14" s="1"/>
  <c r="O87" i="14"/>
  <c r="Q87" i="14" s="1"/>
  <c r="O88" i="14"/>
  <c r="Q88" i="14" s="1"/>
  <c r="O89" i="14"/>
  <c r="Q89" i="14" s="1"/>
  <c r="O90" i="14"/>
  <c r="Q90" i="14" s="1"/>
  <c r="O91" i="14"/>
  <c r="Q91" i="14" s="1"/>
  <c r="O92" i="14"/>
  <c r="Q92" i="14" s="1"/>
  <c r="O93" i="14"/>
  <c r="Q93" i="14" s="1"/>
  <c r="T94" i="14"/>
  <c r="T95" i="14"/>
  <c r="Y95" i="14" s="1"/>
  <c r="AE95" i="14" s="1"/>
  <c r="AK95" i="14" s="1"/>
  <c r="AQ95" i="14" s="1"/>
  <c r="T97" i="14"/>
  <c r="T98" i="14"/>
  <c r="Y98" i="14" s="1"/>
  <c r="T99" i="14"/>
  <c r="Y99" i="14" s="1"/>
  <c r="AE99" i="14" s="1"/>
  <c r="O100" i="14"/>
  <c r="T100" i="14" s="1"/>
  <c r="Y100" i="14" s="1"/>
  <c r="AE100" i="14" s="1"/>
  <c r="AK100" i="14" s="1"/>
  <c r="O101" i="14"/>
  <c r="T101" i="14" s="1"/>
  <c r="Y101" i="14" s="1"/>
  <c r="AE101" i="14" s="1"/>
  <c r="AK101" i="14" s="1"/>
  <c r="AQ101" i="14" s="1"/>
  <c r="O102" i="14"/>
  <c r="T102" i="14" s="1"/>
  <c r="Y102" i="14" s="1"/>
  <c r="AE102" i="14" s="1"/>
  <c r="AK102" i="14" s="1"/>
  <c r="AQ102" i="14" s="1"/>
  <c r="O103" i="14"/>
  <c r="T103" i="14" s="1"/>
  <c r="Y103" i="14" s="1"/>
  <c r="AE103" i="14" s="1"/>
  <c r="AK103" i="14" s="1"/>
  <c r="AQ103" i="14" s="1"/>
  <c r="O4" i="14"/>
  <c r="Q4" i="14" s="1"/>
  <c r="AU2" i="14" l="1"/>
  <c r="BQ2" i="15"/>
  <c r="AW2" i="15"/>
  <c r="BG2" i="15"/>
  <c r="D72" i="23" a="1"/>
  <c r="D72" i="23" s="1"/>
  <c r="D71" i="23" a="1"/>
  <c r="D71" i="23" s="1"/>
  <c r="D129" i="23" a="1"/>
  <c r="D129" i="23" s="1"/>
  <c r="D130" i="23" a="1"/>
  <c r="D130" i="23" s="1"/>
  <c r="D131" i="23" a="1"/>
  <c r="D131" i="23" s="1"/>
  <c r="D102" i="23" a="1"/>
  <c r="D102" i="23" s="1"/>
  <c r="D101" i="23" a="1"/>
  <c r="D101" i="23" s="1"/>
  <c r="T75" i="14"/>
  <c r="Y75" i="14" s="1"/>
  <c r="T51" i="14"/>
  <c r="Y51" i="14" s="1"/>
  <c r="T19" i="14"/>
  <c r="Y19" i="14" s="1"/>
  <c r="T88" i="14"/>
  <c r="Y88" i="14" s="1"/>
  <c r="AE88" i="14" s="1"/>
  <c r="AK88" i="14" s="1"/>
  <c r="AQ88" i="14" s="1"/>
  <c r="T64" i="14"/>
  <c r="Y64" i="14" s="1"/>
  <c r="T40" i="14"/>
  <c r="Y40" i="14" s="1"/>
  <c r="T16" i="14"/>
  <c r="Y16" i="14" s="1"/>
  <c r="T87" i="14"/>
  <c r="Y87" i="14" s="1"/>
  <c r="T79" i="14"/>
  <c r="Y79" i="14" s="1"/>
  <c r="T71" i="14"/>
  <c r="Y71" i="14" s="1"/>
  <c r="T63" i="14"/>
  <c r="Y63" i="14" s="1"/>
  <c r="T55" i="14"/>
  <c r="Y55" i="14" s="1"/>
  <c r="T47" i="14"/>
  <c r="Y47" i="14" s="1"/>
  <c r="T39" i="14"/>
  <c r="Y39" i="14" s="1"/>
  <c r="T31" i="14"/>
  <c r="Y31" i="14" s="1"/>
  <c r="T23" i="14"/>
  <c r="Y23" i="14" s="1"/>
  <c r="T15" i="14"/>
  <c r="Y15" i="14" s="1"/>
  <c r="T7" i="14"/>
  <c r="Y7" i="14" s="1"/>
  <c r="T84" i="14"/>
  <c r="Y84" i="14" s="1"/>
  <c r="AA84" i="14" s="1"/>
  <c r="T68" i="14"/>
  <c r="Y68" i="14" s="1"/>
  <c r="T44" i="14"/>
  <c r="Y44" i="14" s="1"/>
  <c r="T12" i="14"/>
  <c r="Y12" i="14" s="1"/>
  <c r="T83" i="14"/>
  <c r="Y83" i="14" s="1"/>
  <c r="T72" i="14"/>
  <c r="Y72" i="14" s="1"/>
  <c r="T48" i="14"/>
  <c r="Y48" i="14" s="1"/>
  <c r="T24" i="14"/>
  <c r="Y24" i="14" s="1"/>
  <c r="T86" i="14"/>
  <c r="Y86" i="14" s="1"/>
  <c r="T78" i="14"/>
  <c r="Y78" i="14" s="1"/>
  <c r="T70" i="14"/>
  <c r="Y70" i="14" s="1"/>
  <c r="T62" i="14"/>
  <c r="Y62" i="14" s="1"/>
  <c r="T54" i="14"/>
  <c r="Y54" i="14" s="1"/>
  <c r="T46" i="14"/>
  <c r="Y46" i="14" s="1"/>
  <c r="T38" i="14"/>
  <c r="Y38" i="14" s="1"/>
  <c r="T30" i="14"/>
  <c r="Y30" i="14" s="1"/>
  <c r="T22" i="14"/>
  <c r="Y22" i="14" s="1"/>
  <c r="T14" i="14"/>
  <c r="Y14" i="14" s="1"/>
  <c r="T6" i="14"/>
  <c r="Y6" i="14" s="1"/>
  <c r="T76" i="14"/>
  <c r="Y76" i="14" s="1"/>
  <c r="T52" i="14"/>
  <c r="Y52" i="14" s="1"/>
  <c r="T36" i="14"/>
  <c r="Y36" i="14" s="1"/>
  <c r="T20" i="14"/>
  <c r="Y20" i="14" s="1"/>
  <c r="T91" i="14"/>
  <c r="Y91" i="14" s="1"/>
  <c r="AE91" i="14" s="1"/>
  <c r="AK91" i="14" s="1"/>
  <c r="AQ91" i="14" s="1"/>
  <c r="T59" i="14"/>
  <c r="Y59" i="14" s="1"/>
  <c r="T35" i="14"/>
  <c r="Y35" i="14" s="1"/>
  <c r="T27" i="14"/>
  <c r="Y27" i="14" s="1"/>
  <c r="T11" i="14"/>
  <c r="Y11" i="14" s="1"/>
  <c r="T90" i="14"/>
  <c r="Y90" i="14" s="1"/>
  <c r="AE90" i="14" s="1"/>
  <c r="AK90" i="14" s="1"/>
  <c r="AQ90" i="14" s="1"/>
  <c r="T80" i="14"/>
  <c r="Y80" i="14" s="1"/>
  <c r="T56" i="14"/>
  <c r="Y56" i="14" s="1"/>
  <c r="T32" i="14"/>
  <c r="Y32" i="14" s="1"/>
  <c r="T8" i="14"/>
  <c r="Y8" i="14" s="1"/>
  <c r="T93" i="14"/>
  <c r="Y93" i="14" s="1"/>
  <c r="AE93" i="14" s="1"/>
  <c r="AK93" i="14" s="1"/>
  <c r="AQ93" i="14" s="1"/>
  <c r="T85" i="14"/>
  <c r="Y85" i="14" s="1"/>
  <c r="T77" i="14"/>
  <c r="Y77" i="14" s="1"/>
  <c r="T69" i="14"/>
  <c r="Y69" i="14" s="1"/>
  <c r="T61" i="14"/>
  <c r="Y61" i="14" s="1"/>
  <c r="T53" i="14"/>
  <c r="Y53" i="14" s="1"/>
  <c r="T45" i="14"/>
  <c r="Y45" i="14" s="1"/>
  <c r="T37" i="14"/>
  <c r="Y37" i="14" s="1"/>
  <c r="T29" i="14"/>
  <c r="Y29" i="14" s="1"/>
  <c r="T21" i="14"/>
  <c r="Y21" i="14" s="1"/>
  <c r="T13" i="14"/>
  <c r="Y13" i="14" s="1"/>
  <c r="T5" i="14"/>
  <c r="Y5" i="14" s="1"/>
  <c r="T28" i="14"/>
  <c r="Y28" i="14" s="1"/>
  <c r="T92" i="14"/>
  <c r="Y92" i="14" s="1"/>
  <c r="AE92" i="14" s="1"/>
  <c r="AK92" i="14" s="1"/>
  <c r="AQ92" i="14" s="1"/>
  <c r="T60" i="14"/>
  <c r="Y60" i="14" s="1"/>
  <c r="T67" i="14"/>
  <c r="Y67" i="14" s="1"/>
  <c r="T43" i="14"/>
  <c r="Y43" i="14" s="1"/>
  <c r="T74" i="14"/>
  <c r="Y74" i="14" s="1"/>
  <c r="T66" i="14"/>
  <c r="Y66" i="14" s="1"/>
  <c r="T58" i="14"/>
  <c r="Y58" i="14" s="1"/>
  <c r="T50" i="14"/>
  <c r="Y50" i="14" s="1"/>
  <c r="T42" i="14"/>
  <c r="Y42" i="14" s="1"/>
  <c r="T34" i="14"/>
  <c r="Y34" i="14" s="1"/>
  <c r="T26" i="14"/>
  <c r="Y26" i="14" s="1"/>
  <c r="T18" i="14"/>
  <c r="Y18" i="14" s="1"/>
  <c r="T10" i="14"/>
  <c r="Y10" i="14" s="1"/>
  <c r="T89" i="14"/>
  <c r="Y89" i="14" s="1"/>
  <c r="AE89" i="14" s="1"/>
  <c r="AK89" i="14" s="1"/>
  <c r="AQ89" i="14" s="1"/>
  <c r="T81" i="14"/>
  <c r="Y81" i="14" s="1"/>
  <c r="T73" i="14"/>
  <c r="Y73" i="14" s="1"/>
  <c r="T65" i="14"/>
  <c r="Y65" i="14" s="1"/>
  <c r="T57" i="14"/>
  <c r="Y57" i="14" s="1"/>
  <c r="T49" i="14"/>
  <c r="Y49" i="14" s="1"/>
  <c r="T41" i="14"/>
  <c r="Y41" i="14" s="1"/>
  <c r="T33" i="14"/>
  <c r="Y33" i="14" s="1"/>
  <c r="T25" i="14"/>
  <c r="Y25" i="14" s="1"/>
  <c r="T17" i="14"/>
  <c r="Y17" i="14" s="1"/>
  <c r="T9" i="14"/>
  <c r="Y9" i="14" s="1"/>
  <c r="Y94" i="14"/>
  <c r="T96" i="14"/>
  <c r="Y96" i="14" s="1"/>
  <c r="AE96" i="14" s="1"/>
  <c r="AK96" i="14" s="1"/>
  <c r="AQ96" i="14" s="1"/>
  <c r="AE98" i="14"/>
  <c r="AK98" i="14" s="1"/>
  <c r="AQ98" i="14" s="1"/>
  <c r="T82" i="14"/>
  <c r="Y82" i="14" s="1"/>
  <c r="N6" i="15"/>
  <c r="N7" i="15" s="1"/>
  <c r="AQ100" i="14"/>
  <c r="AK99" i="14"/>
  <c r="AQ99" i="14" s="1"/>
  <c r="Y97" i="14"/>
  <c r="AE97" i="14" s="1"/>
  <c r="AK97" i="14" s="1"/>
  <c r="AQ97" i="14" s="1"/>
  <c r="K6" i="15"/>
  <c r="K7" i="15"/>
  <c r="K20" i="15"/>
  <c r="O31" i="15"/>
  <c r="K37" i="15"/>
  <c r="O6" i="15"/>
  <c r="O7" i="15"/>
  <c r="K8" i="15"/>
  <c r="K9" i="15"/>
  <c r="K10" i="15"/>
  <c r="K11" i="15"/>
  <c r="O20" i="15"/>
  <c r="O37" i="15"/>
  <c r="K38" i="15"/>
  <c r="O8" i="15"/>
  <c r="O9" i="15"/>
  <c r="O10" i="15"/>
  <c r="O11" i="15"/>
  <c r="K12" i="15"/>
  <c r="K13" i="15"/>
  <c r="K21" i="15"/>
  <c r="K22" i="15"/>
  <c r="K23" i="15"/>
  <c r="K24" i="15"/>
  <c r="O28" i="15"/>
  <c r="O32" i="15"/>
  <c r="K33" i="15"/>
  <c r="O38" i="15"/>
  <c r="O22" i="15"/>
  <c r="O23" i="15"/>
  <c r="O25" i="15"/>
  <c r="O12" i="15"/>
  <c r="O13" i="15"/>
  <c r="K14" i="15"/>
  <c r="O21" i="15"/>
  <c r="O24" i="15"/>
  <c r="O14" i="15"/>
  <c r="K34" i="15"/>
  <c r="K15" i="15"/>
  <c r="O30" i="15"/>
  <c r="O34" i="15"/>
  <c r="O5" i="15"/>
  <c r="O15" i="15"/>
  <c r="K16" i="15"/>
  <c r="K17" i="15"/>
  <c r="K18" i="15"/>
  <c r="K19" i="15"/>
  <c r="O26" i="15"/>
  <c r="K35" i="15"/>
  <c r="K36" i="15"/>
  <c r="K5" i="15"/>
  <c r="O16" i="15"/>
  <c r="O17" i="15"/>
  <c r="O18" i="15"/>
  <c r="O19" i="15"/>
  <c r="O27" i="15"/>
  <c r="O33" i="15"/>
  <c r="O35" i="15"/>
  <c r="O29" i="15"/>
  <c r="O36" i="15"/>
  <c r="O4" i="15"/>
  <c r="P4" i="15" s="1"/>
  <c r="K4" i="15"/>
  <c r="L4" i="15" s="1"/>
  <c r="T4" i="14"/>
  <c r="I101" i="27"/>
  <c r="I97" i="27"/>
  <c r="I81" i="27"/>
  <c r="I95" i="27"/>
  <c r="I87" i="27"/>
  <c r="I79" i="27"/>
  <c r="I71" i="27"/>
  <c r="I63" i="27"/>
  <c r="I55" i="27"/>
  <c r="I47" i="27"/>
  <c r="I39" i="27"/>
  <c r="I31" i="27"/>
  <c r="I23" i="27"/>
  <c r="I15" i="27"/>
  <c r="I7" i="27"/>
  <c r="I5" i="27"/>
  <c r="I89" i="27"/>
  <c r="I73" i="27"/>
  <c r="I65" i="27"/>
  <c r="I49" i="27"/>
  <c r="I41" i="27"/>
  <c r="I33" i="27"/>
  <c r="I25" i="27"/>
  <c r="I17" i="27"/>
  <c r="I9" i="27"/>
  <c r="I104" i="27"/>
  <c r="I96" i="27"/>
  <c r="I88" i="27"/>
  <c r="I80" i="27"/>
  <c r="I72" i="27"/>
  <c r="I64" i="27"/>
  <c r="I56" i="27"/>
  <c r="I48" i="27"/>
  <c r="I40" i="27"/>
  <c r="I32" i="27"/>
  <c r="I24" i="27"/>
  <c r="I16" i="27"/>
  <c r="I8" i="27"/>
  <c r="I103" i="27"/>
  <c r="I102" i="27"/>
  <c r="I94" i="27"/>
  <c r="I86" i="27"/>
  <c r="I78" i="27"/>
  <c r="I70" i="27"/>
  <c r="I62" i="27"/>
  <c r="I54" i="27"/>
  <c r="I46" i="27"/>
  <c r="I38" i="27"/>
  <c r="I30" i="27"/>
  <c r="I22" i="27"/>
  <c r="I14" i="27"/>
  <c r="I6" i="27"/>
  <c r="I85" i="27"/>
  <c r="I13" i="27"/>
  <c r="I77" i="27"/>
  <c r="I61" i="27"/>
  <c r="I45" i="27"/>
  <c r="I21" i="27"/>
  <c r="I100" i="27"/>
  <c r="I84" i="27"/>
  <c r="I68" i="27"/>
  <c r="I52" i="27"/>
  <c r="I36" i="27"/>
  <c r="I12" i="27"/>
  <c r="I99" i="27"/>
  <c r="I91" i="27"/>
  <c r="I83" i="27"/>
  <c r="I75" i="27"/>
  <c r="I67" i="27"/>
  <c r="I59" i="27"/>
  <c r="I51" i="27"/>
  <c r="I43" i="27"/>
  <c r="I35" i="27"/>
  <c r="I27" i="27"/>
  <c r="I19" i="27"/>
  <c r="I11" i="27"/>
  <c r="I93" i="27"/>
  <c r="I69" i="27"/>
  <c r="I53" i="27"/>
  <c r="I37" i="27"/>
  <c r="I29" i="27"/>
  <c r="I92" i="27"/>
  <c r="I76" i="27"/>
  <c r="I60" i="27"/>
  <c r="I44" i="27"/>
  <c r="I28" i="27"/>
  <c r="I20" i="27"/>
  <c r="I98" i="27"/>
  <c r="I90" i="27"/>
  <c r="I82" i="27"/>
  <c r="I74" i="27"/>
  <c r="I66" i="27"/>
  <c r="I58" i="27"/>
  <c r="I50" i="27"/>
  <c r="I42" i="27"/>
  <c r="I34" i="27"/>
  <c r="I26" i="27"/>
  <c r="I18" i="27"/>
  <c r="I10" i="27"/>
  <c r="I57" i="27"/>
  <c r="AC2" i="15"/>
  <c r="AE84" i="14" l="1"/>
  <c r="AK84" i="14" s="1"/>
  <c r="AQ84" i="14" s="1"/>
  <c r="AW22" i="15"/>
  <c r="AW8" i="15"/>
  <c r="AW25" i="15"/>
  <c r="AW30" i="15"/>
  <c r="AW23" i="15"/>
  <c r="AW21" i="15"/>
  <c r="AW17" i="15"/>
  <c r="AW37" i="15"/>
  <c r="AW12" i="15"/>
  <c r="AW13" i="15"/>
  <c r="AW36" i="15"/>
  <c r="AW14" i="15"/>
  <c r="AW18" i="15"/>
  <c r="AW6" i="15"/>
  <c r="AW32" i="15"/>
  <c r="AW35" i="15"/>
  <c r="AW29" i="15"/>
  <c r="AW26" i="15"/>
  <c r="AW31" i="15"/>
  <c r="AW7" i="15"/>
  <c r="AW19" i="15"/>
  <c r="AW15" i="15"/>
  <c r="AW24" i="15"/>
  <c r="AW20" i="15"/>
  <c r="AW27" i="15"/>
  <c r="AW11" i="15"/>
  <c r="AW28" i="15"/>
  <c r="AW34" i="15"/>
  <c r="AW33" i="15"/>
  <c r="AW16" i="15"/>
  <c r="AW9" i="15"/>
  <c r="AW10" i="15"/>
  <c r="AW4" i="15"/>
  <c r="AX4" i="15" s="1"/>
  <c r="AW5" i="15"/>
  <c r="AW38" i="15"/>
  <c r="BG14" i="15"/>
  <c r="BG23" i="15"/>
  <c r="BG16" i="15"/>
  <c r="BG8" i="15"/>
  <c r="BG6" i="15"/>
  <c r="BG15" i="15"/>
  <c r="BG32" i="15"/>
  <c r="BG36" i="15"/>
  <c r="BG34" i="15"/>
  <c r="BG21" i="15"/>
  <c r="BG27" i="15"/>
  <c r="BG29" i="15"/>
  <c r="BG9" i="15"/>
  <c r="BG25" i="15"/>
  <c r="BG13" i="15"/>
  <c r="BG7" i="15"/>
  <c r="BG12" i="15"/>
  <c r="BG30" i="15"/>
  <c r="BG4" i="15"/>
  <c r="BH4" i="15" s="1"/>
  <c r="BG28" i="15"/>
  <c r="BG10" i="15"/>
  <c r="BG17" i="15"/>
  <c r="BG11" i="15"/>
  <c r="BG31" i="15"/>
  <c r="BG37" i="15"/>
  <c r="BG22" i="15"/>
  <c r="BG18" i="15"/>
  <c r="BG26" i="15"/>
  <c r="BG19" i="15"/>
  <c r="BG35" i="15"/>
  <c r="BG24" i="15"/>
  <c r="BG20" i="15"/>
  <c r="BG33" i="15"/>
  <c r="BG5" i="15"/>
  <c r="BG38" i="15"/>
  <c r="BQ12" i="15"/>
  <c r="BQ17" i="15"/>
  <c r="BQ4" i="15"/>
  <c r="BR4" i="15" s="1"/>
  <c r="BQ6" i="15"/>
  <c r="BQ29" i="15"/>
  <c r="BQ8" i="15"/>
  <c r="BQ18" i="15"/>
  <c r="BQ21" i="15"/>
  <c r="BQ35" i="15"/>
  <c r="BQ34" i="15"/>
  <c r="BQ22" i="15"/>
  <c r="BQ23" i="15"/>
  <c r="BQ15" i="15"/>
  <c r="BQ32" i="15"/>
  <c r="BQ25" i="15"/>
  <c r="BQ14" i="15"/>
  <c r="BQ31" i="15"/>
  <c r="BQ24" i="15"/>
  <c r="BQ9" i="15"/>
  <c r="BQ28" i="15"/>
  <c r="BQ30" i="15"/>
  <c r="BQ19" i="15"/>
  <c r="BQ20" i="15"/>
  <c r="BQ36" i="15"/>
  <c r="BQ7" i="15"/>
  <c r="BQ10" i="15"/>
  <c r="BQ27" i="15"/>
  <c r="BQ37" i="15"/>
  <c r="BQ11" i="15"/>
  <c r="BQ33" i="15"/>
  <c r="BQ13" i="15"/>
  <c r="BQ26" i="15"/>
  <c r="BQ16" i="15"/>
  <c r="BQ5" i="15"/>
  <c r="BQ38" i="15"/>
  <c r="D74" i="23" a="1"/>
  <c r="D74" i="23" s="1"/>
  <c r="D73" i="23" a="1"/>
  <c r="D73" i="23" s="1"/>
  <c r="D6" i="23"/>
  <c r="I102" i="23" a="1"/>
  <c r="I102" i="23" s="1"/>
  <c r="AE17" i="14"/>
  <c r="AA17" i="14"/>
  <c r="AE49" i="14"/>
  <c r="AA49" i="14"/>
  <c r="AE81" i="14"/>
  <c r="AA81" i="14"/>
  <c r="AE26" i="14"/>
  <c r="AA26" i="14"/>
  <c r="AE58" i="14"/>
  <c r="AA58" i="14"/>
  <c r="AE67" i="14"/>
  <c r="AA67" i="14"/>
  <c r="AE5" i="14"/>
  <c r="AA5" i="14"/>
  <c r="AE37" i="14"/>
  <c r="AA37" i="14"/>
  <c r="AE69" i="14"/>
  <c r="AA69" i="14"/>
  <c r="H102" i="23" a="1"/>
  <c r="H102" i="23" s="1"/>
  <c r="AE80" i="14"/>
  <c r="AA80" i="14"/>
  <c r="AE35" i="14"/>
  <c r="AA35" i="14"/>
  <c r="AE36" i="14"/>
  <c r="AA36" i="14"/>
  <c r="AE14" i="14"/>
  <c r="AA14" i="14"/>
  <c r="AE46" i="14"/>
  <c r="AA46" i="14"/>
  <c r="AE78" i="14"/>
  <c r="AA78" i="14"/>
  <c r="AE72" i="14"/>
  <c r="AA72" i="14"/>
  <c r="AE68" i="14"/>
  <c r="AA68" i="14"/>
  <c r="AE23" i="14"/>
  <c r="AA23" i="14"/>
  <c r="AE55" i="14"/>
  <c r="AA55" i="14"/>
  <c r="AE87" i="14"/>
  <c r="AK87" i="14" s="1"/>
  <c r="AQ87" i="14" s="1"/>
  <c r="AA87" i="14"/>
  <c r="AE25" i="14"/>
  <c r="AA25" i="14"/>
  <c r="AE57" i="14"/>
  <c r="AA57" i="14"/>
  <c r="AE34" i="14"/>
  <c r="AA34" i="14"/>
  <c r="AE66" i="14"/>
  <c r="AA66" i="14"/>
  <c r="AE60" i="14"/>
  <c r="AA60" i="14"/>
  <c r="AE13" i="14"/>
  <c r="AA13" i="14"/>
  <c r="AE45" i="14"/>
  <c r="AA45" i="14"/>
  <c r="AE77" i="14"/>
  <c r="AA77" i="14"/>
  <c r="AE8" i="14"/>
  <c r="AA8" i="14"/>
  <c r="AE59" i="14"/>
  <c r="AA59" i="14"/>
  <c r="AE52" i="14"/>
  <c r="AA52" i="14"/>
  <c r="AE22" i="14"/>
  <c r="AA22" i="14"/>
  <c r="AE54" i="14"/>
  <c r="AA54" i="14"/>
  <c r="AE86" i="14"/>
  <c r="AK86" i="14" s="1"/>
  <c r="AQ86" i="14" s="1"/>
  <c r="AA86" i="14"/>
  <c r="AE31" i="14"/>
  <c r="AA31" i="14"/>
  <c r="AE63" i="14"/>
  <c r="AA63" i="14"/>
  <c r="AE16" i="14"/>
  <c r="AA16" i="14"/>
  <c r="AE19" i="14"/>
  <c r="AA19" i="14"/>
  <c r="AE82" i="14"/>
  <c r="AA82" i="14"/>
  <c r="AE33" i="14"/>
  <c r="AA33" i="14"/>
  <c r="AE65" i="14"/>
  <c r="AA65" i="14"/>
  <c r="AE10" i="14"/>
  <c r="AA10" i="14"/>
  <c r="AE42" i="14"/>
  <c r="AA42" i="14"/>
  <c r="AE74" i="14"/>
  <c r="AA74" i="14"/>
  <c r="AE21" i="14"/>
  <c r="AA21" i="14"/>
  <c r="AE53" i="14"/>
  <c r="AA53" i="14"/>
  <c r="AE85" i="14"/>
  <c r="AK85" i="14" s="1"/>
  <c r="AQ85" i="14" s="1"/>
  <c r="AA85" i="14"/>
  <c r="AE32" i="14"/>
  <c r="AA32" i="14"/>
  <c r="AE11" i="14"/>
  <c r="AA11" i="14"/>
  <c r="AE76" i="14"/>
  <c r="AA76" i="14"/>
  <c r="AE30" i="14"/>
  <c r="AA30" i="14"/>
  <c r="AE62" i="14"/>
  <c r="AA62" i="14"/>
  <c r="AE24" i="14"/>
  <c r="AA24" i="14"/>
  <c r="AE12" i="14"/>
  <c r="AA12" i="14"/>
  <c r="AE7" i="14"/>
  <c r="AA7" i="14"/>
  <c r="AE39" i="14"/>
  <c r="AA39" i="14"/>
  <c r="AE71" i="14"/>
  <c r="AA71" i="14"/>
  <c r="AE40" i="14"/>
  <c r="AA40" i="14"/>
  <c r="AE51" i="14"/>
  <c r="AA51" i="14"/>
  <c r="AE9" i="14"/>
  <c r="AA9" i="14"/>
  <c r="AE41" i="14"/>
  <c r="AA41" i="14"/>
  <c r="AE73" i="14"/>
  <c r="AA73" i="14"/>
  <c r="AE18" i="14"/>
  <c r="AA18" i="14"/>
  <c r="AE50" i="14"/>
  <c r="AA50" i="14"/>
  <c r="AE43" i="14"/>
  <c r="AA43" i="14"/>
  <c r="AE28" i="14"/>
  <c r="AA28" i="14"/>
  <c r="AE29" i="14"/>
  <c r="AA29" i="14"/>
  <c r="AE61" i="14"/>
  <c r="AA61" i="14"/>
  <c r="AE83" i="14"/>
  <c r="AA83" i="14"/>
  <c r="AE56" i="14"/>
  <c r="AA56" i="14"/>
  <c r="AE27" i="14"/>
  <c r="AA27" i="14"/>
  <c r="AE20" i="14"/>
  <c r="AA20" i="14"/>
  <c r="AE6" i="14"/>
  <c r="AA6" i="14"/>
  <c r="AE38" i="14"/>
  <c r="AA38" i="14"/>
  <c r="AE70" i="14"/>
  <c r="AA70" i="14"/>
  <c r="AE48" i="14"/>
  <c r="AA48" i="14"/>
  <c r="AE44" i="14"/>
  <c r="AA44" i="14"/>
  <c r="AE15" i="14"/>
  <c r="AA15" i="14"/>
  <c r="AE47" i="14"/>
  <c r="AA47" i="14"/>
  <c r="AE79" i="14"/>
  <c r="AA79" i="14"/>
  <c r="AE64" i="14"/>
  <c r="AA64" i="14"/>
  <c r="AE75" i="14"/>
  <c r="AA75" i="14"/>
  <c r="AE94" i="14"/>
  <c r="P5" i="15"/>
  <c r="P6" i="15" s="1"/>
  <c r="P7" i="15" s="1"/>
  <c r="P8" i="15" s="1"/>
  <c r="P9" i="15" s="1"/>
  <c r="P10" i="15" s="1"/>
  <c r="P11" i="15" s="1"/>
  <c r="P12" i="15" s="1"/>
  <c r="P13" i="15" s="1"/>
  <c r="P14" i="15" s="1"/>
  <c r="P15" i="15" s="1"/>
  <c r="P16" i="15" s="1"/>
  <c r="P17" i="15" s="1"/>
  <c r="P18" i="15" s="1"/>
  <c r="P19" i="15" s="1"/>
  <c r="P20" i="15" s="1"/>
  <c r="P21" i="15" s="1"/>
  <c r="P22" i="15" s="1"/>
  <c r="P23" i="15" s="1"/>
  <c r="P24" i="15" s="1"/>
  <c r="P25" i="15" s="1"/>
  <c r="P26" i="15" s="1"/>
  <c r="P27" i="15" s="1"/>
  <c r="P28" i="15" s="1"/>
  <c r="P29" i="15" s="1"/>
  <c r="P30" i="15" s="1"/>
  <c r="P31" i="15" s="1"/>
  <c r="P32" i="15" s="1"/>
  <c r="P33" i="15" s="1"/>
  <c r="P34" i="15" s="1"/>
  <c r="P35" i="15" s="1"/>
  <c r="P36" i="15" s="1"/>
  <c r="P37" i="15" s="1"/>
  <c r="P38" i="15" s="1"/>
  <c r="DQ6" i="15"/>
  <c r="L5" i="15"/>
  <c r="AC30" i="15"/>
  <c r="AC37" i="15"/>
  <c r="AC25" i="15"/>
  <c r="AC31" i="15"/>
  <c r="AC36" i="15"/>
  <c r="AC12" i="15"/>
  <c r="AC9" i="15"/>
  <c r="AC17" i="15"/>
  <c r="AC20" i="15"/>
  <c r="AC33" i="15"/>
  <c r="AC22" i="15"/>
  <c r="AC11" i="15"/>
  <c r="AC34" i="15"/>
  <c r="AC23" i="15"/>
  <c r="AC38" i="15"/>
  <c r="AC8" i="15"/>
  <c r="AC16" i="15"/>
  <c r="AC15" i="15"/>
  <c r="AC14" i="15"/>
  <c r="AC32" i="15"/>
  <c r="AC35" i="15"/>
  <c r="AC24" i="15"/>
  <c r="AC29" i="15"/>
  <c r="AC27" i="15"/>
  <c r="AC5" i="15"/>
  <c r="AC21" i="15"/>
  <c r="AC10" i="15"/>
  <c r="AC18" i="15"/>
  <c r="AC7" i="15"/>
  <c r="AC6" i="15"/>
  <c r="AC26" i="15"/>
  <c r="AC13" i="15"/>
  <c r="AC28" i="15"/>
  <c r="AC19" i="15"/>
  <c r="AC4" i="15"/>
  <c r="AD4" i="15" s="1"/>
  <c r="Y6" i="15"/>
  <c r="U7" i="15"/>
  <c r="Y8" i="15"/>
  <c r="U17" i="15"/>
  <c r="U18" i="15"/>
  <c r="Y24" i="15"/>
  <c r="Y25" i="15"/>
  <c r="Y26" i="15"/>
  <c r="Y10" i="15"/>
  <c r="Y13" i="15"/>
  <c r="Y20" i="15"/>
  <c r="U22" i="15"/>
  <c r="Y23" i="15"/>
  <c r="Y7" i="15"/>
  <c r="U11" i="15"/>
  <c r="U12" i="15"/>
  <c r="U14" i="15"/>
  <c r="U16" i="15"/>
  <c r="Y17" i="15"/>
  <c r="U15" i="15"/>
  <c r="Y18" i="15"/>
  <c r="U21" i="15"/>
  <c r="Y22" i="15"/>
  <c r="U9" i="15"/>
  <c r="Y11" i="15"/>
  <c r="Y14" i="15"/>
  <c r="Y16" i="15"/>
  <c r="U6" i="15"/>
  <c r="U8" i="15"/>
  <c r="Y9" i="15"/>
  <c r="U10" i="15"/>
  <c r="U13" i="15"/>
  <c r="U24" i="15"/>
  <c r="Y28" i="15"/>
  <c r="Y19" i="15"/>
  <c r="U20" i="15"/>
  <c r="U23" i="15"/>
  <c r="Y12" i="15"/>
  <c r="Y29" i="15"/>
  <c r="Y38" i="15"/>
  <c r="Y15" i="15"/>
  <c r="Y27" i="15"/>
  <c r="Y30" i="15"/>
  <c r="Y37" i="15"/>
  <c r="Y21" i="15"/>
  <c r="Y31" i="15"/>
  <c r="U33" i="15"/>
  <c r="U34" i="15"/>
  <c r="U36" i="15"/>
  <c r="Y5" i="15"/>
  <c r="U19" i="15"/>
  <c r="Y32" i="15"/>
  <c r="Y33" i="15"/>
  <c r="Y34" i="15"/>
  <c r="Y36" i="15"/>
  <c r="U38" i="15"/>
  <c r="Y35" i="15"/>
  <c r="U37" i="15"/>
  <c r="U5" i="15"/>
  <c r="U35" i="15"/>
  <c r="L6" i="15"/>
  <c r="N8" i="15"/>
  <c r="DQ7" i="15"/>
  <c r="Y4" i="14"/>
  <c r="Y4" i="15"/>
  <c r="Z4" i="15" s="1"/>
  <c r="U4" i="15"/>
  <c r="V4" i="15" s="1"/>
  <c r="I2" i="27"/>
  <c r="AU10" i="14"/>
  <c r="AU79" i="14"/>
  <c r="AU39" i="14"/>
  <c r="AU32" i="14"/>
  <c r="AU84" i="14"/>
  <c r="AU48" i="14"/>
  <c r="AU6" i="14"/>
  <c r="AU74" i="14"/>
  <c r="AU87" i="14"/>
  <c r="AU100" i="14"/>
  <c r="AU71" i="14"/>
  <c r="AU28" i="14"/>
  <c r="AU95" i="14"/>
  <c r="AU22" i="14"/>
  <c r="AU76" i="14"/>
  <c r="AU38" i="14"/>
  <c r="AU90" i="14"/>
  <c r="AU55" i="14"/>
  <c r="AU12" i="14"/>
  <c r="AU92" i="14"/>
  <c r="AU18" i="14"/>
  <c r="AU80" i="14"/>
  <c r="AU70" i="14"/>
  <c r="AU103" i="14"/>
  <c r="AU66" i="14"/>
  <c r="AU58" i="14"/>
  <c r="AU36" i="14"/>
  <c r="AU15" i="14"/>
  <c r="AU50" i="14"/>
  <c r="AU59" i="14"/>
  <c r="AU102" i="14"/>
  <c r="AU75" i="14"/>
  <c r="AU52" i="14"/>
  <c r="AU26" i="14"/>
  <c r="AU13" i="14"/>
  <c r="AU29" i="14"/>
  <c r="AU45" i="14"/>
  <c r="AU61" i="14"/>
  <c r="AU77" i="14"/>
  <c r="AU93" i="14"/>
  <c r="AU88" i="14"/>
  <c r="AU67" i="14"/>
  <c r="AU46" i="14"/>
  <c r="AU24" i="14"/>
  <c r="AU7" i="14"/>
  <c r="AU64" i="14"/>
  <c r="AU43" i="14"/>
  <c r="AU86" i="14"/>
  <c r="AU54" i="14"/>
  <c r="AU98" i="14"/>
  <c r="AU16" i="14"/>
  <c r="AU96" i="14"/>
  <c r="AU34" i="14"/>
  <c r="AU68" i="14"/>
  <c r="AU42" i="14"/>
  <c r="AU27" i="14"/>
  <c r="AU44" i="14"/>
  <c r="AU20" i="14"/>
  <c r="AU23" i="14"/>
  <c r="AU63" i="14"/>
  <c r="AU21" i="14"/>
  <c r="AU41" i="14"/>
  <c r="AU65" i="14"/>
  <c r="AU85" i="14"/>
  <c r="AU47" i="14"/>
  <c r="AU5" i="14"/>
  <c r="AU25" i="14"/>
  <c r="AU49" i="14"/>
  <c r="AU69" i="14"/>
  <c r="AU89" i="14"/>
  <c r="AU91" i="14"/>
  <c r="AU82" i="14"/>
  <c r="AU33" i="14"/>
  <c r="AU73" i="14"/>
  <c r="AU99" i="14"/>
  <c r="AU72" i="14"/>
  <c r="AU40" i="14"/>
  <c r="AU14" i="14"/>
  <c r="AU57" i="14"/>
  <c r="AU4" i="14"/>
  <c r="AU51" i="14"/>
  <c r="AU60" i="14"/>
  <c r="AU37" i="14"/>
  <c r="AU81" i="14"/>
  <c r="AU94" i="14"/>
  <c r="AU62" i="14"/>
  <c r="AU35" i="14"/>
  <c r="AU8" i="14"/>
  <c r="AU31" i="14"/>
  <c r="AU17" i="14"/>
  <c r="AU101" i="14"/>
  <c r="AU78" i="14"/>
  <c r="AU19" i="14"/>
  <c r="AU11" i="14"/>
  <c r="AU9" i="14"/>
  <c r="AU53" i="14"/>
  <c r="AU97" i="14"/>
  <c r="AU83" i="14"/>
  <c r="AU56" i="14"/>
  <c r="AU30" i="14"/>
  <c r="D75" i="23" l="1" a="1"/>
  <c r="D75" i="23" s="1"/>
  <c r="D76" i="23" a="1"/>
  <c r="D76" i="23" s="1"/>
  <c r="AX5" i="15"/>
  <c r="AX6" i="15" s="1"/>
  <c r="AX7" i="15" s="1"/>
  <c r="AX8" i="15" s="1"/>
  <c r="AX9" i="15" s="1"/>
  <c r="AX10" i="15" s="1"/>
  <c r="AX11" i="15" s="1"/>
  <c r="AX12" i="15" s="1"/>
  <c r="AX13" i="15" s="1"/>
  <c r="AX14" i="15" s="1"/>
  <c r="AX15" i="15" s="1"/>
  <c r="AX16" i="15" s="1"/>
  <c r="AX17" i="15" s="1"/>
  <c r="AX18" i="15" s="1"/>
  <c r="AX19" i="15" s="1"/>
  <c r="AX20" i="15" s="1"/>
  <c r="AX21" i="15" s="1"/>
  <c r="AX22" i="15" s="1"/>
  <c r="AX23" i="15" s="1"/>
  <c r="AX24" i="15" s="1"/>
  <c r="AX25" i="15" s="1"/>
  <c r="AX26" i="15" s="1"/>
  <c r="AX27" i="15" s="1"/>
  <c r="AX28" i="15" s="1"/>
  <c r="AX29" i="15" s="1"/>
  <c r="AX30" i="15" s="1"/>
  <c r="AX31" i="15" s="1"/>
  <c r="AX32" i="15" s="1"/>
  <c r="AX33" i="15" s="1"/>
  <c r="AX34" i="15" s="1"/>
  <c r="AX35" i="15" s="1"/>
  <c r="AX36" i="15" s="1"/>
  <c r="AX37" i="15" s="1"/>
  <c r="AX38" i="15" s="1"/>
  <c r="BH5" i="15"/>
  <c r="BH6" i="15" s="1"/>
  <c r="BH7" i="15" s="1"/>
  <c r="BH8" i="15" s="1"/>
  <c r="BH9" i="15" s="1"/>
  <c r="BH10" i="15" s="1"/>
  <c r="BH11" i="15" s="1"/>
  <c r="BH12" i="15" s="1"/>
  <c r="BH13" i="15" s="1"/>
  <c r="BH14" i="15" s="1"/>
  <c r="BH15" i="15" s="1"/>
  <c r="BH16" i="15" s="1"/>
  <c r="BH17" i="15" s="1"/>
  <c r="BH18" i="15" s="1"/>
  <c r="BH19" i="15" s="1"/>
  <c r="BH20" i="15" s="1"/>
  <c r="BH21" i="15" s="1"/>
  <c r="BH22" i="15" s="1"/>
  <c r="BH23" i="15" s="1"/>
  <c r="BH24" i="15" s="1"/>
  <c r="BH25" i="15" s="1"/>
  <c r="BH26" i="15" s="1"/>
  <c r="BH27" i="15" s="1"/>
  <c r="BH28" i="15" s="1"/>
  <c r="BH29" i="15" s="1"/>
  <c r="BH30" i="15" s="1"/>
  <c r="BH31" i="15" s="1"/>
  <c r="BH32" i="15" s="1"/>
  <c r="BH33" i="15" s="1"/>
  <c r="BH34" i="15" s="1"/>
  <c r="BH35" i="15" s="1"/>
  <c r="BH36" i="15" s="1"/>
  <c r="BH37" i="15" s="1"/>
  <c r="BH38" i="15" s="1"/>
  <c r="BR5" i="15"/>
  <c r="BR6" i="15" s="1"/>
  <c r="BR7" i="15" s="1"/>
  <c r="BR8" i="15" s="1"/>
  <c r="BR9" i="15" s="1"/>
  <c r="BR10" i="15" s="1"/>
  <c r="BR11" i="15" s="1"/>
  <c r="BR12" i="15" s="1"/>
  <c r="BR13" i="15" s="1"/>
  <c r="BR14" i="15" s="1"/>
  <c r="BR15" i="15" s="1"/>
  <c r="BR16" i="15" s="1"/>
  <c r="BR17" i="15" s="1"/>
  <c r="BR18" i="15" s="1"/>
  <c r="BR19" i="15" s="1"/>
  <c r="BR20" i="15" s="1"/>
  <c r="BR21" i="15" s="1"/>
  <c r="BR22" i="15" s="1"/>
  <c r="BR23" i="15" s="1"/>
  <c r="BR24" i="15" s="1"/>
  <c r="BR25" i="15" s="1"/>
  <c r="BR26" i="15" s="1"/>
  <c r="BR27" i="15" s="1"/>
  <c r="BR28" i="15" s="1"/>
  <c r="BR29" i="15" s="1"/>
  <c r="BR30" i="15" s="1"/>
  <c r="BR31" i="15" s="1"/>
  <c r="BR32" i="15" s="1"/>
  <c r="BR33" i="15" s="1"/>
  <c r="BR34" i="15" s="1"/>
  <c r="BR35" i="15" s="1"/>
  <c r="BR36" i="15" s="1"/>
  <c r="BR37" i="15" s="1"/>
  <c r="BR38" i="15" s="1"/>
  <c r="AA4" i="14"/>
  <c r="D96" i="23"/>
  <c r="D95" i="23"/>
  <c r="AK21" i="14"/>
  <c r="AG21" i="14"/>
  <c r="AK65" i="14"/>
  <c r="AG65" i="14"/>
  <c r="AK16" i="14"/>
  <c r="AG16" i="14"/>
  <c r="AK54" i="14"/>
  <c r="AG54" i="14"/>
  <c r="AK8" i="14"/>
  <c r="AG8" i="14"/>
  <c r="AK60" i="14"/>
  <c r="AG60" i="14"/>
  <c r="AK25" i="14"/>
  <c r="AG25" i="14"/>
  <c r="AK68" i="14"/>
  <c r="AG68" i="14"/>
  <c r="AK14" i="14"/>
  <c r="AG14" i="14"/>
  <c r="AK79" i="14"/>
  <c r="AQ79" i="14" s="1"/>
  <c r="AG79" i="14"/>
  <c r="AK48" i="14"/>
  <c r="AG48" i="14"/>
  <c r="AK20" i="14"/>
  <c r="AG20" i="14"/>
  <c r="AK61" i="14"/>
  <c r="AG61" i="14"/>
  <c r="AK50" i="14"/>
  <c r="AG50" i="14"/>
  <c r="AK9" i="14"/>
  <c r="AG9" i="14"/>
  <c r="AK39" i="14"/>
  <c r="AG39" i="14"/>
  <c r="AK62" i="14"/>
  <c r="AG62" i="14"/>
  <c r="AK32" i="14"/>
  <c r="AG32" i="14"/>
  <c r="AK37" i="14"/>
  <c r="AG37" i="14"/>
  <c r="AK26" i="14"/>
  <c r="AG26" i="14"/>
  <c r="AK74" i="14"/>
  <c r="AQ74" i="14" s="1"/>
  <c r="AG74" i="14"/>
  <c r="AK33" i="14"/>
  <c r="AG33" i="14"/>
  <c r="AK63" i="14"/>
  <c r="AG63" i="14"/>
  <c r="AK22" i="14"/>
  <c r="AG22" i="14"/>
  <c r="AK77" i="14"/>
  <c r="AQ77" i="14" s="1"/>
  <c r="AG77" i="14"/>
  <c r="AK66" i="14"/>
  <c r="AG66" i="14"/>
  <c r="AK72" i="14"/>
  <c r="AG72" i="14"/>
  <c r="AK36" i="14"/>
  <c r="AG36" i="14"/>
  <c r="AK47" i="14"/>
  <c r="AG47" i="14"/>
  <c r="AK70" i="14"/>
  <c r="AG70" i="14"/>
  <c r="AK27" i="14"/>
  <c r="AG27" i="14"/>
  <c r="AK29" i="14"/>
  <c r="AG29" i="14"/>
  <c r="AK18" i="14"/>
  <c r="AG18" i="14"/>
  <c r="AK51" i="14"/>
  <c r="AG51" i="14"/>
  <c r="AK7" i="14"/>
  <c r="AG7" i="14"/>
  <c r="AK30" i="14"/>
  <c r="AG30" i="14"/>
  <c r="AK5" i="14"/>
  <c r="AG5" i="14"/>
  <c r="AK81" i="14"/>
  <c r="AQ81" i="14" s="1"/>
  <c r="AG81" i="14"/>
  <c r="AK42" i="14"/>
  <c r="AG42" i="14"/>
  <c r="AK82" i="14"/>
  <c r="AQ82" i="14" s="1"/>
  <c r="AG82" i="14"/>
  <c r="AK31" i="14"/>
  <c r="AG31" i="14"/>
  <c r="AK52" i="14"/>
  <c r="AG52" i="14"/>
  <c r="AK45" i="14"/>
  <c r="AG45" i="14"/>
  <c r="AK34" i="14"/>
  <c r="AG34" i="14"/>
  <c r="AK55" i="14"/>
  <c r="AG55" i="14"/>
  <c r="AK78" i="14"/>
  <c r="AQ78" i="14" s="1"/>
  <c r="AG78" i="14"/>
  <c r="AK35" i="14"/>
  <c r="AG35" i="14"/>
  <c r="AK75" i="14"/>
  <c r="AQ75" i="14" s="1"/>
  <c r="AG75" i="14"/>
  <c r="AK15" i="14"/>
  <c r="AG15" i="14"/>
  <c r="AK38" i="14"/>
  <c r="AG38" i="14"/>
  <c r="AK56" i="14"/>
  <c r="AG56" i="14"/>
  <c r="AK28" i="14"/>
  <c r="AG28" i="14"/>
  <c r="AK73" i="14"/>
  <c r="AG73" i="14"/>
  <c r="AK40" i="14"/>
  <c r="AG40" i="14"/>
  <c r="AK12" i="14"/>
  <c r="AG12" i="14"/>
  <c r="AK76" i="14"/>
  <c r="AQ76" i="14" s="1"/>
  <c r="AG76" i="14"/>
  <c r="AK67" i="14"/>
  <c r="AG67" i="14"/>
  <c r="AK49" i="14"/>
  <c r="AG49" i="14"/>
  <c r="AK53" i="14"/>
  <c r="AG53" i="14"/>
  <c r="AK10" i="14"/>
  <c r="AG10" i="14"/>
  <c r="AK19" i="14"/>
  <c r="AG19" i="14"/>
  <c r="AK59" i="14"/>
  <c r="AG59" i="14"/>
  <c r="AK13" i="14"/>
  <c r="AG13" i="14"/>
  <c r="AK57" i="14"/>
  <c r="AG57" i="14"/>
  <c r="AK23" i="14"/>
  <c r="AG23" i="14"/>
  <c r="AK46" i="14"/>
  <c r="AG46" i="14"/>
  <c r="AK80" i="14"/>
  <c r="AQ80" i="14" s="1"/>
  <c r="AG80" i="14"/>
  <c r="AK64" i="14"/>
  <c r="AG64" i="14"/>
  <c r="AK44" i="14"/>
  <c r="AG44" i="14"/>
  <c r="AK6" i="14"/>
  <c r="AG6" i="14"/>
  <c r="AK83" i="14"/>
  <c r="AQ83" i="14" s="1"/>
  <c r="AG83" i="14"/>
  <c r="AK43" i="14"/>
  <c r="AG43" i="14"/>
  <c r="AK41" i="14"/>
  <c r="AG41" i="14"/>
  <c r="AK71" i="14"/>
  <c r="AG71" i="14"/>
  <c r="AK24" i="14"/>
  <c r="AG24" i="14"/>
  <c r="AK11" i="14"/>
  <c r="AG11" i="14"/>
  <c r="AK69" i="14"/>
  <c r="AG69" i="14"/>
  <c r="AK58" i="14"/>
  <c r="AG58" i="14"/>
  <c r="AK17" i="14"/>
  <c r="AG17" i="14"/>
  <c r="AK94" i="14"/>
  <c r="V5" i="15"/>
  <c r="V6" i="15" s="1"/>
  <c r="V7" i="15" s="1"/>
  <c r="V8" i="15" s="1"/>
  <c r="V9" i="15" s="1"/>
  <c r="V10" i="15" s="1"/>
  <c r="V11" i="15" s="1"/>
  <c r="V12" i="15" s="1"/>
  <c r="V13" i="15" s="1"/>
  <c r="V14" i="15" s="1"/>
  <c r="V15" i="15" s="1"/>
  <c r="V16" i="15" s="1"/>
  <c r="V17" i="15" s="1"/>
  <c r="V18" i="15" s="1"/>
  <c r="V19" i="15" s="1"/>
  <c r="V20" i="15" s="1"/>
  <c r="V21" i="15" s="1"/>
  <c r="V22" i="15" s="1"/>
  <c r="V23" i="15" s="1"/>
  <c r="V24" i="15" s="1"/>
  <c r="AD5" i="15"/>
  <c r="AD6" i="15" s="1"/>
  <c r="AD7" i="15" s="1"/>
  <c r="AD8" i="15" s="1"/>
  <c r="AD9" i="15" s="1"/>
  <c r="AD10" i="15" s="1"/>
  <c r="AD11" i="15" s="1"/>
  <c r="AD12" i="15" s="1"/>
  <c r="AD13" i="15" s="1"/>
  <c r="AD14" i="15" s="1"/>
  <c r="AD15" i="15" s="1"/>
  <c r="AD16" i="15" s="1"/>
  <c r="AD17" i="15" s="1"/>
  <c r="AD18" i="15" s="1"/>
  <c r="AD19" i="15" s="1"/>
  <c r="AD20" i="15" s="1"/>
  <c r="AD21" i="15" s="1"/>
  <c r="AD22" i="15" s="1"/>
  <c r="AD23" i="15" s="1"/>
  <c r="AD24" i="15" s="1"/>
  <c r="AD25" i="15" s="1"/>
  <c r="AD26" i="15" s="1"/>
  <c r="AD27" i="15" s="1"/>
  <c r="AD28" i="15" s="1"/>
  <c r="AD29" i="15" s="1"/>
  <c r="AD30" i="15" s="1"/>
  <c r="AD31" i="15" s="1"/>
  <c r="AD32" i="15" s="1"/>
  <c r="AD33" i="15" s="1"/>
  <c r="AD34" i="15" s="1"/>
  <c r="AD35" i="15" s="1"/>
  <c r="AD36" i="15" s="1"/>
  <c r="AD37" i="15" s="1"/>
  <c r="AD38" i="15" s="1"/>
  <c r="AE9" i="15"/>
  <c r="AI11" i="15"/>
  <c r="AI14" i="15"/>
  <c r="AI16" i="15"/>
  <c r="AI12" i="15"/>
  <c r="AI15" i="15"/>
  <c r="AE19" i="15"/>
  <c r="AI21" i="15"/>
  <c r="AI9" i="15"/>
  <c r="AE24" i="15"/>
  <c r="AE6" i="15"/>
  <c r="AE8" i="15"/>
  <c r="AE10" i="15"/>
  <c r="AE13" i="15"/>
  <c r="AI19" i="15"/>
  <c r="AE20" i="15"/>
  <c r="AE23" i="15"/>
  <c r="AE25" i="15"/>
  <c r="AE7" i="15"/>
  <c r="AE17" i="15"/>
  <c r="AI6" i="15"/>
  <c r="AI7" i="15"/>
  <c r="AI8" i="15"/>
  <c r="AI10" i="15"/>
  <c r="AE11" i="15"/>
  <c r="AE14" i="15"/>
  <c r="AE16" i="15"/>
  <c r="AI17" i="15"/>
  <c r="AE27" i="15"/>
  <c r="AE12" i="15"/>
  <c r="AE15" i="15"/>
  <c r="AI18" i="15"/>
  <c r="AE21" i="15"/>
  <c r="AI22" i="15"/>
  <c r="AI20" i="15"/>
  <c r="AE22" i="15"/>
  <c r="AI27" i="15"/>
  <c r="AI31" i="15"/>
  <c r="AE33" i="15"/>
  <c r="AE34" i="15"/>
  <c r="AE36" i="15"/>
  <c r="AE5" i="15"/>
  <c r="AI25" i="15"/>
  <c r="AI24" i="15"/>
  <c r="AI26" i="15"/>
  <c r="AI28" i="15"/>
  <c r="AE32" i="15"/>
  <c r="AE35" i="15"/>
  <c r="AE18" i="15"/>
  <c r="AE29" i="15"/>
  <c r="AI33" i="15"/>
  <c r="AI34" i="15"/>
  <c r="AI36" i="15"/>
  <c r="AE38" i="15"/>
  <c r="AI32" i="15"/>
  <c r="AI35" i="15"/>
  <c r="AI29" i="15"/>
  <c r="AE30" i="15"/>
  <c r="AE37" i="15"/>
  <c r="AI38" i="15"/>
  <c r="AI30" i="15"/>
  <c r="AE31" i="15"/>
  <c r="AI37" i="15"/>
  <c r="AI13" i="15"/>
  <c r="AI23" i="15"/>
  <c r="AE26" i="15"/>
  <c r="AE28" i="15"/>
  <c r="AI5" i="15"/>
  <c r="Z5" i="15"/>
  <c r="Z6" i="15" s="1"/>
  <c r="Z7" i="15" s="1"/>
  <c r="Z8" i="15" s="1"/>
  <c r="Z9" i="15" s="1"/>
  <c r="Z10" i="15" s="1"/>
  <c r="Z11" i="15" s="1"/>
  <c r="Z12" i="15" s="1"/>
  <c r="Z13" i="15" s="1"/>
  <c r="Z14" i="15" s="1"/>
  <c r="Z15" i="15" s="1"/>
  <c r="Z16" i="15" s="1"/>
  <c r="Z17" i="15" s="1"/>
  <c r="Z18" i="15" s="1"/>
  <c r="Z19" i="15" s="1"/>
  <c r="Z20" i="15" s="1"/>
  <c r="Z21" i="15" s="1"/>
  <c r="Z22" i="15" s="1"/>
  <c r="Z23" i="15" s="1"/>
  <c r="Z24" i="15" s="1"/>
  <c r="Z25" i="15" s="1"/>
  <c r="Z26" i="15" s="1"/>
  <c r="Z27" i="15" s="1"/>
  <c r="Z28" i="15" s="1"/>
  <c r="Z29" i="15" s="1"/>
  <c r="Z30" i="15" s="1"/>
  <c r="Z31" i="15" s="1"/>
  <c r="Z32" i="15" s="1"/>
  <c r="Z33" i="15" s="1"/>
  <c r="Z34" i="15" s="1"/>
  <c r="Z35" i="15" s="1"/>
  <c r="Z36" i="15" s="1"/>
  <c r="Z37" i="15" s="1"/>
  <c r="Z38" i="15" s="1"/>
  <c r="L7" i="15"/>
  <c r="N9" i="15"/>
  <c r="DQ8" i="15"/>
  <c r="AE4" i="14"/>
  <c r="AI4" i="15"/>
  <c r="AJ4" i="15" s="1"/>
  <c r="AE4" i="15"/>
  <c r="AF4" i="15" s="1"/>
  <c r="C39" i="15"/>
  <c r="D78" i="23" l="1" a="1"/>
  <c r="D78" i="23" s="1"/>
  <c r="D77" i="23" a="1"/>
  <c r="D77" i="23" s="1"/>
  <c r="D136" i="23" a="1"/>
  <c r="D136" i="23" s="1"/>
  <c r="D104" i="23" a="1"/>
  <c r="D104" i="23" s="1"/>
  <c r="D137" i="23" a="1"/>
  <c r="D137" i="23" s="1"/>
  <c r="D105" i="23" a="1"/>
  <c r="D105" i="23" s="1"/>
  <c r="D106" i="23" a="1"/>
  <c r="D106" i="23" s="1"/>
  <c r="D135" i="23" a="1"/>
  <c r="D135" i="23" s="1"/>
  <c r="AG4" i="14"/>
  <c r="AQ11" i="14"/>
  <c r="AS11" i="14" s="1"/>
  <c r="AM11" i="14"/>
  <c r="AQ43" i="14"/>
  <c r="AS43" i="14" s="1"/>
  <c r="AM43" i="14"/>
  <c r="AQ64" i="14"/>
  <c r="AM64" i="14"/>
  <c r="AQ57" i="14"/>
  <c r="AS57" i="14" s="1"/>
  <c r="AM57" i="14"/>
  <c r="AQ10" i="14"/>
  <c r="AS10" i="14" s="1"/>
  <c r="AM10" i="14"/>
  <c r="AQ28" i="14"/>
  <c r="AS28" i="14" s="1"/>
  <c r="AM28" i="14"/>
  <c r="AQ34" i="14"/>
  <c r="AS34" i="14" s="1"/>
  <c r="AM34" i="14"/>
  <c r="AQ30" i="14"/>
  <c r="AS30" i="14" s="1"/>
  <c r="AM30" i="14"/>
  <c r="AQ29" i="14"/>
  <c r="AS29" i="14" s="1"/>
  <c r="AM29" i="14"/>
  <c r="AQ36" i="14"/>
  <c r="AS36" i="14" s="1"/>
  <c r="AM36" i="14"/>
  <c r="AQ22" i="14"/>
  <c r="AS22" i="14" s="1"/>
  <c r="AM22" i="14"/>
  <c r="AQ26" i="14"/>
  <c r="AS26" i="14" s="1"/>
  <c r="AM26" i="14"/>
  <c r="AQ39" i="14"/>
  <c r="AS39" i="14" s="1"/>
  <c r="AM39" i="14"/>
  <c r="AQ20" i="14"/>
  <c r="AS20" i="14" s="1"/>
  <c r="AM20" i="14"/>
  <c r="AQ68" i="14"/>
  <c r="AM68" i="14"/>
  <c r="AQ54" i="14"/>
  <c r="AS54" i="14" s="1"/>
  <c r="AM54" i="14"/>
  <c r="AQ17" i="14"/>
  <c r="AS17" i="14" s="1"/>
  <c r="AM17" i="14"/>
  <c r="AQ24" i="14"/>
  <c r="AS24" i="14" s="1"/>
  <c r="AM24" i="14"/>
  <c r="AQ13" i="14"/>
  <c r="AS13" i="14" s="1"/>
  <c r="AM13" i="14"/>
  <c r="AQ53" i="14"/>
  <c r="AS53" i="14" s="1"/>
  <c r="AM53" i="14"/>
  <c r="AQ12" i="14"/>
  <c r="AS12" i="14" s="1"/>
  <c r="AM12" i="14"/>
  <c r="AQ56" i="14"/>
  <c r="AS56" i="14" s="1"/>
  <c r="AM56" i="14"/>
  <c r="AQ35" i="14"/>
  <c r="AS35" i="14" s="1"/>
  <c r="AM35" i="14"/>
  <c r="AQ45" i="14"/>
  <c r="AS45" i="14" s="1"/>
  <c r="AM45" i="14"/>
  <c r="AQ42" i="14"/>
  <c r="AS42" i="14" s="1"/>
  <c r="AM42" i="14"/>
  <c r="AQ7" i="14"/>
  <c r="AS7" i="14" s="1"/>
  <c r="AM7" i="14"/>
  <c r="AQ27" i="14"/>
  <c r="AS27" i="14" s="1"/>
  <c r="AM27" i="14"/>
  <c r="AQ72" i="14"/>
  <c r="AM72" i="14"/>
  <c r="AQ63" i="14"/>
  <c r="AS63" i="14" s="1"/>
  <c r="AM63" i="14"/>
  <c r="AQ37" i="14"/>
  <c r="AS37" i="14" s="1"/>
  <c r="AM37" i="14"/>
  <c r="AQ9" i="14"/>
  <c r="AS9" i="14" s="1"/>
  <c r="AM9" i="14"/>
  <c r="AQ48" i="14"/>
  <c r="AS48" i="14" s="1"/>
  <c r="AM48" i="14"/>
  <c r="AQ25" i="14"/>
  <c r="AS25" i="14" s="1"/>
  <c r="AM25" i="14"/>
  <c r="AQ16" i="14"/>
  <c r="AS16" i="14" s="1"/>
  <c r="AM16" i="14"/>
  <c r="AQ58" i="14"/>
  <c r="AS58" i="14" s="1"/>
  <c r="AM58" i="14"/>
  <c r="AQ71" i="14"/>
  <c r="AM71" i="14"/>
  <c r="AQ6" i="14"/>
  <c r="AS6" i="14" s="1"/>
  <c r="AM6" i="14"/>
  <c r="AQ46" i="14"/>
  <c r="AS46" i="14" s="1"/>
  <c r="AM46" i="14"/>
  <c r="AQ59" i="14"/>
  <c r="AS59" i="14" s="1"/>
  <c r="AM59" i="14"/>
  <c r="AQ49" i="14"/>
  <c r="AS49" i="14" s="1"/>
  <c r="AM49" i="14"/>
  <c r="AQ40" i="14"/>
  <c r="AS40" i="14" s="1"/>
  <c r="AM40" i="14"/>
  <c r="AQ38" i="14"/>
  <c r="AS38" i="14" s="1"/>
  <c r="AM38" i="14"/>
  <c r="AQ52" i="14"/>
  <c r="AS52" i="14" s="1"/>
  <c r="AM52" i="14"/>
  <c r="AQ51" i="14"/>
  <c r="AS51" i="14" s="1"/>
  <c r="AM51" i="14"/>
  <c r="AQ70" i="14"/>
  <c r="AM70" i="14"/>
  <c r="AQ66" i="14"/>
  <c r="AM66" i="14"/>
  <c r="AQ33" i="14"/>
  <c r="AS33" i="14" s="1"/>
  <c r="AM33" i="14"/>
  <c r="AQ32" i="14"/>
  <c r="AS32" i="14" s="1"/>
  <c r="AM32" i="14"/>
  <c r="AQ50" i="14"/>
  <c r="AS50" i="14" s="1"/>
  <c r="AM50" i="14"/>
  <c r="AQ60" i="14"/>
  <c r="AS60" i="14" s="1"/>
  <c r="AM60" i="14"/>
  <c r="AQ65" i="14"/>
  <c r="AM65" i="14"/>
  <c r="AQ69" i="14"/>
  <c r="AM69" i="14"/>
  <c r="AQ41" i="14"/>
  <c r="AS41" i="14" s="1"/>
  <c r="AM41" i="14"/>
  <c r="AQ44" i="14"/>
  <c r="AS44" i="14" s="1"/>
  <c r="AM44" i="14"/>
  <c r="AQ23" i="14"/>
  <c r="AS23" i="14" s="1"/>
  <c r="AM23" i="14"/>
  <c r="AQ19" i="14"/>
  <c r="AS19" i="14" s="1"/>
  <c r="AM19" i="14"/>
  <c r="AQ67" i="14"/>
  <c r="AM67" i="14"/>
  <c r="AQ73" i="14"/>
  <c r="AM73" i="14"/>
  <c r="AQ15" i="14"/>
  <c r="AS15" i="14" s="1"/>
  <c r="AM15" i="14"/>
  <c r="AQ55" i="14"/>
  <c r="AS55" i="14" s="1"/>
  <c r="AM55" i="14"/>
  <c r="AQ31" i="14"/>
  <c r="AS31" i="14" s="1"/>
  <c r="AM31" i="14"/>
  <c r="AQ5" i="14"/>
  <c r="AS5" i="14" s="1"/>
  <c r="AM5" i="14"/>
  <c r="AQ18" i="14"/>
  <c r="AS18" i="14" s="1"/>
  <c r="AM18" i="14"/>
  <c r="AQ47" i="14"/>
  <c r="AS47" i="14" s="1"/>
  <c r="AM47" i="14"/>
  <c r="AQ62" i="14"/>
  <c r="AS62" i="14" s="1"/>
  <c r="AM62" i="14"/>
  <c r="AQ61" i="14"/>
  <c r="AS61" i="14" s="1"/>
  <c r="AM61" i="14"/>
  <c r="AQ14" i="14"/>
  <c r="AS14" i="14" s="1"/>
  <c r="AM14" i="14"/>
  <c r="AQ8" i="14"/>
  <c r="AS8" i="14" s="1"/>
  <c r="AM8" i="14"/>
  <c r="AQ21" i="14"/>
  <c r="AS21" i="14" s="1"/>
  <c r="AM21" i="14"/>
  <c r="AQ94" i="14"/>
  <c r="AJ5" i="15"/>
  <c r="AJ6" i="15" s="1"/>
  <c r="AJ7" i="15" s="1"/>
  <c r="AJ8" i="15" s="1"/>
  <c r="AJ9" i="15" s="1"/>
  <c r="AJ10" i="15" s="1"/>
  <c r="AJ11" i="15" s="1"/>
  <c r="AJ12" i="15" s="1"/>
  <c r="AJ13" i="15" s="1"/>
  <c r="AJ14" i="15" s="1"/>
  <c r="AJ15" i="15" s="1"/>
  <c r="AJ16" i="15" s="1"/>
  <c r="AJ17" i="15" s="1"/>
  <c r="AJ18" i="15" s="1"/>
  <c r="AJ19" i="15" s="1"/>
  <c r="AJ20" i="15" s="1"/>
  <c r="AJ21" i="15" s="1"/>
  <c r="AJ22" i="15" s="1"/>
  <c r="AJ23" i="15" s="1"/>
  <c r="AJ24" i="15" s="1"/>
  <c r="AJ25" i="15" s="1"/>
  <c r="AJ26" i="15" s="1"/>
  <c r="AJ27" i="15" s="1"/>
  <c r="AJ28" i="15" s="1"/>
  <c r="AJ29" i="15" s="1"/>
  <c r="AJ30" i="15" s="1"/>
  <c r="AJ31" i="15" s="1"/>
  <c r="AJ32" i="15" s="1"/>
  <c r="AJ33" i="15" s="1"/>
  <c r="AJ34" i="15" s="1"/>
  <c r="AJ35" i="15" s="1"/>
  <c r="AJ36" i="15" s="1"/>
  <c r="AJ37" i="15" s="1"/>
  <c r="AJ38" i="15" s="1"/>
  <c r="AF5" i="15"/>
  <c r="AO6" i="15"/>
  <c r="AO7" i="15"/>
  <c r="AO8" i="15"/>
  <c r="AO10" i="15"/>
  <c r="AO17" i="15"/>
  <c r="AS24" i="15"/>
  <c r="AS26" i="15"/>
  <c r="AS13" i="15"/>
  <c r="AO18" i="15"/>
  <c r="AS20" i="15"/>
  <c r="AO22" i="15"/>
  <c r="AS23" i="15"/>
  <c r="AS25" i="15"/>
  <c r="AS7" i="15"/>
  <c r="AS10" i="15"/>
  <c r="AO11" i="15"/>
  <c r="AO14" i="15"/>
  <c r="AO16" i="15"/>
  <c r="AS17" i="15"/>
  <c r="AS6" i="15"/>
  <c r="AS8" i="15"/>
  <c r="AO12" i="15"/>
  <c r="AO15" i="15"/>
  <c r="AS18" i="15"/>
  <c r="AO21" i="15"/>
  <c r="AS22" i="15"/>
  <c r="AO27" i="15"/>
  <c r="AO9" i="15"/>
  <c r="AS11" i="15"/>
  <c r="AS14" i="15"/>
  <c r="AS16" i="15"/>
  <c r="AS9" i="15"/>
  <c r="AO24" i="15"/>
  <c r="AO26" i="15"/>
  <c r="AO13" i="15"/>
  <c r="AS19" i="15"/>
  <c r="AO20" i="15"/>
  <c r="AO37" i="15"/>
  <c r="AS38" i="15"/>
  <c r="AO32" i="15"/>
  <c r="AO23" i="15"/>
  <c r="AS29" i="15"/>
  <c r="AO30" i="15"/>
  <c r="AS5" i="15"/>
  <c r="AS15" i="15"/>
  <c r="AO31" i="15"/>
  <c r="AS37" i="15"/>
  <c r="AO5" i="15"/>
  <c r="AO19" i="15"/>
  <c r="AS30" i="15"/>
  <c r="AS27" i="15"/>
  <c r="AO28" i="15"/>
  <c r="AS31" i="15"/>
  <c r="AO34" i="15"/>
  <c r="AO36" i="15"/>
  <c r="AS12" i="15"/>
  <c r="AS28" i="15"/>
  <c r="AS34" i="15"/>
  <c r="AS36" i="15"/>
  <c r="AO38" i="15"/>
  <c r="AS21" i="15"/>
  <c r="AO25" i="15"/>
  <c r="AO29" i="15"/>
  <c r="AS32" i="15"/>
  <c r="AS33" i="15"/>
  <c r="AS35" i="15"/>
  <c r="AO33" i="15"/>
  <c r="AO35" i="15"/>
  <c r="N10" i="15"/>
  <c r="DQ9" i="15"/>
  <c r="L8" i="15"/>
  <c r="D39" i="15"/>
  <c r="DM39" i="15" s="1"/>
  <c r="DN39" i="15" s="1"/>
  <c r="AO4" i="15"/>
  <c r="AP4" i="15" s="1"/>
  <c r="AK4" i="14"/>
  <c r="AS4" i="15"/>
  <c r="AT4" i="15" s="1"/>
  <c r="D80" i="23" l="1" a="1"/>
  <c r="D80" i="23" s="1"/>
  <c r="D79" i="23" a="1"/>
  <c r="D79" i="23" s="1"/>
  <c r="I105" i="23" a="1"/>
  <c r="I105" i="23" s="1"/>
  <c r="D107" i="23" a="1"/>
  <c r="D107" i="23" s="1"/>
  <c r="D108" i="23" a="1"/>
  <c r="D108" i="23" s="1"/>
  <c r="D141" i="23" a="1"/>
  <c r="D141" i="23" s="1"/>
  <c r="D143" i="23" a="1"/>
  <c r="D143" i="23" s="1"/>
  <c r="D109" i="23" a="1"/>
  <c r="D109" i="23" s="1"/>
  <c r="D142" i="23" a="1"/>
  <c r="D142" i="23" s="1"/>
  <c r="AI39" i="15"/>
  <c r="AJ39" i="15" s="1"/>
  <c r="U39" i="15"/>
  <c r="BU39" i="15"/>
  <c r="BV39" i="15" s="1"/>
  <c r="DI39" i="15"/>
  <c r="DJ39" i="15" s="1"/>
  <c r="CS39" i="15"/>
  <c r="CT39" i="15" s="1"/>
  <c r="BE39" i="15"/>
  <c r="AW39" i="15" s="1"/>
  <c r="AX39" i="15" s="1"/>
  <c r="AU39" i="15"/>
  <c r="AV39" i="15" s="1"/>
  <c r="BK39" i="15"/>
  <c r="BL39" i="15" s="1"/>
  <c r="AS39" i="15"/>
  <c r="AE39" i="15"/>
  <c r="AK39" i="15"/>
  <c r="W39" i="15"/>
  <c r="X39" i="15" s="1"/>
  <c r="CY39" i="15"/>
  <c r="CZ39" i="15" s="1"/>
  <c r="C40" i="15"/>
  <c r="Y39" i="15"/>
  <c r="Z39" i="15" s="1"/>
  <c r="AG39" i="15"/>
  <c r="AH39" i="15" s="1"/>
  <c r="G39" i="15"/>
  <c r="H39" i="15" s="1"/>
  <c r="CI39" i="15"/>
  <c r="AO39" i="15"/>
  <c r="K39" i="15"/>
  <c r="BY39" i="15"/>
  <c r="CO39" i="15"/>
  <c r="CP39" i="15" s="1"/>
  <c r="CE39" i="15"/>
  <c r="CF39" i="15" s="1"/>
  <c r="O39" i="15"/>
  <c r="P39" i="15" s="1"/>
  <c r="DC39" i="15"/>
  <c r="DD39" i="15" s="1"/>
  <c r="BA39" i="15"/>
  <c r="BB39" i="15" s="1"/>
  <c r="AQ39" i="15"/>
  <c r="AR39" i="15" s="1"/>
  <c r="M39" i="15"/>
  <c r="BO39" i="15"/>
  <c r="E39" i="15"/>
  <c r="F39" i="15" s="1"/>
  <c r="Q39" i="15"/>
  <c r="AA39" i="15"/>
  <c r="AB39" i="15" s="1"/>
  <c r="H105" i="23" a="1"/>
  <c r="H105" i="23" s="1"/>
  <c r="AM4" i="14"/>
  <c r="AT5" i="15"/>
  <c r="AT6" i="15" s="1"/>
  <c r="AT7" i="15" s="1"/>
  <c r="AT8" i="15" s="1"/>
  <c r="AT9" i="15" s="1"/>
  <c r="AT10" i="15" s="1"/>
  <c r="AT11" i="15" s="1"/>
  <c r="AT12" i="15" s="1"/>
  <c r="AT13" i="15" s="1"/>
  <c r="AT14" i="15" s="1"/>
  <c r="AT15" i="15" s="1"/>
  <c r="AT16" i="15" s="1"/>
  <c r="AT17" i="15" s="1"/>
  <c r="AT18" i="15" s="1"/>
  <c r="AT19" i="15" s="1"/>
  <c r="AT20" i="15" s="1"/>
  <c r="AT21" i="15" s="1"/>
  <c r="AT22" i="15" s="1"/>
  <c r="AT23" i="15" s="1"/>
  <c r="AT24" i="15" s="1"/>
  <c r="AT25" i="15" s="1"/>
  <c r="AT26" i="15" s="1"/>
  <c r="AT27" i="15" s="1"/>
  <c r="AT28" i="15" s="1"/>
  <c r="AT29" i="15" s="1"/>
  <c r="AT30" i="15" s="1"/>
  <c r="AT31" i="15" s="1"/>
  <c r="AT32" i="15" s="1"/>
  <c r="AT33" i="15" s="1"/>
  <c r="AT34" i="15" s="1"/>
  <c r="AT35" i="15" s="1"/>
  <c r="AT36" i="15" s="1"/>
  <c r="AT37" i="15" s="1"/>
  <c r="AT38" i="15" s="1"/>
  <c r="N11" i="15"/>
  <c r="DQ10" i="15"/>
  <c r="AP5" i="15"/>
  <c r="AP6" i="15" s="1"/>
  <c r="AP7" i="15" s="1"/>
  <c r="AP8" i="15" s="1"/>
  <c r="AP9" i="15" s="1"/>
  <c r="AP10" i="15" s="1"/>
  <c r="AP11" i="15" s="1"/>
  <c r="AP12" i="15" s="1"/>
  <c r="AP13" i="15" s="1"/>
  <c r="AP14" i="15" s="1"/>
  <c r="AP15" i="15" s="1"/>
  <c r="AP16" i="15" s="1"/>
  <c r="AP17" i="15" s="1"/>
  <c r="AP18" i="15" s="1"/>
  <c r="AP19" i="15" s="1"/>
  <c r="AP20" i="15" s="1"/>
  <c r="AP21" i="15" s="1"/>
  <c r="AP22" i="15" s="1"/>
  <c r="AP23" i="15" s="1"/>
  <c r="AP24" i="15" s="1"/>
  <c r="AP25" i="15" s="1"/>
  <c r="AP26" i="15" s="1"/>
  <c r="AP27" i="15" s="1"/>
  <c r="AP28" i="15" s="1"/>
  <c r="AP29" i="15" s="1"/>
  <c r="AP30" i="15" s="1"/>
  <c r="AP31" i="15" s="1"/>
  <c r="AP32" i="15" s="1"/>
  <c r="AP33" i="15" s="1"/>
  <c r="AP34" i="15" s="1"/>
  <c r="AP35" i="15" s="1"/>
  <c r="AP36" i="15" s="1"/>
  <c r="AP37" i="15" s="1"/>
  <c r="AP38" i="15" s="1"/>
  <c r="BC6" i="15"/>
  <c r="BC11" i="15"/>
  <c r="AY12" i="15"/>
  <c r="BC14" i="15"/>
  <c r="AY15" i="15"/>
  <c r="BC16" i="15"/>
  <c r="BC18" i="15"/>
  <c r="AY9" i="15"/>
  <c r="AY19" i="15"/>
  <c r="BC21" i="15"/>
  <c r="AY28" i="15"/>
  <c r="BC15" i="15"/>
  <c r="AY24" i="15"/>
  <c r="BC9" i="15"/>
  <c r="BC12" i="15"/>
  <c r="AY13" i="15"/>
  <c r="BC19" i="15"/>
  <c r="AY23" i="15"/>
  <c r="AY25" i="15"/>
  <c r="BC28" i="15"/>
  <c r="AY7" i="15"/>
  <c r="AY10" i="15"/>
  <c r="AY17" i="15"/>
  <c r="AY20" i="15"/>
  <c r="AY6" i="15"/>
  <c r="BC7" i="15"/>
  <c r="BC10" i="15"/>
  <c r="AY11" i="15"/>
  <c r="BC13" i="15"/>
  <c r="AY14" i="15"/>
  <c r="AY16" i="15"/>
  <c r="BC17" i="15"/>
  <c r="BC20" i="15"/>
  <c r="BC8" i="15"/>
  <c r="AY21" i="15"/>
  <c r="BC22" i="15"/>
  <c r="AY26" i="15"/>
  <c r="BC29" i="15"/>
  <c r="BC27" i="15"/>
  <c r="BC31" i="15"/>
  <c r="AY32" i="15"/>
  <c r="AY33" i="15"/>
  <c r="AY34" i="15"/>
  <c r="AY35" i="15"/>
  <c r="AY36" i="15"/>
  <c r="AY38" i="15"/>
  <c r="BC5" i="15"/>
  <c r="AY30" i="15"/>
  <c r="BC25" i="15"/>
  <c r="AY29" i="15"/>
  <c r="BC32" i="15"/>
  <c r="BC33" i="15"/>
  <c r="BC34" i="15"/>
  <c r="BC35" i="15"/>
  <c r="BC36" i="15"/>
  <c r="AY22" i="15"/>
  <c r="AY8" i="15"/>
  <c r="AY37" i="15"/>
  <c r="BC38" i="15"/>
  <c r="BC23" i="15"/>
  <c r="BC37" i="15"/>
  <c r="AY18" i="15"/>
  <c r="BC24" i="15"/>
  <c r="BC26" i="15"/>
  <c r="AY27" i="15"/>
  <c r="BC30" i="15"/>
  <c r="AY31" i="15"/>
  <c r="BC39" i="15"/>
  <c r="AY5" i="15"/>
  <c r="AY39" i="15"/>
  <c r="L9" i="15"/>
  <c r="AF6" i="15"/>
  <c r="C41" i="15"/>
  <c r="D40" i="15"/>
  <c r="BC40" i="15" s="1"/>
  <c r="BC4" i="15"/>
  <c r="BD4" i="15" s="1"/>
  <c r="AQ4" i="14"/>
  <c r="AY4" i="15"/>
  <c r="AZ4" i="15" s="1"/>
  <c r="D82" i="23" l="1" a="1"/>
  <c r="D82" i="23" s="1"/>
  <c r="D81" i="23" a="1"/>
  <c r="D81" i="23" s="1"/>
  <c r="D148" i="23" a="1"/>
  <c r="D148" i="23" s="1"/>
  <c r="D111" i="23" a="1"/>
  <c r="D111" i="23" s="1"/>
  <c r="D112" i="23" a="1"/>
  <c r="D112" i="23" s="1"/>
  <c r="D147" i="23" a="1"/>
  <c r="D147" i="23" s="1"/>
  <c r="D149" i="23" a="1"/>
  <c r="D149" i="23" s="1"/>
  <c r="D110" i="23" a="1"/>
  <c r="D110" i="23" s="1"/>
  <c r="I108" i="23" a="1"/>
  <c r="I108" i="23" s="1"/>
  <c r="BF39" i="15"/>
  <c r="AM39" i="15"/>
  <c r="AN39" i="15" s="1"/>
  <c r="AY40" i="15"/>
  <c r="AT39" i="15"/>
  <c r="BP39" i="15"/>
  <c r="BG39" i="15"/>
  <c r="BH39" i="15" s="1"/>
  <c r="AP39" i="15"/>
  <c r="BQ39" i="15"/>
  <c r="BR39" i="15" s="1"/>
  <c r="BZ39" i="15"/>
  <c r="AL39" i="15"/>
  <c r="AC39" i="15"/>
  <c r="AD39" i="15" s="1"/>
  <c r="R39" i="15"/>
  <c r="E40" i="15"/>
  <c r="F40" i="15" s="1"/>
  <c r="BA40" i="15"/>
  <c r="BB40" i="15" s="1"/>
  <c r="CO40" i="15"/>
  <c r="CP40" i="15" s="1"/>
  <c r="G40" i="15"/>
  <c r="H40" i="15" s="1"/>
  <c r="BE40" i="15"/>
  <c r="AW40" i="15" s="1"/>
  <c r="AX40" i="15" s="1"/>
  <c r="CS40" i="15"/>
  <c r="BU40" i="15"/>
  <c r="BV40" i="15" s="1"/>
  <c r="DI40" i="15"/>
  <c r="DJ40" i="15" s="1"/>
  <c r="AU40" i="15"/>
  <c r="AM40" i="15" s="1"/>
  <c r="AN40" i="15" s="1"/>
  <c r="W40" i="15"/>
  <c r="X40" i="15" s="1"/>
  <c r="BK40" i="15"/>
  <c r="BL40" i="15" s="1"/>
  <c r="CY40" i="15"/>
  <c r="CZ40" i="15" s="1"/>
  <c r="AA40" i="15"/>
  <c r="AB40" i="15" s="1"/>
  <c r="BO40" i="15"/>
  <c r="BG40" i="15" s="1"/>
  <c r="DC40" i="15"/>
  <c r="DD40" i="15" s="1"/>
  <c r="AG40" i="15"/>
  <c r="AH40" i="15" s="1"/>
  <c r="CI40" i="15"/>
  <c r="AK40" i="15"/>
  <c r="AC40" i="15" s="1"/>
  <c r="BY40" i="15"/>
  <c r="BQ40" i="15" s="1"/>
  <c r="DM40" i="15"/>
  <c r="DN40" i="15" s="1"/>
  <c r="AQ40" i="15"/>
  <c r="AR40" i="15" s="1"/>
  <c r="CE40" i="15"/>
  <c r="CF40" i="15" s="1"/>
  <c r="M40" i="15"/>
  <c r="Q40" i="15"/>
  <c r="O40" i="15"/>
  <c r="P40" i="15" s="1"/>
  <c r="K40" i="15"/>
  <c r="Y40" i="15"/>
  <c r="Z40" i="15" s="1"/>
  <c r="U40" i="15"/>
  <c r="AE40" i="15"/>
  <c r="AI40" i="15"/>
  <c r="AJ40" i="15" s="1"/>
  <c r="AS40" i="15"/>
  <c r="AT40" i="15" s="1"/>
  <c r="AO40" i="15"/>
  <c r="C42" i="15"/>
  <c r="D42" i="15" s="1"/>
  <c r="CJ39" i="15"/>
  <c r="H108" i="23" a="1"/>
  <c r="H108" i="23" s="1"/>
  <c r="AS4" i="14"/>
  <c r="L10" i="15"/>
  <c r="BD5" i="15"/>
  <c r="BD6" i="15" s="1"/>
  <c r="BD7" i="15" s="1"/>
  <c r="BD8" i="15" s="1"/>
  <c r="BD9" i="15" s="1"/>
  <c r="BD10" i="15" s="1"/>
  <c r="BD11" i="15" s="1"/>
  <c r="BD12" i="15" s="1"/>
  <c r="BD13" i="15" s="1"/>
  <c r="BD14" i="15" s="1"/>
  <c r="BD15" i="15" s="1"/>
  <c r="BD16" i="15" s="1"/>
  <c r="BD17" i="15" s="1"/>
  <c r="BD18" i="15" s="1"/>
  <c r="BD19" i="15" s="1"/>
  <c r="BD20" i="15" s="1"/>
  <c r="BD21" i="15" s="1"/>
  <c r="BD22" i="15" s="1"/>
  <c r="BD23" i="15" s="1"/>
  <c r="BD24" i="15" s="1"/>
  <c r="BD25" i="15" s="1"/>
  <c r="BD26" i="15" s="1"/>
  <c r="BD27" i="15" s="1"/>
  <c r="BD28" i="15" s="1"/>
  <c r="BD29" i="15" s="1"/>
  <c r="BD30" i="15" s="1"/>
  <c r="BD31" i="15" s="1"/>
  <c r="BD32" i="15" s="1"/>
  <c r="BD33" i="15" s="1"/>
  <c r="BD34" i="15" s="1"/>
  <c r="BD35" i="15" s="1"/>
  <c r="BD36" i="15" s="1"/>
  <c r="BD37" i="15" s="1"/>
  <c r="BD38" i="15" s="1"/>
  <c r="BD39" i="15" s="1"/>
  <c r="BD40" i="15" s="1"/>
  <c r="BI7" i="15"/>
  <c r="BM12" i="15"/>
  <c r="BI13" i="15"/>
  <c r="BI17" i="15"/>
  <c r="BI8" i="15"/>
  <c r="BI10" i="15"/>
  <c r="BI20" i="15"/>
  <c r="BI22" i="15"/>
  <c r="BM23" i="15"/>
  <c r="BM24" i="15"/>
  <c r="BM25" i="15"/>
  <c r="BM26" i="15"/>
  <c r="BI6" i="15"/>
  <c r="BM7" i="15"/>
  <c r="BI11" i="15"/>
  <c r="BI16" i="15"/>
  <c r="BM17" i="15"/>
  <c r="BI18" i="15"/>
  <c r="BM8" i="15"/>
  <c r="BM13" i="15"/>
  <c r="BI14" i="15"/>
  <c r="BM20" i="15"/>
  <c r="BI21" i="15"/>
  <c r="BM22" i="15"/>
  <c r="BM6" i="15"/>
  <c r="BM10" i="15"/>
  <c r="BM11" i="15"/>
  <c r="BI15" i="15"/>
  <c r="BM16" i="15"/>
  <c r="BM15" i="15"/>
  <c r="BM9" i="15"/>
  <c r="BM19" i="15"/>
  <c r="BI19" i="15"/>
  <c r="BI29" i="15"/>
  <c r="BM36" i="15"/>
  <c r="BI37" i="15"/>
  <c r="BM38" i="15"/>
  <c r="BI12" i="15"/>
  <c r="BM14" i="15"/>
  <c r="BI24" i="15"/>
  <c r="BI26" i="15"/>
  <c r="BI30" i="15"/>
  <c r="BI40" i="15"/>
  <c r="BI28" i="15"/>
  <c r="BM29" i="15"/>
  <c r="BM37" i="15"/>
  <c r="BI39" i="15"/>
  <c r="BI25" i="15"/>
  <c r="BM18" i="15"/>
  <c r="BM30" i="15"/>
  <c r="BI31" i="15"/>
  <c r="BM40" i="15"/>
  <c r="BM21" i="15"/>
  <c r="BI27" i="15"/>
  <c r="BM28" i="15"/>
  <c r="BM39" i="15"/>
  <c r="BM5" i="15"/>
  <c r="BI32" i="15"/>
  <c r="BM27" i="15"/>
  <c r="BI36" i="15"/>
  <c r="BI38" i="15"/>
  <c r="BI9" i="15"/>
  <c r="BI23" i="15"/>
  <c r="BM32" i="15"/>
  <c r="BM33" i="15"/>
  <c r="BM34" i="15"/>
  <c r="BM35" i="15"/>
  <c r="BI5" i="15"/>
  <c r="BM31" i="15"/>
  <c r="BI33" i="15"/>
  <c r="BI35" i="15"/>
  <c r="BI34" i="15"/>
  <c r="AZ5" i="15"/>
  <c r="AZ6" i="15" s="1"/>
  <c r="AZ7" i="15" s="1"/>
  <c r="AZ8" i="15" s="1"/>
  <c r="AZ9" i="15" s="1"/>
  <c r="AZ10" i="15" s="1"/>
  <c r="AZ11" i="15" s="1"/>
  <c r="AZ12" i="15" s="1"/>
  <c r="AZ13" i="15" s="1"/>
  <c r="AZ14" i="15" s="1"/>
  <c r="AZ15" i="15" s="1"/>
  <c r="AZ16" i="15" s="1"/>
  <c r="AZ17" i="15" s="1"/>
  <c r="AZ18" i="15" s="1"/>
  <c r="AZ19" i="15" s="1"/>
  <c r="AZ20" i="15" s="1"/>
  <c r="AZ21" i="15" s="1"/>
  <c r="AZ22" i="15" s="1"/>
  <c r="AZ23" i="15" s="1"/>
  <c r="AZ24" i="15" s="1"/>
  <c r="AZ25" i="15" s="1"/>
  <c r="AZ26" i="15" s="1"/>
  <c r="AZ27" i="15" s="1"/>
  <c r="AZ28" i="15" s="1"/>
  <c r="AZ29" i="15" s="1"/>
  <c r="AZ30" i="15" s="1"/>
  <c r="AZ31" i="15" s="1"/>
  <c r="AZ32" i="15" s="1"/>
  <c r="AZ33" i="15" s="1"/>
  <c r="AZ34" i="15" s="1"/>
  <c r="AZ35" i="15" s="1"/>
  <c r="AZ36" i="15" s="1"/>
  <c r="AZ37" i="15" s="1"/>
  <c r="AZ38" i="15" s="1"/>
  <c r="AZ39" i="15" s="1"/>
  <c r="AZ40" i="15" s="1"/>
  <c r="DQ11" i="15"/>
  <c r="N12" i="15"/>
  <c r="AF7" i="15"/>
  <c r="D41" i="15"/>
  <c r="BE41" i="15" s="1"/>
  <c r="AW41" i="15" s="1"/>
  <c r="BM4" i="15"/>
  <c r="BN4" i="15" s="1"/>
  <c r="BI4" i="15"/>
  <c r="BJ4" i="15" s="1"/>
  <c r="AV40" i="15" l="1"/>
  <c r="CJ40" i="15"/>
  <c r="I111" i="23" a="1"/>
  <c r="I111" i="23" s="1"/>
  <c r="Q41" i="15"/>
  <c r="BY41" i="15"/>
  <c r="BQ41" i="15" s="1"/>
  <c r="CE41" i="15"/>
  <c r="CF41" i="15" s="1"/>
  <c r="BM42" i="15"/>
  <c r="CT40" i="15"/>
  <c r="AO41" i="15"/>
  <c r="AX41" i="15"/>
  <c r="CO41" i="15"/>
  <c r="CP41" i="15" s="1"/>
  <c r="AK41" i="15"/>
  <c r="AC41" i="15" s="1"/>
  <c r="DC41" i="15"/>
  <c r="DD41" i="15" s="1"/>
  <c r="AI41" i="15"/>
  <c r="AJ41" i="15" s="1"/>
  <c r="BA41" i="15"/>
  <c r="BB41" i="15" s="1"/>
  <c r="DI41" i="15"/>
  <c r="DJ41" i="15" s="1"/>
  <c r="BO41" i="15"/>
  <c r="BG41" i="15" s="1"/>
  <c r="BF40" i="15"/>
  <c r="BF41" i="15" s="1"/>
  <c r="AE41" i="15"/>
  <c r="BM41" i="15"/>
  <c r="BZ40" i="15"/>
  <c r="U41" i="15"/>
  <c r="E41" i="15"/>
  <c r="F41" i="15" s="1"/>
  <c r="BU41" i="15"/>
  <c r="BV41" i="15" s="1"/>
  <c r="AA41" i="15"/>
  <c r="AB41" i="15" s="1"/>
  <c r="AP40" i="15"/>
  <c r="AL40" i="15"/>
  <c r="AY41" i="15"/>
  <c r="AZ41" i="15" s="1"/>
  <c r="BR40" i="15"/>
  <c r="Y41" i="15"/>
  <c r="Z41" i="15" s="1"/>
  <c r="CI41" i="15"/>
  <c r="AG41" i="15"/>
  <c r="AH41" i="15" s="1"/>
  <c r="CY41" i="15"/>
  <c r="CZ41" i="15" s="1"/>
  <c r="AG42" i="15"/>
  <c r="BU42" i="15"/>
  <c r="DI42" i="15"/>
  <c r="AK42" i="15"/>
  <c r="AC42" i="15" s="1"/>
  <c r="BY42" i="15"/>
  <c r="BQ42" i="15" s="1"/>
  <c r="DM42" i="15"/>
  <c r="BA42" i="15"/>
  <c r="AQ42" i="15"/>
  <c r="CE42" i="15"/>
  <c r="CO42" i="15"/>
  <c r="AU42" i="15"/>
  <c r="AM42" i="15" s="1"/>
  <c r="CI42" i="15"/>
  <c r="E42" i="15"/>
  <c r="AA42" i="15"/>
  <c r="G42" i="15"/>
  <c r="BE42" i="15"/>
  <c r="AW42" i="15" s="1"/>
  <c r="CS42" i="15"/>
  <c r="DC42" i="15"/>
  <c r="W42" i="15"/>
  <c r="BK42" i="15"/>
  <c r="CY42" i="15"/>
  <c r="BO42" i="15"/>
  <c r="BG42" i="15" s="1"/>
  <c r="Q42" i="15"/>
  <c r="M42" i="15"/>
  <c r="O42" i="15"/>
  <c r="K42" i="15"/>
  <c r="Y42" i="15"/>
  <c r="U42" i="15"/>
  <c r="AI42" i="15"/>
  <c r="AE42" i="15"/>
  <c r="AO42" i="15"/>
  <c r="AS42" i="15"/>
  <c r="BC42" i="15"/>
  <c r="AY42" i="15"/>
  <c r="C43" i="15"/>
  <c r="D43" i="15" s="1"/>
  <c r="R40" i="15"/>
  <c r="R41" i="15" s="1"/>
  <c r="K41" i="15"/>
  <c r="AU41" i="15"/>
  <c r="AM41" i="15" s="1"/>
  <c r="AN41" i="15" s="1"/>
  <c r="AN42" i="15" s="1"/>
  <c r="CS41" i="15"/>
  <c r="BK41" i="15"/>
  <c r="BL41" i="15" s="1"/>
  <c r="AD40" i="15"/>
  <c r="AD41" i="15" s="1"/>
  <c r="BI42" i="15"/>
  <c r="O41" i="15"/>
  <c r="P41" i="15" s="1"/>
  <c r="AQ41" i="15"/>
  <c r="AR41" i="15" s="1"/>
  <c r="G41" i="15"/>
  <c r="H41" i="15" s="1"/>
  <c r="W41" i="15"/>
  <c r="X41" i="15" s="1"/>
  <c r="X42" i="15" s="1"/>
  <c r="BH40" i="15"/>
  <c r="BI41" i="15"/>
  <c r="BC41" i="15"/>
  <c r="BD41" i="15" s="1"/>
  <c r="BD42" i="15" s="1"/>
  <c r="AS41" i="15"/>
  <c r="AT41" i="15" s="1"/>
  <c r="M41" i="15"/>
  <c r="DM41" i="15"/>
  <c r="DN41" i="15" s="1"/>
  <c r="BP40" i="15"/>
  <c r="H111" i="23" a="1"/>
  <c r="H111" i="23" s="1"/>
  <c r="BN5" i="15"/>
  <c r="BN6" i="15" s="1"/>
  <c r="BN7" i="15" s="1"/>
  <c r="BN8" i="15" s="1"/>
  <c r="BN9" i="15" s="1"/>
  <c r="BN10" i="15" s="1"/>
  <c r="BN11" i="15" s="1"/>
  <c r="BN12" i="15" s="1"/>
  <c r="BN13" i="15" s="1"/>
  <c r="BN14" i="15" s="1"/>
  <c r="BN15" i="15" s="1"/>
  <c r="BN16" i="15" s="1"/>
  <c r="BN17" i="15" s="1"/>
  <c r="BN18" i="15" s="1"/>
  <c r="BN19" i="15" s="1"/>
  <c r="BN20" i="15" s="1"/>
  <c r="BN21" i="15" s="1"/>
  <c r="BN22" i="15" s="1"/>
  <c r="BN23" i="15" s="1"/>
  <c r="BN24" i="15" s="1"/>
  <c r="BN25" i="15" s="1"/>
  <c r="BN26" i="15" s="1"/>
  <c r="BN27" i="15" s="1"/>
  <c r="BN28" i="15" s="1"/>
  <c r="BN29" i="15" s="1"/>
  <c r="BN30" i="15" s="1"/>
  <c r="BN31" i="15" s="1"/>
  <c r="BN32" i="15" s="1"/>
  <c r="BN33" i="15" s="1"/>
  <c r="BN34" i="15" s="1"/>
  <c r="BN35" i="15" s="1"/>
  <c r="BN36" i="15" s="1"/>
  <c r="BN37" i="15" s="1"/>
  <c r="BN38" i="15" s="1"/>
  <c r="BN39" i="15" s="1"/>
  <c r="BN40" i="15" s="1"/>
  <c r="AF8" i="15"/>
  <c r="BJ5" i="15"/>
  <c r="BJ6" i="15" s="1"/>
  <c r="N13" i="15"/>
  <c r="DQ12" i="15"/>
  <c r="L11" i="15"/>
  <c r="AT42" i="15" l="1"/>
  <c r="AR42" i="15"/>
  <c r="H42" i="15"/>
  <c r="DN42" i="15"/>
  <c r="AP41" i="15"/>
  <c r="AP42" i="15" s="1"/>
  <c r="AH42" i="15"/>
  <c r="P42" i="15"/>
  <c r="BR41" i="15"/>
  <c r="BR42" i="15" s="1"/>
  <c r="BZ41" i="15"/>
  <c r="BZ42" i="15" s="1"/>
  <c r="Z42" i="15"/>
  <c r="F42" i="15"/>
  <c r="AB42" i="15"/>
  <c r="AD42" i="15"/>
  <c r="BL42" i="15"/>
  <c r="BB42" i="15"/>
  <c r="BN41" i="15"/>
  <c r="BN42" i="15" s="1"/>
  <c r="BH41" i="15"/>
  <c r="BH42" i="15" s="1"/>
  <c r="BP41" i="15"/>
  <c r="BP42" i="15" s="1"/>
  <c r="CZ42" i="15"/>
  <c r="AL41" i="15"/>
  <c r="AL42" i="15" s="1"/>
  <c r="AZ42" i="15"/>
  <c r="DJ42" i="15"/>
  <c r="CP42" i="15"/>
  <c r="CT41" i="15"/>
  <c r="CT42" i="15" s="1"/>
  <c r="BV42" i="15"/>
  <c r="CF42" i="15"/>
  <c r="AJ42" i="15"/>
  <c r="DD42" i="15"/>
  <c r="CJ41" i="15"/>
  <c r="CJ42" i="15" s="1"/>
  <c r="AV41" i="15"/>
  <c r="AV42" i="15" s="1"/>
  <c r="BF42" i="15"/>
  <c r="AX42" i="15"/>
  <c r="AQ43" i="15"/>
  <c r="CE43" i="15"/>
  <c r="CI43" i="15"/>
  <c r="CY43" i="15"/>
  <c r="BY43" i="15"/>
  <c r="BQ43" i="15" s="1"/>
  <c r="AU43" i="15"/>
  <c r="AM43" i="15" s="1"/>
  <c r="AN43" i="15" s="1"/>
  <c r="W43" i="15"/>
  <c r="X43" i="15" s="1"/>
  <c r="AK43" i="15"/>
  <c r="AC43" i="15" s="1"/>
  <c r="DM43" i="15"/>
  <c r="E43" i="15"/>
  <c r="E2" i="15" s="1"/>
  <c r="BA43" i="15"/>
  <c r="CO43" i="15"/>
  <c r="G43" i="15"/>
  <c r="G2" i="15" s="1"/>
  <c r="BE43" i="15"/>
  <c r="AW43" i="15" s="1"/>
  <c r="CS43" i="15"/>
  <c r="BK43" i="15"/>
  <c r="AA43" i="15"/>
  <c r="BO43" i="15"/>
  <c r="BG43" i="15" s="1"/>
  <c r="DC43" i="15"/>
  <c r="DI43" i="15"/>
  <c r="AG43" i="15"/>
  <c r="AH43" i="15" s="1"/>
  <c r="BU43" i="15"/>
  <c r="M43" i="15"/>
  <c r="Q43" i="15"/>
  <c r="K43" i="15"/>
  <c r="O43" i="15"/>
  <c r="P43" i="15" s="1"/>
  <c r="U43" i="15"/>
  <c r="Y43" i="15"/>
  <c r="AI43" i="15"/>
  <c r="AE43" i="15"/>
  <c r="AS43" i="15"/>
  <c r="AT43" i="15" s="1"/>
  <c r="AO43" i="15"/>
  <c r="BC43" i="15"/>
  <c r="BD43" i="15" s="1"/>
  <c r="AY43" i="15"/>
  <c r="AZ43" i="15" s="1"/>
  <c r="BM43" i="15"/>
  <c r="BI43" i="15"/>
  <c r="R42" i="15"/>
  <c r="L12" i="15"/>
  <c r="AF9" i="15"/>
  <c r="DQ13" i="15"/>
  <c r="N14" i="15"/>
  <c r="BJ7" i="15"/>
  <c r="AD43" i="15" l="1"/>
  <c r="BN43" i="15"/>
  <c r="Z43" i="15"/>
  <c r="BL43" i="15"/>
  <c r="DN43" i="15"/>
  <c r="D45" i="23" s="1"/>
  <c r="AR43" i="15"/>
  <c r="BB43" i="15"/>
  <c r="F43" i="15"/>
  <c r="CZ43" i="15"/>
  <c r="R43" i="15"/>
  <c r="AB43" i="15"/>
  <c r="AL43" i="15"/>
  <c r="BH43" i="15"/>
  <c r="AP43" i="15"/>
  <c r="BV43" i="15"/>
  <c r="BF43" i="15"/>
  <c r="AV43" i="15"/>
  <c r="CT43" i="15"/>
  <c r="BR43" i="15"/>
  <c r="CJ43" i="15"/>
  <c r="H43" i="15"/>
  <c r="DD43" i="15"/>
  <c r="CP43" i="15"/>
  <c r="BP43" i="15"/>
  <c r="BZ43" i="15"/>
  <c r="AJ43" i="15"/>
  <c r="DJ43" i="15"/>
  <c r="AX43" i="15"/>
  <c r="CF43" i="15"/>
  <c r="L13" i="15"/>
  <c r="BJ8" i="15"/>
  <c r="N15" i="15"/>
  <c r="DQ14" i="15"/>
  <c r="AF10" i="15"/>
  <c r="CS2" i="15"/>
  <c r="BO2" i="15"/>
  <c r="BE2" i="15"/>
  <c r="AU2" i="15"/>
  <c r="DC2" i="15"/>
  <c r="BY2" i="15"/>
  <c r="O2" i="15"/>
  <c r="D46" i="23" l="1"/>
  <c r="D47" i="23"/>
  <c r="D48" i="23" s="1"/>
  <c r="BJ9" i="15"/>
  <c r="AF11" i="15"/>
  <c r="N16" i="15"/>
  <c r="DQ15" i="15"/>
  <c r="L14" i="15"/>
  <c r="F9" i="3"/>
  <c r="F10" i="3"/>
  <c r="F11" i="3"/>
  <c r="F12" i="3"/>
  <c r="G12" i="3" s="1"/>
  <c r="F16" i="3"/>
  <c r="G16" i="3" s="1"/>
  <c r="F17" i="3"/>
  <c r="G17" i="3" s="1"/>
  <c r="F18" i="3"/>
  <c r="G18" i="3" s="1"/>
  <c r="G42" i="3"/>
  <c r="G41" i="3"/>
  <c r="G40" i="3"/>
  <c r="G39" i="3"/>
  <c r="G33" i="3"/>
  <c r="R2" i="14" s="1"/>
  <c r="G32" i="3"/>
  <c r="M2" i="14" s="1"/>
  <c r="G28" i="3"/>
  <c r="G27" i="3"/>
  <c r="G26" i="3"/>
  <c r="G25" i="3"/>
  <c r="G24" i="3"/>
  <c r="G23" i="3"/>
  <c r="G22" i="3"/>
  <c r="G11" i="3"/>
  <c r="G10" i="3"/>
  <c r="G9" i="1"/>
  <c r="G10" i="1"/>
  <c r="G11" i="1"/>
  <c r="G12" i="1"/>
  <c r="G13" i="1"/>
  <c r="G14" i="1"/>
  <c r="G15" i="1"/>
  <c r="G19" i="1"/>
  <c r="G20" i="1"/>
  <c r="G21" i="1"/>
  <c r="G22" i="1"/>
  <c r="G23" i="1"/>
  <c r="G24" i="1"/>
  <c r="G25" i="1"/>
  <c r="R4" i="14" l="1"/>
  <c r="R75" i="14"/>
  <c r="R10" i="14"/>
  <c r="R41" i="14"/>
  <c r="R66" i="14"/>
  <c r="R72" i="14"/>
  <c r="R8" i="14"/>
  <c r="R70" i="14"/>
  <c r="R6" i="14"/>
  <c r="R39" i="14"/>
  <c r="R53" i="14"/>
  <c r="R67" i="14"/>
  <c r="R92" i="14"/>
  <c r="R28" i="14"/>
  <c r="R43" i="14"/>
  <c r="R97" i="14"/>
  <c r="R33" i="14"/>
  <c r="R50" i="14"/>
  <c r="R64" i="14"/>
  <c r="R87" i="14"/>
  <c r="R62" i="14"/>
  <c r="R91" i="14"/>
  <c r="R15" i="14"/>
  <c r="R45" i="14"/>
  <c r="R27" i="14"/>
  <c r="R84" i="14"/>
  <c r="R20" i="14"/>
  <c r="R11" i="14"/>
  <c r="R89" i="14"/>
  <c r="R25" i="14"/>
  <c r="R42" i="14"/>
  <c r="R56" i="14"/>
  <c r="R55" i="14"/>
  <c r="R54" i="14"/>
  <c r="R51" i="14"/>
  <c r="R101" i="14"/>
  <c r="R37" i="14"/>
  <c r="R79" i="14"/>
  <c r="R76" i="14"/>
  <c r="R12" i="14"/>
  <c r="R52" i="14"/>
  <c r="R57" i="14"/>
  <c r="R24" i="14"/>
  <c r="R22" i="14"/>
  <c r="R5" i="14"/>
  <c r="R44" i="14"/>
  <c r="R49" i="14"/>
  <c r="R80" i="14"/>
  <c r="R78" i="14"/>
  <c r="R14" i="14"/>
  <c r="R61" i="14"/>
  <c r="R83" i="14"/>
  <c r="R36" i="14"/>
  <c r="R98" i="14"/>
  <c r="R81" i="14"/>
  <c r="R17" i="14"/>
  <c r="R26" i="14"/>
  <c r="R48" i="14"/>
  <c r="R7" i="14"/>
  <c r="R46" i="14"/>
  <c r="R35" i="14"/>
  <c r="R93" i="14"/>
  <c r="R29" i="14"/>
  <c r="R63" i="14"/>
  <c r="R68" i="14"/>
  <c r="R90" i="14"/>
  <c r="R73" i="14"/>
  <c r="R9" i="14"/>
  <c r="R18" i="14"/>
  <c r="R40" i="14"/>
  <c r="R102" i="14"/>
  <c r="R38" i="14"/>
  <c r="R19" i="14"/>
  <c r="R85" i="14"/>
  <c r="R21" i="14"/>
  <c r="R47" i="14"/>
  <c r="R60" i="14"/>
  <c r="R74" i="14"/>
  <c r="R65" i="14"/>
  <c r="R99" i="14"/>
  <c r="R96" i="14"/>
  <c r="R32" i="14"/>
  <c r="R94" i="14"/>
  <c r="R30" i="14"/>
  <c r="R103" i="14"/>
  <c r="R77" i="14"/>
  <c r="R13" i="14"/>
  <c r="R31" i="14"/>
  <c r="R58" i="14"/>
  <c r="R59" i="14"/>
  <c r="R88" i="14"/>
  <c r="R86" i="14"/>
  <c r="R95" i="14"/>
  <c r="R69" i="14"/>
  <c r="R23" i="14"/>
  <c r="R34" i="14"/>
  <c r="R82" i="14"/>
  <c r="R16" i="14"/>
  <c r="R71" i="14"/>
  <c r="R100" i="14"/>
  <c r="BA2" i="14"/>
  <c r="CA2" i="15"/>
  <c r="I2" i="15"/>
  <c r="CK2" i="15"/>
  <c r="BG2" i="14"/>
  <c r="BJ10" i="15"/>
  <c r="L15" i="15"/>
  <c r="DQ16" i="15"/>
  <c r="N17" i="15"/>
  <c r="AF12" i="15"/>
  <c r="M28" i="14"/>
  <c r="CU2" i="15"/>
  <c r="BM2" i="14"/>
  <c r="S2" i="15"/>
  <c r="DE2" i="15"/>
  <c r="BS2" i="14"/>
  <c r="Q2" i="15"/>
  <c r="CK22" i="15" l="1"/>
  <c r="CK14" i="15"/>
  <c r="CK32" i="15"/>
  <c r="CK36" i="15"/>
  <c r="CK37" i="15"/>
  <c r="CK15" i="15"/>
  <c r="CK31" i="15"/>
  <c r="CK4" i="15"/>
  <c r="CL4" i="15" s="1"/>
  <c r="CK12" i="15"/>
  <c r="CK35" i="15"/>
  <c r="CK13" i="15"/>
  <c r="CK21" i="15"/>
  <c r="CK18" i="15"/>
  <c r="CK28" i="15"/>
  <c r="CK34" i="15"/>
  <c r="CK10" i="15"/>
  <c r="CK6" i="15"/>
  <c r="CK20" i="15"/>
  <c r="CK26" i="15"/>
  <c r="CK25" i="15"/>
  <c r="CK8" i="15"/>
  <c r="CK16" i="15"/>
  <c r="CK9" i="15"/>
  <c r="CK11" i="15"/>
  <c r="CK27" i="15"/>
  <c r="CK23" i="15"/>
  <c r="CK29" i="15"/>
  <c r="CK7" i="15"/>
  <c r="CK33" i="15"/>
  <c r="CK24" i="15"/>
  <c r="CK30" i="15"/>
  <c r="CK17" i="15"/>
  <c r="CK19" i="15"/>
  <c r="CK5" i="15"/>
  <c r="CK38" i="15"/>
  <c r="CK39" i="15"/>
  <c r="CK40" i="15"/>
  <c r="CK41" i="15"/>
  <c r="CK42" i="15"/>
  <c r="CK43" i="15"/>
  <c r="CA16" i="15"/>
  <c r="CA33" i="15"/>
  <c r="CA32" i="15"/>
  <c r="CA20" i="15"/>
  <c r="CA27" i="15"/>
  <c r="CA37" i="15"/>
  <c r="CA25" i="15"/>
  <c r="CA8" i="15"/>
  <c r="CA17" i="15"/>
  <c r="CA9" i="15"/>
  <c r="CA19" i="15"/>
  <c r="CA36" i="15"/>
  <c r="CA10" i="15"/>
  <c r="CA5" i="15"/>
  <c r="CA31" i="15"/>
  <c r="CA18" i="15"/>
  <c r="CA29" i="15"/>
  <c r="CA4" i="15"/>
  <c r="CB4" i="15" s="1"/>
  <c r="CA21" i="15"/>
  <c r="CA11" i="15"/>
  <c r="CA35" i="15"/>
  <c r="CA12" i="15"/>
  <c r="CA7" i="15"/>
  <c r="CA26" i="15"/>
  <c r="CA28" i="15"/>
  <c r="CA30" i="15"/>
  <c r="CA34" i="15"/>
  <c r="CA13" i="15"/>
  <c r="CA23" i="15"/>
  <c r="CA24" i="15"/>
  <c r="CA14" i="15"/>
  <c r="CA22" i="15"/>
  <c r="CA6" i="15"/>
  <c r="CA15" i="15"/>
  <c r="CA38" i="15"/>
  <c r="CA39" i="15"/>
  <c r="CA40" i="15"/>
  <c r="CA41" i="15"/>
  <c r="CA42" i="15"/>
  <c r="CA43" i="15"/>
  <c r="I8" i="15"/>
  <c r="I17" i="15"/>
  <c r="I15" i="15"/>
  <c r="I13" i="15"/>
  <c r="I14" i="15"/>
  <c r="I24" i="15"/>
  <c r="I32" i="15"/>
  <c r="I31" i="15"/>
  <c r="I33" i="15"/>
  <c r="I11" i="15"/>
  <c r="I34" i="15"/>
  <c r="I28" i="15"/>
  <c r="I19" i="15"/>
  <c r="I38" i="15"/>
  <c r="I27" i="15"/>
  <c r="I5" i="15"/>
  <c r="I25" i="15"/>
  <c r="I36" i="15"/>
  <c r="I18" i="15"/>
  <c r="I30" i="15"/>
  <c r="I37" i="15"/>
  <c r="I20" i="15"/>
  <c r="I4" i="15"/>
  <c r="J4" i="15" s="1"/>
  <c r="I35" i="15"/>
  <c r="I10" i="15"/>
  <c r="I6" i="15"/>
  <c r="I21" i="15"/>
  <c r="I7" i="15"/>
  <c r="I9" i="15"/>
  <c r="I22" i="15"/>
  <c r="I29" i="15"/>
  <c r="I16" i="15"/>
  <c r="I26" i="15"/>
  <c r="I12" i="15"/>
  <c r="I23" i="15"/>
  <c r="I39" i="15"/>
  <c r="I40" i="15"/>
  <c r="I42" i="15"/>
  <c r="I41" i="15"/>
  <c r="I43" i="15"/>
  <c r="BS9" i="14"/>
  <c r="DE41" i="15"/>
  <c r="DE30" i="15"/>
  <c r="DE19" i="15"/>
  <c r="DE20" i="15"/>
  <c r="DE38" i="15"/>
  <c r="DE36" i="15"/>
  <c r="DE26" i="15"/>
  <c r="DE22" i="15"/>
  <c r="DE37" i="15"/>
  <c r="DE27" i="15"/>
  <c r="DE34" i="15"/>
  <c r="DE11" i="15"/>
  <c r="DE8" i="15"/>
  <c r="DE16" i="15"/>
  <c r="DE39" i="15"/>
  <c r="DE43" i="15"/>
  <c r="DE35" i="15"/>
  <c r="DE24" i="15"/>
  <c r="DE21" i="15"/>
  <c r="DE10" i="15"/>
  <c r="DE18" i="15"/>
  <c r="DE29" i="15"/>
  <c r="DE31" i="15"/>
  <c r="DE7" i="15"/>
  <c r="DE6" i="15"/>
  <c r="DE15" i="15"/>
  <c r="DE14" i="15"/>
  <c r="DE13" i="15"/>
  <c r="DE23" i="15"/>
  <c r="DE5" i="15"/>
  <c r="DE28" i="15"/>
  <c r="DE12" i="15"/>
  <c r="DE32" i="15"/>
  <c r="DE9" i="15"/>
  <c r="DE17" i="15"/>
  <c r="DE33" i="15"/>
  <c r="DE40" i="15"/>
  <c r="DE42" i="15"/>
  <c r="DE25" i="15"/>
  <c r="DE4" i="15"/>
  <c r="DF4" i="15" s="1"/>
  <c r="S19" i="15"/>
  <c r="S13" i="15"/>
  <c r="S32" i="15"/>
  <c r="S5" i="15"/>
  <c r="S43" i="15"/>
  <c r="S15" i="15"/>
  <c r="S21" i="15"/>
  <c r="S31" i="15"/>
  <c r="S7" i="15"/>
  <c r="S42" i="15"/>
  <c r="S10" i="15"/>
  <c r="S18" i="15"/>
  <c r="S38" i="15"/>
  <c r="S27" i="15"/>
  <c r="S30" i="15"/>
  <c r="S40" i="15"/>
  <c r="S20" i="15"/>
  <c r="S26" i="15"/>
  <c r="S11" i="15"/>
  <c r="S37" i="15"/>
  <c r="S25" i="15"/>
  <c r="S9" i="15"/>
  <c r="S6" i="15"/>
  <c r="S36" i="15"/>
  <c r="S34" i="15"/>
  <c r="S29" i="15"/>
  <c r="S23" i="15"/>
  <c r="S41" i="15"/>
  <c r="S33" i="15"/>
  <c r="S35" i="15"/>
  <c r="S17" i="15"/>
  <c r="S8" i="15"/>
  <c r="S14" i="15"/>
  <c r="S24" i="15"/>
  <c r="S12" i="15"/>
  <c r="S16" i="15"/>
  <c r="S28" i="15"/>
  <c r="S22" i="15"/>
  <c r="S39" i="15"/>
  <c r="S4" i="15"/>
  <c r="T4" i="15" s="1"/>
  <c r="CU25" i="15"/>
  <c r="CU41" i="15"/>
  <c r="CU32" i="15"/>
  <c r="CU31" i="15"/>
  <c r="CU9" i="15"/>
  <c r="CU36" i="15"/>
  <c r="CU15" i="15"/>
  <c r="CU24" i="15"/>
  <c r="CU12" i="15"/>
  <c r="CU6" i="15"/>
  <c r="CU19" i="15"/>
  <c r="CU42" i="15"/>
  <c r="CU40" i="15"/>
  <c r="CU8" i="15"/>
  <c r="CU30" i="15"/>
  <c r="CU18" i="15"/>
  <c r="CU14" i="15"/>
  <c r="CU13" i="15"/>
  <c r="CU21" i="15"/>
  <c r="CU5" i="15"/>
  <c r="CU38" i="15"/>
  <c r="CU23" i="15"/>
  <c r="CU11" i="15"/>
  <c r="CU27" i="15"/>
  <c r="CU35" i="15"/>
  <c r="CU29" i="15"/>
  <c r="CU33" i="15"/>
  <c r="CU39" i="15"/>
  <c r="CU37" i="15"/>
  <c r="CU7" i="15"/>
  <c r="CU17" i="15"/>
  <c r="CU28" i="15"/>
  <c r="CU22" i="15"/>
  <c r="CU20" i="15"/>
  <c r="CU34" i="15"/>
  <c r="CU43" i="15"/>
  <c r="CU10" i="15"/>
  <c r="CU16" i="15"/>
  <c r="CU26" i="15"/>
  <c r="CU4" i="15"/>
  <c r="CV4" i="15" s="1"/>
  <c r="AF13" i="15"/>
  <c r="DQ17" i="15"/>
  <c r="N18" i="15"/>
  <c r="BJ11" i="15"/>
  <c r="L16" i="15"/>
  <c r="M62" i="14"/>
  <c r="M78" i="14"/>
  <c r="M94" i="14"/>
  <c r="M83" i="14"/>
  <c r="M18" i="14"/>
  <c r="M87" i="14"/>
  <c r="M79" i="14"/>
  <c r="M26" i="14"/>
  <c r="M32" i="14"/>
  <c r="M90" i="14"/>
  <c r="M71" i="14"/>
  <c r="M24" i="14"/>
  <c r="M72" i="14"/>
  <c r="M51" i="14"/>
  <c r="M42" i="14"/>
  <c r="M35" i="14"/>
  <c r="M64" i="14"/>
  <c r="M81" i="14"/>
  <c r="M58" i="14"/>
  <c r="M21" i="14"/>
  <c r="M96" i="14"/>
  <c r="M8" i="14"/>
  <c r="M67" i="14"/>
  <c r="M12" i="14"/>
  <c r="M5" i="14"/>
  <c r="M34" i="14"/>
  <c r="M99" i="14"/>
  <c r="M84" i="14"/>
  <c r="M37" i="14"/>
  <c r="M50" i="14"/>
  <c r="M63" i="14"/>
  <c r="M88" i="14"/>
  <c r="M27" i="14"/>
  <c r="M20" i="14"/>
  <c r="M82" i="14"/>
  <c r="M92" i="14"/>
  <c r="M19" i="14"/>
  <c r="M55" i="14"/>
  <c r="M54" i="14"/>
  <c r="M91" i="14"/>
  <c r="M102" i="14"/>
  <c r="M47" i="14"/>
  <c r="M6" i="14"/>
  <c r="M89" i="14"/>
  <c r="M29" i="14"/>
  <c r="M73" i="14"/>
  <c r="M101" i="14"/>
  <c r="M33" i="14"/>
  <c r="M13" i="14"/>
  <c r="M52" i="14"/>
  <c r="M85" i="14"/>
  <c r="M74" i="14"/>
  <c r="M103" i="14"/>
  <c r="M56" i="14"/>
  <c r="M68" i="14"/>
  <c r="M11" i="14"/>
  <c r="M69" i="14"/>
  <c r="M41" i="14"/>
  <c r="M53" i="14"/>
  <c r="M66" i="14"/>
  <c r="M95" i="14"/>
  <c r="M40" i="14"/>
  <c r="M48" i="14"/>
  <c r="M7" i="14"/>
  <c r="M61" i="14"/>
  <c r="M25" i="14"/>
  <c r="M14" i="14"/>
  <c r="M43" i="14"/>
  <c r="M65" i="14"/>
  <c r="M76" i="14"/>
  <c r="M16" i="14"/>
  <c r="M98" i="14"/>
  <c r="M45" i="14"/>
  <c r="M4" i="14"/>
  <c r="K25" i="15" s="1"/>
  <c r="M22" i="14"/>
  <c r="M44" i="14"/>
  <c r="M23" i="14"/>
  <c r="M93" i="14"/>
  <c r="M97" i="14"/>
  <c r="M30" i="14"/>
  <c r="M59" i="14"/>
  <c r="M36" i="14"/>
  <c r="M38" i="14"/>
  <c r="M80" i="14"/>
  <c r="M15" i="14"/>
  <c r="M77" i="14"/>
  <c r="M57" i="14"/>
  <c r="M86" i="14"/>
  <c r="M10" i="14"/>
  <c r="M39" i="14"/>
  <c r="M49" i="14"/>
  <c r="M60" i="14"/>
  <c r="M46" i="14"/>
  <c r="M75" i="14"/>
  <c r="M100" i="14"/>
  <c r="M70" i="14"/>
  <c r="M9" i="14"/>
  <c r="M31" i="14"/>
  <c r="M17" i="14"/>
  <c r="U25" i="15"/>
  <c r="V25" i="15" s="1"/>
  <c r="BM8" i="14"/>
  <c r="BM21" i="14"/>
  <c r="BM93" i="14"/>
  <c r="BM52" i="14"/>
  <c r="BM6" i="14"/>
  <c r="BM22" i="14"/>
  <c r="BM38" i="14"/>
  <c r="BM54" i="14"/>
  <c r="BM70" i="14"/>
  <c r="BM86" i="14"/>
  <c r="BM102" i="14"/>
  <c r="BM19" i="14"/>
  <c r="BM35" i="14"/>
  <c r="BM51" i="14"/>
  <c r="BM84" i="14"/>
  <c r="BM29" i="14"/>
  <c r="BM18" i="14"/>
  <c r="BM42" i="14"/>
  <c r="BM62" i="14"/>
  <c r="BM82" i="14"/>
  <c r="BM7" i="14"/>
  <c r="BM27" i="14"/>
  <c r="BM47" i="14"/>
  <c r="BM67" i="14"/>
  <c r="BM83" i="14"/>
  <c r="BM99" i="14"/>
  <c r="BM25" i="14"/>
  <c r="BM57" i="14"/>
  <c r="BM89" i="14"/>
  <c r="BM76" i="14"/>
  <c r="BM64" i="14"/>
  <c r="BM61" i="14"/>
  <c r="BM14" i="14"/>
  <c r="BM46" i="14"/>
  <c r="BM74" i="14"/>
  <c r="BM98" i="14"/>
  <c r="BM31" i="14"/>
  <c r="BM59" i="14"/>
  <c r="BM79" i="14"/>
  <c r="BM103" i="14"/>
  <c r="BM41" i="14"/>
  <c r="BM81" i="14"/>
  <c r="BM12" i="14"/>
  <c r="BM69" i="14"/>
  <c r="BM28" i="14"/>
  <c r="BM32" i="14"/>
  <c r="BM77" i="14"/>
  <c r="BM36" i="14"/>
  <c r="BM4" i="14"/>
  <c r="BM20" i="14"/>
  <c r="BM30" i="14"/>
  <c r="BM58" i="14"/>
  <c r="BM90" i="14"/>
  <c r="BM15" i="14"/>
  <c r="BM43" i="14"/>
  <c r="BM71" i="14"/>
  <c r="BM91" i="14"/>
  <c r="BM17" i="14"/>
  <c r="BM65" i="14"/>
  <c r="BM96" i="14"/>
  <c r="BM40" i="14"/>
  <c r="BM50" i="14"/>
  <c r="BM11" i="14"/>
  <c r="BM63" i="14"/>
  <c r="BM9" i="14"/>
  <c r="BM97" i="14"/>
  <c r="BM92" i="14"/>
  <c r="BM37" i="14"/>
  <c r="BM53" i="14"/>
  <c r="BM10" i="14"/>
  <c r="BM66" i="14"/>
  <c r="BM23" i="14"/>
  <c r="BM75" i="14"/>
  <c r="BM33" i="14"/>
  <c r="BM80" i="14"/>
  <c r="BM16" i="14"/>
  <c r="BM26" i="14"/>
  <c r="BM78" i="14"/>
  <c r="BM39" i="14"/>
  <c r="BM87" i="14"/>
  <c r="BM49" i="14"/>
  <c r="BM60" i="14"/>
  <c r="BM5" i="14"/>
  <c r="BM72" i="14"/>
  <c r="BM95" i="14"/>
  <c r="BM101" i="14"/>
  <c r="BM88" i="14"/>
  <c r="BM24" i="14"/>
  <c r="BM100" i="14"/>
  <c r="BM34" i="14"/>
  <c r="BM73" i="14"/>
  <c r="BM48" i="14"/>
  <c r="BM68" i="14"/>
  <c r="BM13" i="14"/>
  <c r="BM55" i="14"/>
  <c r="BM94" i="14"/>
  <c r="BM44" i="14"/>
  <c r="BM85" i="14"/>
  <c r="BM56" i="14"/>
  <c r="BM45" i="14"/>
  <c r="BG13" i="14"/>
  <c r="BG51" i="14"/>
  <c r="BG15" i="14"/>
  <c r="BG36" i="14"/>
  <c r="BG95" i="14"/>
  <c r="BG8" i="14"/>
  <c r="BG57" i="14"/>
  <c r="BG99" i="14"/>
  <c r="BG69" i="14"/>
  <c r="BG35" i="14"/>
  <c r="BG79" i="14"/>
  <c r="BG90" i="14"/>
  <c r="BG84" i="14"/>
  <c r="BG88" i="14"/>
  <c r="BG41" i="14"/>
  <c r="BG10" i="14"/>
  <c r="BG26" i="14"/>
  <c r="BG42" i="14"/>
  <c r="BG58" i="14"/>
  <c r="BG74" i="14"/>
  <c r="BG12" i="14"/>
  <c r="BG33" i="14"/>
  <c r="BG55" i="14"/>
  <c r="BG76" i="14"/>
  <c r="BG93" i="14"/>
  <c r="BG100" i="14"/>
  <c r="BG94" i="14"/>
  <c r="BG27" i="14"/>
  <c r="BG22" i="14"/>
  <c r="BG46" i="14"/>
  <c r="BG66" i="14"/>
  <c r="BG5" i="14"/>
  <c r="BG39" i="14"/>
  <c r="BG65" i="14"/>
  <c r="BG89" i="14"/>
  <c r="BG92" i="14"/>
  <c r="BG68" i="14"/>
  <c r="BG40" i="14"/>
  <c r="BG11" i="14"/>
  <c r="BG96" i="14"/>
  <c r="BG73" i="14"/>
  <c r="BG45" i="14"/>
  <c r="BG16" i="14"/>
  <c r="BG72" i="14"/>
  <c r="BG43" i="14"/>
  <c r="BG64" i="14"/>
  <c r="BG29" i="14"/>
  <c r="BG56" i="14"/>
  <c r="BG14" i="14"/>
  <c r="BG34" i="14"/>
  <c r="BG54" i="14"/>
  <c r="BG78" i="14"/>
  <c r="BG23" i="14"/>
  <c r="BG49" i="14"/>
  <c r="BG81" i="14"/>
  <c r="BG101" i="14"/>
  <c r="BG103" i="14"/>
  <c r="BG83" i="14"/>
  <c r="BG6" i="14"/>
  <c r="BG50" i="14"/>
  <c r="BG17" i="14"/>
  <c r="BG71" i="14"/>
  <c r="BG75" i="14"/>
  <c r="BG32" i="14"/>
  <c r="BG48" i="14"/>
  <c r="BG18" i="14"/>
  <c r="BG62" i="14"/>
  <c r="BG28" i="14"/>
  <c r="BG85" i="14"/>
  <c r="BG63" i="14"/>
  <c r="BG98" i="14"/>
  <c r="BG61" i="14"/>
  <c r="BG25" i="14"/>
  <c r="BG21" i="14"/>
  <c r="BG20" i="14"/>
  <c r="BG30" i="14"/>
  <c r="BG70" i="14"/>
  <c r="BG44" i="14"/>
  <c r="BG97" i="14"/>
  <c r="BG87" i="14"/>
  <c r="BG53" i="14"/>
  <c r="BG19" i="14"/>
  <c r="BG7" i="14"/>
  <c r="BG102" i="14"/>
  <c r="BG67" i="14"/>
  <c r="BG31" i="14"/>
  <c r="BG4" i="14"/>
  <c r="BG47" i="14"/>
  <c r="BG80" i="14"/>
  <c r="BG60" i="14"/>
  <c r="BG91" i="14"/>
  <c r="BG59" i="14"/>
  <c r="BG24" i="14"/>
  <c r="BG38" i="14"/>
  <c r="BG37" i="14"/>
  <c r="BG82" i="14"/>
  <c r="BG77" i="14"/>
  <c r="BG86" i="14"/>
  <c r="BG52" i="14"/>
  <c r="BG9" i="14"/>
  <c r="BS56" i="14"/>
  <c r="BS25" i="14"/>
  <c r="BS44" i="14"/>
  <c r="BS33" i="14"/>
  <c r="BS89" i="14"/>
  <c r="BS24" i="14"/>
  <c r="BS76" i="14"/>
  <c r="BS57" i="14"/>
  <c r="BS12" i="14"/>
  <c r="BS68" i="14"/>
  <c r="BS36" i="14"/>
  <c r="BS97" i="14"/>
  <c r="BS65" i="14"/>
  <c r="BS80" i="14"/>
  <c r="BS84" i="14"/>
  <c r="BS41" i="14"/>
  <c r="BS10" i="14"/>
  <c r="BS26" i="14"/>
  <c r="BS42" i="14"/>
  <c r="BS58" i="14"/>
  <c r="BS74" i="14"/>
  <c r="BS90" i="14"/>
  <c r="BS7" i="14"/>
  <c r="BS23" i="14"/>
  <c r="BS39" i="14"/>
  <c r="BS55" i="14"/>
  <c r="BS71" i="14"/>
  <c r="BS87" i="14"/>
  <c r="BS103" i="14"/>
  <c r="BS29" i="14"/>
  <c r="BS61" i="14"/>
  <c r="BS93" i="14"/>
  <c r="BS92" i="14"/>
  <c r="BS49" i="14"/>
  <c r="BS8" i="14"/>
  <c r="BS73" i="14"/>
  <c r="BS20" i="14"/>
  <c r="BS14" i="14"/>
  <c r="BS34" i="14"/>
  <c r="BS54" i="14"/>
  <c r="BS78" i="14"/>
  <c r="BS98" i="14"/>
  <c r="BS19" i="14"/>
  <c r="BS43" i="14"/>
  <c r="BS63" i="14"/>
  <c r="BS48" i="14"/>
  <c r="BS100" i="14"/>
  <c r="BS64" i="14"/>
  <c r="BS18" i="14"/>
  <c r="BS38" i="14"/>
  <c r="BS62" i="14"/>
  <c r="BS82" i="14"/>
  <c r="BS102" i="14"/>
  <c r="BS27" i="14"/>
  <c r="BS47" i="14"/>
  <c r="BS67" i="14"/>
  <c r="BS91" i="14"/>
  <c r="BS13" i="14"/>
  <c r="BS53" i="14"/>
  <c r="BS101" i="14"/>
  <c r="BS16" i="14"/>
  <c r="BS52" i="14"/>
  <c r="BS22" i="14"/>
  <c r="BS46" i="14"/>
  <c r="BS66" i="14"/>
  <c r="BS86" i="14"/>
  <c r="BS11" i="14"/>
  <c r="BS31" i="14"/>
  <c r="BS51" i="14"/>
  <c r="BS75" i="14"/>
  <c r="BS95" i="14"/>
  <c r="BS21" i="14"/>
  <c r="BS69" i="14"/>
  <c r="BS50" i="14"/>
  <c r="BS35" i="14"/>
  <c r="BS99" i="14"/>
  <c r="BS77" i="14"/>
  <c r="BS72" i="14"/>
  <c r="BS17" i="14"/>
  <c r="BS15" i="14"/>
  <c r="BS45" i="14"/>
  <c r="BS28" i="14"/>
  <c r="BS88" i="14"/>
  <c r="BS70" i="14"/>
  <c r="BS59" i="14"/>
  <c r="BS5" i="14"/>
  <c r="BS85" i="14"/>
  <c r="BS60" i="14"/>
  <c r="BS32" i="14"/>
  <c r="BS30" i="14"/>
  <c r="BS83" i="14"/>
  <c r="BS81" i="14"/>
  <c r="BS96" i="14"/>
  <c r="BS6" i="14"/>
  <c r="BS94" i="14"/>
  <c r="BS79" i="14"/>
  <c r="BS37" i="14"/>
  <c r="BS4" i="14"/>
  <c r="BS40" i="14"/>
  <c r="BA8" i="14"/>
  <c r="BA79" i="14"/>
  <c r="BA100" i="14"/>
  <c r="BA96" i="14"/>
  <c r="BA54" i="14"/>
  <c r="BA11" i="14"/>
  <c r="BA63" i="14"/>
  <c r="BA20" i="14"/>
  <c r="BA90" i="14"/>
  <c r="BA36" i="14"/>
  <c r="BA58" i="14"/>
  <c r="BA86" i="14"/>
  <c r="BA43" i="14"/>
  <c r="BA95" i="14"/>
  <c r="BA52" i="14"/>
  <c r="BA10" i="14"/>
  <c r="BA70" i="14"/>
  <c r="BA27" i="14"/>
  <c r="BA47" i="14"/>
  <c r="BA32" i="14"/>
  <c r="BA84" i="14"/>
  <c r="BA102" i="14"/>
  <c r="BA48" i="14"/>
  <c r="BA88" i="14"/>
  <c r="BA67" i="14"/>
  <c r="BA26" i="14"/>
  <c r="BA22" i="14"/>
  <c r="BA42" i="14"/>
  <c r="BA91" i="14"/>
  <c r="BA16" i="14"/>
  <c r="BA94" i="14"/>
  <c r="BA62" i="14"/>
  <c r="BA40" i="14"/>
  <c r="BA19" i="14"/>
  <c r="BA5" i="14"/>
  <c r="BA21" i="14"/>
  <c r="BA37" i="14"/>
  <c r="BA53" i="14"/>
  <c r="BA69" i="14"/>
  <c r="BA85" i="14"/>
  <c r="BA101" i="14"/>
  <c r="BA103" i="14"/>
  <c r="BA82" i="14"/>
  <c r="BA60" i="14"/>
  <c r="BA39" i="14"/>
  <c r="BA18" i="14"/>
  <c r="BA15" i="14"/>
  <c r="BA75" i="14"/>
  <c r="BA59" i="14"/>
  <c r="BA4" i="14"/>
  <c r="BA78" i="14"/>
  <c r="BA51" i="14"/>
  <c r="BA30" i="14"/>
  <c r="BA64" i="14"/>
  <c r="BA6" i="14"/>
  <c r="BA56" i="14"/>
  <c r="BA14" i="14"/>
  <c r="BA9" i="14"/>
  <c r="BA29" i="14"/>
  <c r="BA49" i="14"/>
  <c r="BA73" i="14"/>
  <c r="BA93" i="14"/>
  <c r="BA68" i="14"/>
  <c r="BA74" i="14"/>
  <c r="BA99" i="14"/>
  <c r="BA46" i="14"/>
  <c r="BA13" i="14"/>
  <c r="BA33" i="14"/>
  <c r="BA57" i="14"/>
  <c r="BA77" i="14"/>
  <c r="BA97" i="14"/>
  <c r="BA31" i="14"/>
  <c r="BA80" i="14"/>
  <c r="BA83" i="14"/>
  <c r="BA35" i="14"/>
  <c r="BA17" i="14"/>
  <c r="BA41" i="14"/>
  <c r="BA61" i="14"/>
  <c r="BA81" i="14"/>
  <c r="BA72" i="14"/>
  <c r="BA45" i="14"/>
  <c r="BA87" i="14"/>
  <c r="BA55" i="14"/>
  <c r="BA28" i="14"/>
  <c r="BA25" i="14"/>
  <c r="BA34" i="14"/>
  <c r="BA38" i="14"/>
  <c r="BA24" i="14"/>
  <c r="BA65" i="14"/>
  <c r="BA76" i="14"/>
  <c r="BA50" i="14"/>
  <c r="BA23" i="14"/>
  <c r="BA66" i="14"/>
  <c r="BA7" i="14"/>
  <c r="BA89" i="14"/>
  <c r="BA98" i="14"/>
  <c r="BA71" i="14"/>
  <c r="BA44" i="14"/>
  <c r="BA12" i="14"/>
  <c r="BA92" i="14"/>
  <c r="J5" i="15" l="1"/>
  <c r="J6" i="15" s="1"/>
  <c r="J7" i="15" s="1"/>
  <c r="J8" i="15" s="1"/>
  <c r="J9" i="15" s="1"/>
  <c r="J10" i="15" s="1"/>
  <c r="J11" i="15" s="1"/>
  <c r="J12" i="15" s="1"/>
  <c r="J13" i="15" s="1"/>
  <c r="J14" i="15" s="1"/>
  <c r="J15" i="15" s="1"/>
  <c r="J16" i="15" s="1"/>
  <c r="J17" i="15" s="1"/>
  <c r="CB5" i="15"/>
  <c r="CB6" i="15" s="1"/>
  <c r="CB7" i="15" s="1"/>
  <c r="CB8" i="15" s="1"/>
  <c r="CB9" i="15" s="1"/>
  <c r="CB10" i="15" s="1"/>
  <c r="CB11" i="15" s="1"/>
  <c r="CB12" i="15" s="1"/>
  <c r="CB13" i="15" s="1"/>
  <c r="CB14" i="15" s="1"/>
  <c r="CB15" i="15" s="1"/>
  <c r="CB16" i="15" s="1"/>
  <c r="CB17" i="15" s="1"/>
  <c r="CB18" i="15" s="1"/>
  <c r="CB19" i="15" s="1"/>
  <c r="CB20" i="15" s="1"/>
  <c r="CB21" i="15" s="1"/>
  <c r="CB22" i="15" s="1"/>
  <c r="CB23" i="15" s="1"/>
  <c r="CB24" i="15" s="1"/>
  <c r="CB25" i="15" s="1"/>
  <c r="CB26" i="15" s="1"/>
  <c r="CB27" i="15" s="1"/>
  <c r="CB28" i="15" s="1"/>
  <c r="CB29" i="15" s="1"/>
  <c r="CB30" i="15" s="1"/>
  <c r="CB31" i="15" s="1"/>
  <c r="CB32" i="15" s="1"/>
  <c r="CB33" i="15" s="1"/>
  <c r="CB34" i="15" s="1"/>
  <c r="CB35" i="15" s="1"/>
  <c r="CB36" i="15" s="1"/>
  <c r="CB37" i="15" s="1"/>
  <c r="CB38" i="15" s="1"/>
  <c r="CB39" i="15" s="1"/>
  <c r="CB40" i="15" s="1"/>
  <c r="CB41" i="15" s="1"/>
  <c r="CB42" i="15" s="1"/>
  <c r="CB43" i="15" s="1"/>
  <c r="CL5" i="15"/>
  <c r="CL6" i="15" s="1"/>
  <c r="CL7" i="15" s="1"/>
  <c r="CL8" i="15" s="1"/>
  <c r="CL9" i="15" s="1"/>
  <c r="CL10" i="15" s="1"/>
  <c r="CL11" i="15" s="1"/>
  <c r="CL12" i="15" s="1"/>
  <c r="CL13" i="15" s="1"/>
  <c r="CL14" i="15" s="1"/>
  <c r="CL15" i="15" s="1"/>
  <c r="CL16" i="15" s="1"/>
  <c r="CL17" i="15" s="1"/>
  <c r="CL18" i="15" s="1"/>
  <c r="CL19" i="15" s="1"/>
  <c r="CL20" i="15" s="1"/>
  <c r="CL21" i="15" s="1"/>
  <c r="CL22" i="15" s="1"/>
  <c r="CL23" i="15" s="1"/>
  <c r="CL24" i="15" s="1"/>
  <c r="CL25" i="15" s="1"/>
  <c r="CL26" i="15" s="1"/>
  <c r="CL27" i="15" s="1"/>
  <c r="CL28" i="15" s="1"/>
  <c r="CL29" i="15" s="1"/>
  <c r="CL30" i="15" s="1"/>
  <c r="CL31" i="15" s="1"/>
  <c r="CL32" i="15" s="1"/>
  <c r="CL33" i="15" s="1"/>
  <c r="CL34" i="15" s="1"/>
  <c r="CL35" i="15" s="1"/>
  <c r="CL36" i="15" s="1"/>
  <c r="CL37" i="15" s="1"/>
  <c r="CL38" i="15" s="1"/>
  <c r="CL39" i="15" s="1"/>
  <c r="CL40" i="15" s="1"/>
  <c r="CL41" i="15" s="1"/>
  <c r="CL42" i="15" s="1"/>
  <c r="CL43" i="15" s="1"/>
  <c r="CV5" i="15"/>
  <c r="CV6" i="15" s="1"/>
  <c r="CV7" i="15" s="1"/>
  <c r="CV8" i="15" s="1"/>
  <c r="CV9" i="15" s="1"/>
  <c r="CV10" i="15" s="1"/>
  <c r="CV11" i="15" s="1"/>
  <c r="CV12" i="15" s="1"/>
  <c r="CV13" i="15" s="1"/>
  <c r="CV14" i="15" s="1"/>
  <c r="CV15" i="15" s="1"/>
  <c r="CV16" i="15" s="1"/>
  <c r="CV17" i="15" s="1"/>
  <c r="CV18" i="15" s="1"/>
  <c r="CV19" i="15" s="1"/>
  <c r="CV20" i="15" s="1"/>
  <c r="CV21" i="15" s="1"/>
  <c r="CV22" i="15" s="1"/>
  <c r="CV23" i="15" s="1"/>
  <c r="CV24" i="15" s="1"/>
  <c r="CV25" i="15" s="1"/>
  <c r="CV26" i="15" s="1"/>
  <c r="CV27" i="15" s="1"/>
  <c r="CV28" i="15" s="1"/>
  <c r="CV29" i="15" s="1"/>
  <c r="CV30" i="15" s="1"/>
  <c r="CV31" i="15" s="1"/>
  <c r="CV32" i="15" s="1"/>
  <c r="CV33" i="15" s="1"/>
  <c r="CV34" i="15" s="1"/>
  <c r="CV35" i="15" s="1"/>
  <c r="CV36" i="15" s="1"/>
  <c r="CV37" i="15" s="1"/>
  <c r="CV38" i="15" s="1"/>
  <c r="CV39" i="15" s="1"/>
  <c r="CV40" i="15" s="1"/>
  <c r="CV41" i="15" s="1"/>
  <c r="CV42" i="15" s="1"/>
  <c r="CV43" i="15" s="1"/>
  <c r="H33" i="14"/>
  <c r="H6" i="14"/>
  <c r="H98" i="14"/>
  <c r="K27" i="15"/>
  <c r="H89" i="14"/>
  <c r="K29" i="15"/>
  <c r="K28" i="15"/>
  <c r="K32" i="15"/>
  <c r="T5" i="15"/>
  <c r="DO4" i="15"/>
  <c r="DF5" i="15"/>
  <c r="DF6" i="15" s="1"/>
  <c r="DF7" i="15" s="1"/>
  <c r="DF8" i="15" s="1"/>
  <c r="DF9" i="15" s="1"/>
  <c r="DF10" i="15" s="1"/>
  <c r="DF11" i="15" s="1"/>
  <c r="DF12" i="15" s="1"/>
  <c r="DF13" i="15" s="1"/>
  <c r="DF14" i="15" s="1"/>
  <c r="DF15" i="15" s="1"/>
  <c r="DF16" i="15" s="1"/>
  <c r="DF17" i="15" s="1"/>
  <c r="DF18" i="15" s="1"/>
  <c r="DF19" i="15" s="1"/>
  <c r="DF20" i="15" s="1"/>
  <c r="DF21" i="15" s="1"/>
  <c r="DF22" i="15" s="1"/>
  <c r="DF23" i="15" s="1"/>
  <c r="DF24" i="15" s="1"/>
  <c r="DF25" i="15" s="1"/>
  <c r="DF26" i="15" s="1"/>
  <c r="DF27" i="15" s="1"/>
  <c r="DF28" i="15" s="1"/>
  <c r="DF29" i="15" s="1"/>
  <c r="DF30" i="15" s="1"/>
  <c r="DF31" i="15" s="1"/>
  <c r="DF32" i="15" s="1"/>
  <c r="DF33" i="15" s="1"/>
  <c r="DF34" i="15" s="1"/>
  <c r="DF35" i="15" s="1"/>
  <c r="DF36" i="15" s="1"/>
  <c r="DF37" i="15" s="1"/>
  <c r="DF38" i="15" s="1"/>
  <c r="DF39" i="15" s="1"/>
  <c r="DF40" i="15" s="1"/>
  <c r="DF41" i="15" s="1"/>
  <c r="DF42" i="15" s="1"/>
  <c r="DF43" i="15" s="1"/>
  <c r="H85" i="14"/>
  <c r="H73" i="14"/>
  <c r="H77" i="14"/>
  <c r="H46" i="14"/>
  <c r="H83" i="14"/>
  <c r="H59" i="14"/>
  <c r="H10" i="14"/>
  <c r="H22" i="14"/>
  <c r="H55" i="14"/>
  <c r="H63" i="14"/>
  <c r="H35" i="14"/>
  <c r="H21" i="14"/>
  <c r="H93" i="14"/>
  <c r="H32" i="14"/>
  <c r="H17" i="14"/>
  <c r="H44" i="14"/>
  <c r="H43" i="14"/>
  <c r="H76" i="14"/>
  <c r="H74" i="14"/>
  <c r="H18" i="14"/>
  <c r="H56" i="14"/>
  <c r="H102" i="14"/>
  <c r="K26" i="15"/>
  <c r="H45" i="14"/>
  <c r="H84" i="14"/>
  <c r="H64" i="14"/>
  <c r="H49" i="14"/>
  <c r="H68" i="14"/>
  <c r="H66" i="14"/>
  <c r="H23" i="14"/>
  <c r="H65" i="14"/>
  <c r="H88" i="14"/>
  <c r="H92" i="14"/>
  <c r="H15" i="14"/>
  <c r="H8" i="14"/>
  <c r="H48" i="14"/>
  <c r="H82" i="14"/>
  <c r="H26" i="14"/>
  <c r="K30" i="15"/>
  <c r="H7" i="14"/>
  <c r="H39" i="14"/>
  <c r="H61" i="14"/>
  <c r="H28" i="14"/>
  <c r="H36" i="14"/>
  <c r="H50" i="14"/>
  <c r="H27" i="14"/>
  <c r="H100" i="14"/>
  <c r="H101" i="14"/>
  <c r="H69" i="14"/>
  <c r="H9" i="14"/>
  <c r="H13" i="14"/>
  <c r="H54" i="14"/>
  <c r="U31" i="15"/>
  <c r="H81" i="14"/>
  <c r="H24" i="14"/>
  <c r="H52" i="14"/>
  <c r="H70" i="14"/>
  <c r="H95" i="14"/>
  <c r="H103" i="14"/>
  <c r="H96" i="14"/>
  <c r="H31" i="14"/>
  <c r="H40" i="14"/>
  <c r="H86" i="14"/>
  <c r="H60" i="14"/>
  <c r="H97" i="14"/>
  <c r="H25" i="14"/>
  <c r="H75" i="14"/>
  <c r="H29" i="14"/>
  <c r="H37" i="14"/>
  <c r="H79" i="14"/>
  <c r="H62" i="14"/>
  <c r="H38" i="14"/>
  <c r="H67" i="14"/>
  <c r="H12" i="14"/>
  <c r="H51" i="14"/>
  <c r="H91" i="14"/>
  <c r="H47" i="14"/>
  <c r="H16" i="14"/>
  <c r="H78" i="14"/>
  <c r="H41" i="14"/>
  <c r="H53" i="14"/>
  <c r="H57" i="14"/>
  <c r="H87" i="14"/>
  <c r="H19" i="14"/>
  <c r="H80" i="14"/>
  <c r="H58" i="14"/>
  <c r="H34" i="14"/>
  <c r="H72" i="14"/>
  <c r="H14" i="14"/>
  <c r="H99" i="14"/>
  <c r="K31" i="15"/>
  <c r="H94" i="14"/>
  <c r="U27" i="15"/>
  <c r="U28" i="15"/>
  <c r="U32" i="15"/>
  <c r="BJ12" i="15"/>
  <c r="DQ18" i="15"/>
  <c r="N19" i="15"/>
  <c r="L17" i="15"/>
  <c r="U30" i="15"/>
  <c r="U29" i="15"/>
  <c r="U26" i="15"/>
  <c r="V26" i="15" s="1"/>
  <c r="AF14" i="15"/>
  <c r="H4" i="14"/>
  <c r="H71" i="14"/>
  <c r="H42" i="14"/>
  <c r="H30" i="14"/>
  <c r="H5" i="14"/>
  <c r="H11" i="14"/>
  <c r="H20" i="14"/>
  <c r="H90" i="14"/>
  <c r="AS2" i="15"/>
  <c r="D28" i="23" l="1"/>
  <c r="V27" i="15"/>
  <c r="V28" i="15" s="1"/>
  <c r="V29" i="15" s="1"/>
  <c r="V30" i="15" s="1"/>
  <c r="V31" i="15" s="1"/>
  <c r="V32" i="15" s="1"/>
  <c r="V33" i="15" s="1"/>
  <c r="V34" i="15" s="1"/>
  <c r="V35" i="15" s="1"/>
  <c r="V36" i="15" s="1"/>
  <c r="V37" i="15" s="1"/>
  <c r="V38" i="15" s="1"/>
  <c r="V39" i="15" s="1"/>
  <c r="V40" i="15" s="1"/>
  <c r="V41" i="15" s="1"/>
  <c r="V42" i="15" s="1"/>
  <c r="V43" i="15" s="1"/>
  <c r="DU4" i="15"/>
  <c r="DS4" i="15"/>
  <c r="T6" i="15"/>
  <c r="DO5" i="15"/>
  <c r="J18" i="15"/>
  <c r="AF15" i="15"/>
  <c r="L18" i="15"/>
  <c r="BJ13" i="15"/>
  <c r="N20" i="15"/>
  <c r="DQ19" i="15"/>
  <c r="AW20" i="14"/>
  <c r="AY20" i="14" s="1"/>
  <c r="AW85" i="14"/>
  <c r="AW16" i="14"/>
  <c r="AY16" i="14" s="1"/>
  <c r="AW51" i="14"/>
  <c r="AY51" i="14" s="1"/>
  <c r="AW34" i="14"/>
  <c r="AY34" i="14" s="1"/>
  <c r="AW74" i="14"/>
  <c r="AW90" i="14"/>
  <c r="AW92" i="14"/>
  <c r="AW28" i="14"/>
  <c r="AY28" i="14" s="1"/>
  <c r="AW57" i="14"/>
  <c r="AW63" i="14"/>
  <c r="AW78" i="14"/>
  <c r="AW97" i="14"/>
  <c r="AW103" i="14"/>
  <c r="AW98" i="14"/>
  <c r="AW9" i="14"/>
  <c r="AY9" i="14" s="1"/>
  <c r="AW40" i="14"/>
  <c r="AY40" i="14" s="1"/>
  <c r="AW81" i="14"/>
  <c r="AW75" i="14"/>
  <c r="AW11" i="14"/>
  <c r="AY11" i="14" s="1"/>
  <c r="AW38" i="14"/>
  <c r="AY38" i="14" s="1"/>
  <c r="AW73" i="14"/>
  <c r="AW14" i="14"/>
  <c r="AY14" i="14" s="1"/>
  <c r="AW53" i="14"/>
  <c r="AY53" i="14" s="1"/>
  <c r="AW64" i="14"/>
  <c r="AW70" i="14"/>
  <c r="AW99" i="14"/>
  <c r="AW35" i="14"/>
  <c r="AY35" i="14" s="1"/>
  <c r="AW10" i="14"/>
  <c r="AY10" i="14" s="1"/>
  <c r="AW33" i="14"/>
  <c r="AY33" i="14" s="1"/>
  <c r="AW41" i="14"/>
  <c r="AY41" i="14" s="1"/>
  <c r="AW50" i="14"/>
  <c r="AY50" i="14" s="1"/>
  <c r="AW76" i="14"/>
  <c r="AW12" i="14"/>
  <c r="AY12" i="14" s="1"/>
  <c r="AW21" i="14"/>
  <c r="AY21" i="14" s="1"/>
  <c r="AW47" i="14"/>
  <c r="AY47" i="14" s="1"/>
  <c r="AW22" i="14"/>
  <c r="AY22" i="14" s="1"/>
  <c r="AW100" i="14"/>
  <c r="AW39" i="14"/>
  <c r="AY39" i="14" s="1"/>
  <c r="AW26" i="14"/>
  <c r="AY26" i="14" s="1"/>
  <c r="AW88" i="14"/>
  <c r="AW24" i="14"/>
  <c r="AY24" i="14" s="1"/>
  <c r="AW91" i="14"/>
  <c r="AW27" i="14"/>
  <c r="AY27" i="14" s="1"/>
  <c r="AW46" i="14"/>
  <c r="AY46" i="14" s="1"/>
  <c r="AW7" i="14"/>
  <c r="AY7" i="14" s="1"/>
  <c r="AW80" i="14"/>
  <c r="AW29" i="14"/>
  <c r="AY29" i="14" s="1"/>
  <c r="AW86" i="14"/>
  <c r="AW61" i="14"/>
  <c r="AW87" i="14"/>
  <c r="AW89" i="14"/>
  <c r="AW25" i="14"/>
  <c r="AY25" i="14" s="1"/>
  <c r="AW48" i="14"/>
  <c r="AY48" i="14" s="1"/>
  <c r="AW101" i="14"/>
  <c r="AW83" i="14"/>
  <c r="AW19" i="14"/>
  <c r="AY19" i="14" s="1"/>
  <c r="AW82" i="14"/>
  <c r="AW68" i="14"/>
  <c r="AW71" i="14"/>
  <c r="AW45" i="14"/>
  <c r="AY45" i="14" s="1"/>
  <c r="AW60" i="14"/>
  <c r="AW62" i="14"/>
  <c r="AW95" i="14"/>
  <c r="AW31" i="14"/>
  <c r="AY31" i="14" s="1"/>
  <c r="AW6" i="14"/>
  <c r="AY6" i="14" s="1"/>
  <c r="AW36" i="14"/>
  <c r="AY36" i="14" s="1"/>
  <c r="AW42" i="14"/>
  <c r="AY42" i="14" s="1"/>
  <c r="AW69" i="14"/>
  <c r="AW72" i="14"/>
  <c r="AW8" i="14"/>
  <c r="AY8" i="14" s="1"/>
  <c r="AW13" i="14"/>
  <c r="AY13" i="14" s="1"/>
  <c r="AW43" i="14"/>
  <c r="AY43" i="14" s="1"/>
  <c r="AW18" i="14"/>
  <c r="AY18" i="14" s="1"/>
  <c r="AW84" i="14"/>
  <c r="AW55" i="14"/>
  <c r="AW66" i="14"/>
  <c r="AW96" i="14"/>
  <c r="AW32" i="14"/>
  <c r="AY32" i="14" s="1"/>
  <c r="AW65" i="14"/>
  <c r="AW67" i="14"/>
  <c r="AW94" i="14"/>
  <c r="AW5" i="14"/>
  <c r="AY5" i="14" s="1"/>
  <c r="AW52" i="14"/>
  <c r="AY52" i="14" s="1"/>
  <c r="AW23" i="14"/>
  <c r="AY23" i="14" s="1"/>
  <c r="AW17" i="14"/>
  <c r="AY17" i="14" s="1"/>
  <c r="AW44" i="14"/>
  <c r="AY44" i="14" s="1"/>
  <c r="AW93" i="14"/>
  <c r="AW79" i="14"/>
  <c r="AW15" i="14"/>
  <c r="AY15" i="14" s="1"/>
  <c r="AW54" i="14"/>
  <c r="AY54" i="14" s="1"/>
  <c r="AW30" i="14"/>
  <c r="AY30" i="14" s="1"/>
  <c r="AW77" i="14"/>
  <c r="AW37" i="14"/>
  <c r="AY37" i="14" s="1"/>
  <c r="AW56" i="14"/>
  <c r="AW49" i="14"/>
  <c r="AY49" i="14" s="1"/>
  <c r="AW59" i="14"/>
  <c r="AW102" i="14"/>
  <c r="AW58" i="14"/>
  <c r="AW4" i="14"/>
  <c r="BC2" i="15"/>
  <c r="D84" i="23" l="1" a="1"/>
  <c r="D84" i="23" s="1"/>
  <c r="D83" i="23" a="1"/>
  <c r="D83" i="23" s="1"/>
  <c r="D115" i="23" a="1"/>
  <c r="D115" i="23" s="1"/>
  <c r="D153" i="23" a="1"/>
  <c r="D153" i="23" s="1"/>
  <c r="D113" i="23" a="1"/>
  <c r="D113" i="23" s="1"/>
  <c r="D154" i="23" a="1"/>
  <c r="D154" i="23" s="1"/>
  <c r="D114" i="23" a="1"/>
  <c r="D114" i="23" s="1"/>
  <c r="D155" i="23" a="1"/>
  <c r="D155" i="23" s="1"/>
  <c r="AY4" i="14"/>
  <c r="DU5" i="15"/>
  <c r="DS5" i="15"/>
  <c r="T7" i="15"/>
  <c r="DO6" i="15"/>
  <c r="BW11" i="15"/>
  <c r="BS14" i="15"/>
  <c r="BS15" i="15"/>
  <c r="BW16" i="15"/>
  <c r="BW20" i="15"/>
  <c r="BW6" i="15"/>
  <c r="BW8" i="15"/>
  <c r="BS9" i="15"/>
  <c r="BW10" i="15"/>
  <c r="BW18" i="15"/>
  <c r="BS19" i="15"/>
  <c r="BW21" i="15"/>
  <c r="BS27" i="15"/>
  <c r="BS28" i="15"/>
  <c r="BS12" i="15"/>
  <c r="BW14" i="15"/>
  <c r="BW15" i="15"/>
  <c r="BW9" i="15"/>
  <c r="BW19" i="15"/>
  <c r="BS23" i="15"/>
  <c r="BS24" i="15"/>
  <c r="BS25" i="15"/>
  <c r="BW27" i="15"/>
  <c r="BW28" i="15"/>
  <c r="BS7" i="15"/>
  <c r="BW12" i="15"/>
  <c r="BS17" i="15"/>
  <c r="BW7" i="15"/>
  <c r="BS8" i="15"/>
  <c r="BS10" i="15"/>
  <c r="BS11" i="15"/>
  <c r="BS16" i="15"/>
  <c r="BW17" i="15"/>
  <c r="BS20" i="15"/>
  <c r="BW26" i="15"/>
  <c r="BS6" i="15"/>
  <c r="BW13" i="15"/>
  <c r="BS18" i="15"/>
  <c r="BS21" i="15"/>
  <c r="BW22" i="15"/>
  <c r="BS13" i="15"/>
  <c r="BW30" i="15"/>
  <c r="BS31" i="15"/>
  <c r="BW39" i="15"/>
  <c r="BS5" i="15"/>
  <c r="BW43" i="15"/>
  <c r="BW25" i="15"/>
  <c r="BS32" i="15"/>
  <c r="BS33" i="15"/>
  <c r="BS34" i="15"/>
  <c r="BS35" i="15"/>
  <c r="BS22" i="15"/>
  <c r="BW31" i="15"/>
  <c r="BW23" i="15"/>
  <c r="BW32" i="15"/>
  <c r="BW33" i="15"/>
  <c r="BW34" i="15"/>
  <c r="BW35" i="15"/>
  <c r="BS36" i="15"/>
  <c r="BS38" i="15"/>
  <c r="BS26" i="15"/>
  <c r="BS29" i="15"/>
  <c r="BS37" i="15"/>
  <c r="BS42" i="15"/>
  <c r="BW24" i="15"/>
  <c r="BW29" i="15"/>
  <c r="BS30" i="15"/>
  <c r="BW37" i="15"/>
  <c r="BS39" i="15"/>
  <c r="BW40" i="15"/>
  <c r="BW41" i="15"/>
  <c r="BS43" i="15"/>
  <c r="BW36" i="15"/>
  <c r="BS41" i="15"/>
  <c r="BW42" i="15"/>
  <c r="BW38" i="15"/>
  <c r="BS40" i="15"/>
  <c r="BW5" i="15"/>
  <c r="AF16" i="15"/>
  <c r="DQ20" i="15"/>
  <c r="N21" i="15"/>
  <c r="BJ14" i="15"/>
  <c r="L19" i="15"/>
  <c r="J19" i="15"/>
  <c r="BW4" i="15"/>
  <c r="BX4" i="15" s="1"/>
  <c r="BS4" i="15"/>
  <c r="BT4" i="15" s="1"/>
  <c r="BC102" i="14"/>
  <c r="BI102" i="14" s="1"/>
  <c r="BO102" i="14" s="1"/>
  <c r="BU102" i="14" s="1"/>
  <c r="BX102" i="14" s="1"/>
  <c r="BZ102" i="14" s="1"/>
  <c r="BC49" i="14"/>
  <c r="BI49" i="14" s="1"/>
  <c r="BO49" i="14" s="1"/>
  <c r="BU49" i="14" s="1"/>
  <c r="BX49" i="14" s="1"/>
  <c r="BZ49" i="14" s="1"/>
  <c r="BC37" i="14"/>
  <c r="BC30" i="14"/>
  <c r="BC15" i="14"/>
  <c r="BC93" i="14"/>
  <c r="BI93" i="14" s="1"/>
  <c r="BO93" i="14" s="1"/>
  <c r="BU93" i="14" s="1"/>
  <c r="BX93" i="14" s="1"/>
  <c r="BZ93" i="14" s="1"/>
  <c r="BC17" i="14"/>
  <c r="BC52" i="14"/>
  <c r="BI52" i="14" s="1"/>
  <c r="BO52" i="14" s="1"/>
  <c r="BU52" i="14" s="1"/>
  <c r="BX52" i="14" s="1"/>
  <c r="BZ52" i="14" s="1"/>
  <c r="BC94" i="14"/>
  <c r="BC65" i="14"/>
  <c r="BI65" i="14" s="1"/>
  <c r="BO65" i="14" s="1"/>
  <c r="BU65" i="14" s="1"/>
  <c r="BX65" i="14" s="1"/>
  <c r="BZ65" i="14" s="1"/>
  <c r="BC96" i="14"/>
  <c r="BI96" i="14" s="1"/>
  <c r="BO96" i="14" s="1"/>
  <c r="BU96" i="14" s="1"/>
  <c r="BX96" i="14" s="1"/>
  <c r="BZ96" i="14" s="1"/>
  <c r="BC55" i="14"/>
  <c r="BI55" i="14" s="1"/>
  <c r="BO55" i="14" s="1"/>
  <c r="BU55" i="14" s="1"/>
  <c r="BX55" i="14" s="1"/>
  <c r="BZ55" i="14" s="1"/>
  <c r="BC18" i="14"/>
  <c r="BC13" i="14"/>
  <c r="BC72" i="14"/>
  <c r="BI72" i="14" s="1"/>
  <c r="BO72" i="14" s="1"/>
  <c r="BU72" i="14" s="1"/>
  <c r="BX72" i="14" s="1"/>
  <c r="BZ72" i="14" s="1"/>
  <c r="BC42" i="14"/>
  <c r="BC6" i="14"/>
  <c r="BC95" i="14"/>
  <c r="BI95" i="14" s="1"/>
  <c r="BO95" i="14" s="1"/>
  <c r="BU95" i="14" s="1"/>
  <c r="BX95" i="14" s="1"/>
  <c r="BZ95" i="14" s="1"/>
  <c r="BC60" i="14"/>
  <c r="BI60" i="14" s="1"/>
  <c r="BO60" i="14" s="1"/>
  <c r="BU60" i="14" s="1"/>
  <c r="BX60" i="14" s="1"/>
  <c r="BZ60" i="14" s="1"/>
  <c r="BC71" i="14"/>
  <c r="BI71" i="14" s="1"/>
  <c r="BO71" i="14" s="1"/>
  <c r="BU71" i="14" s="1"/>
  <c r="BX71" i="14" s="1"/>
  <c r="BZ71" i="14" s="1"/>
  <c r="BC82" i="14"/>
  <c r="BI82" i="14" s="1"/>
  <c r="BO82" i="14" s="1"/>
  <c r="BU82" i="14" s="1"/>
  <c r="BX82" i="14" s="1"/>
  <c r="BZ82" i="14" s="1"/>
  <c r="BC83" i="14"/>
  <c r="BI83" i="14" s="1"/>
  <c r="BO83" i="14" s="1"/>
  <c r="BU83" i="14" s="1"/>
  <c r="BX83" i="14" s="1"/>
  <c r="BZ83" i="14" s="1"/>
  <c r="BC48" i="14"/>
  <c r="BI48" i="14" s="1"/>
  <c r="BO48" i="14" s="1"/>
  <c r="BU48" i="14" s="1"/>
  <c r="BX48" i="14" s="1"/>
  <c r="BZ48" i="14" s="1"/>
  <c r="BC89" i="14"/>
  <c r="BC61" i="14"/>
  <c r="BI61" i="14" s="1"/>
  <c r="BO61" i="14" s="1"/>
  <c r="BU61" i="14" s="1"/>
  <c r="BX61" i="14" s="1"/>
  <c r="BZ61" i="14" s="1"/>
  <c r="BC29" i="14"/>
  <c r="BC7" i="14"/>
  <c r="BC27" i="14"/>
  <c r="BC24" i="14"/>
  <c r="BC26" i="14"/>
  <c r="BC100" i="14"/>
  <c r="BI100" i="14" s="1"/>
  <c r="BO100" i="14" s="1"/>
  <c r="BU100" i="14" s="1"/>
  <c r="BX100" i="14" s="1"/>
  <c r="BZ100" i="14" s="1"/>
  <c r="BC47" i="14"/>
  <c r="BI47" i="14" s="1"/>
  <c r="BO47" i="14" s="1"/>
  <c r="BU47" i="14" s="1"/>
  <c r="BX47" i="14" s="1"/>
  <c r="BZ47" i="14" s="1"/>
  <c r="BC12" i="14"/>
  <c r="BC50" i="14"/>
  <c r="BI50" i="14" s="1"/>
  <c r="BO50" i="14" s="1"/>
  <c r="BU50" i="14" s="1"/>
  <c r="BX50" i="14" s="1"/>
  <c r="BZ50" i="14" s="1"/>
  <c r="BC33" i="14"/>
  <c r="BC35" i="14"/>
  <c r="BC70" i="14"/>
  <c r="BI70" i="14" s="1"/>
  <c r="BO70" i="14" s="1"/>
  <c r="BU70" i="14" s="1"/>
  <c r="BX70" i="14" s="1"/>
  <c r="BZ70" i="14" s="1"/>
  <c r="BC53" i="14"/>
  <c r="BI53" i="14" s="1"/>
  <c r="BO53" i="14" s="1"/>
  <c r="BU53" i="14" s="1"/>
  <c r="BX53" i="14" s="1"/>
  <c r="BZ53" i="14" s="1"/>
  <c r="BC73" i="14"/>
  <c r="BI73" i="14" s="1"/>
  <c r="BO73" i="14" s="1"/>
  <c r="BU73" i="14" s="1"/>
  <c r="BX73" i="14" s="1"/>
  <c r="BZ73" i="14" s="1"/>
  <c r="BC11" i="14"/>
  <c r="BC81" i="14"/>
  <c r="BI81" i="14" s="1"/>
  <c r="BO81" i="14" s="1"/>
  <c r="BU81" i="14" s="1"/>
  <c r="BX81" i="14" s="1"/>
  <c r="BZ81" i="14" s="1"/>
  <c r="BC9" i="14"/>
  <c r="BC103" i="14"/>
  <c r="BC78" i="14"/>
  <c r="BI78" i="14" s="1"/>
  <c r="BO78" i="14" s="1"/>
  <c r="BU78" i="14" s="1"/>
  <c r="BX78" i="14" s="1"/>
  <c r="BZ78" i="14" s="1"/>
  <c r="BC57" i="14"/>
  <c r="BI57" i="14" s="1"/>
  <c r="BO57" i="14" s="1"/>
  <c r="BU57" i="14" s="1"/>
  <c r="BX57" i="14" s="1"/>
  <c r="BZ57" i="14" s="1"/>
  <c r="BC92" i="14"/>
  <c r="BI92" i="14" s="1"/>
  <c r="BO92" i="14" s="1"/>
  <c r="BU92" i="14" s="1"/>
  <c r="BC74" i="14"/>
  <c r="BI74" i="14" s="1"/>
  <c r="BO74" i="14" s="1"/>
  <c r="BU74" i="14" s="1"/>
  <c r="BX74" i="14" s="1"/>
  <c r="BZ74" i="14" s="1"/>
  <c r="BC51" i="14"/>
  <c r="BI51" i="14" s="1"/>
  <c r="BO51" i="14" s="1"/>
  <c r="BU51" i="14" s="1"/>
  <c r="BX51" i="14" s="1"/>
  <c r="BZ51" i="14" s="1"/>
  <c r="BC85" i="14"/>
  <c r="BI85" i="14" s="1"/>
  <c r="BO85" i="14" s="1"/>
  <c r="BU85" i="14" s="1"/>
  <c r="BX85" i="14" s="1"/>
  <c r="BZ85" i="14" s="1"/>
  <c r="BC58" i="14"/>
  <c r="BI58" i="14" s="1"/>
  <c r="BO58" i="14" s="1"/>
  <c r="BU58" i="14" s="1"/>
  <c r="BX58" i="14" s="1"/>
  <c r="BZ58" i="14" s="1"/>
  <c r="BC59" i="14"/>
  <c r="BI59" i="14" s="1"/>
  <c r="BO59" i="14" s="1"/>
  <c r="BU59" i="14" s="1"/>
  <c r="BX59" i="14" s="1"/>
  <c r="BZ59" i="14" s="1"/>
  <c r="BC56" i="14"/>
  <c r="BI56" i="14" s="1"/>
  <c r="BO56" i="14" s="1"/>
  <c r="BU56" i="14" s="1"/>
  <c r="BX56" i="14" s="1"/>
  <c r="BZ56" i="14" s="1"/>
  <c r="BC77" i="14"/>
  <c r="BI77" i="14" s="1"/>
  <c r="BO77" i="14" s="1"/>
  <c r="BU77" i="14" s="1"/>
  <c r="BX77" i="14" s="1"/>
  <c r="BZ77" i="14" s="1"/>
  <c r="BC54" i="14"/>
  <c r="BI54" i="14" s="1"/>
  <c r="BO54" i="14" s="1"/>
  <c r="BU54" i="14" s="1"/>
  <c r="BX54" i="14" s="1"/>
  <c r="BZ54" i="14" s="1"/>
  <c r="BC79" i="14"/>
  <c r="BI79" i="14" s="1"/>
  <c r="BO79" i="14" s="1"/>
  <c r="BU79" i="14" s="1"/>
  <c r="BX79" i="14" s="1"/>
  <c r="BZ79" i="14" s="1"/>
  <c r="BC44" i="14"/>
  <c r="BI44" i="14" s="1"/>
  <c r="BO44" i="14" s="1"/>
  <c r="BU44" i="14" s="1"/>
  <c r="BX44" i="14" s="1"/>
  <c r="BZ44" i="14" s="1"/>
  <c r="BC23" i="14"/>
  <c r="BC5" i="14"/>
  <c r="BC67" i="14"/>
  <c r="BI67" i="14" s="1"/>
  <c r="BO67" i="14" s="1"/>
  <c r="BU67" i="14" s="1"/>
  <c r="BX67" i="14" s="1"/>
  <c r="BZ67" i="14" s="1"/>
  <c r="BC32" i="14"/>
  <c r="BC66" i="14"/>
  <c r="BI66" i="14" s="1"/>
  <c r="BO66" i="14" s="1"/>
  <c r="BU66" i="14" s="1"/>
  <c r="BX66" i="14" s="1"/>
  <c r="BZ66" i="14" s="1"/>
  <c r="BC84" i="14"/>
  <c r="BI84" i="14" s="1"/>
  <c r="BO84" i="14" s="1"/>
  <c r="BU84" i="14" s="1"/>
  <c r="BX84" i="14" s="1"/>
  <c r="BZ84" i="14" s="1"/>
  <c r="BC43" i="14"/>
  <c r="BC8" i="14"/>
  <c r="BC69" i="14"/>
  <c r="BI69" i="14" s="1"/>
  <c r="BO69" i="14" s="1"/>
  <c r="BU69" i="14" s="1"/>
  <c r="BX69" i="14" s="1"/>
  <c r="BZ69" i="14" s="1"/>
  <c r="BC36" i="14"/>
  <c r="BC31" i="14"/>
  <c r="BC62" i="14"/>
  <c r="BI62" i="14" s="1"/>
  <c r="BO62" i="14" s="1"/>
  <c r="BU62" i="14" s="1"/>
  <c r="BX62" i="14" s="1"/>
  <c r="BZ62" i="14" s="1"/>
  <c r="BC45" i="14"/>
  <c r="BI45" i="14" s="1"/>
  <c r="BO45" i="14" s="1"/>
  <c r="BU45" i="14" s="1"/>
  <c r="BX45" i="14" s="1"/>
  <c r="BZ45" i="14" s="1"/>
  <c r="BC68" i="14"/>
  <c r="BI68" i="14" s="1"/>
  <c r="BO68" i="14" s="1"/>
  <c r="BU68" i="14" s="1"/>
  <c r="BX68" i="14" s="1"/>
  <c r="BZ68" i="14" s="1"/>
  <c r="BC19" i="14"/>
  <c r="BC101" i="14"/>
  <c r="BI101" i="14" s="1"/>
  <c r="BO101" i="14" s="1"/>
  <c r="BU101" i="14" s="1"/>
  <c r="BX101" i="14" s="1"/>
  <c r="BZ101" i="14" s="1"/>
  <c r="BC25" i="14"/>
  <c r="BC87" i="14"/>
  <c r="BI87" i="14" s="1"/>
  <c r="BO87" i="14" s="1"/>
  <c r="BU87" i="14" s="1"/>
  <c r="BX87" i="14" s="1"/>
  <c r="BZ87" i="14" s="1"/>
  <c r="BC86" i="14"/>
  <c r="BI86" i="14" s="1"/>
  <c r="BO86" i="14" s="1"/>
  <c r="BU86" i="14" s="1"/>
  <c r="BX86" i="14" s="1"/>
  <c r="BZ86" i="14" s="1"/>
  <c r="BC80" i="14"/>
  <c r="BI80" i="14" s="1"/>
  <c r="BO80" i="14" s="1"/>
  <c r="BU80" i="14" s="1"/>
  <c r="BX80" i="14" s="1"/>
  <c r="BZ80" i="14" s="1"/>
  <c r="BC46" i="14"/>
  <c r="BI46" i="14" s="1"/>
  <c r="BO46" i="14" s="1"/>
  <c r="BU46" i="14" s="1"/>
  <c r="BX46" i="14" s="1"/>
  <c r="BZ46" i="14" s="1"/>
  <c r="BC91" i="14"/>
  <c r="BI91" i="14" s="1"/>
  <c r="BO91" i="14" s="1"/>
  <c r="BC88" i="14"/>
  <c r="BI88" i="14" s="1"/>
  <c r="BO88" i="14" s="1"/>
  <c r="BU88" i="14" s="1"/>
  <c r="BX88" i="14" s="1"/>
  <c r="BZ88" i="14" s="1"/>
  <c r="BC39" i="14"/>
  <c r="BC22" i="14"/>
  <c r="BC21" i="14"/>
  <c r="BC76" i="14"/>
  <c r="BI76" i="14" s="1"/>
  <c r="BO76" i="14" s="1"/>
  <c r="BU76" i="14" s="1"/>
  <c r="BX76" i="14" s="1"/>
  <c r="BZ76" i="14" s="1"/>
  <c r="BC41" i="14"/>
  <c r="BC10" i="14"/>
  <c r="BC99" i="14"/>
  <c r="BI99" i="14" s="1"/>
  <c r="BO99" i="14" s="1"/>
  <c r="BU99" i="14" s="1"/>
  <c r="BX99" i="14" s="1"/>
  <c r="BZ99" i="14" s="1"/>
  <c r="BC64" i="14"/>
  <c r="BI64" i="14" s="1"/>
  <c r="BO64" i="14" s="1"/>
  <c r="BU64" i="14" s="1"/>
  <c r="BX64" i="14" s="1"/>
  <c r="BZ64" i="14" s="1"/>
  <c r="BC14" i="14"/>
  <c r="BC38" i="14"/>
  <c r="BC75" i="14"/>
  <c r="BC40" i="14"/>
  <c r="BC98" i="14"/>
  <c r="BI98" i="14" s="1"/>
  <c r="BO98" i="14" s="1"/>
  <c r="BU98" i="14" s="1"/>
  <c r="BX98" i="14" s="1"/>
  <c r="BZ98" i="14" s="1"/>
  <c r="BC97" i="14"/>
  <c r="BI97" i="14" s="1"/>
  <c r="BO97" i="14" s="1"/>
  <c r="BU97" i="14" s="1"/>
  <c r="BX97" i="14" s="1"/>
  <c r="BZ97" i="14" s="1"/>
  <c r="BC63" i="14"/>
  <c r="BC28" i="14"/>
  <c r="BC90" i="14"/>
  <c r="BI90" i="14" s="1"/>
  <c r="BC34" i="14"/>
  <c r="BC16" i="14"/>
  <c r="BC20" i="14"/>
  <c r="BC4" i="14"/>
  <c r="D86" i="23" l="1" a="1"/>
  <c r="D86" i="23" s="1"/>
  <c r="D85" i="23" a="1"/>
  <c r="D85" i="23" s="1"/>
  <c r="D160" i="23" a="1"/>
  <c r="D160" i="23" s="1"/>
  <c r="D161" i="23" a="1"/>
  <c r="D161" i="23" s="1"/>
  <c r="D116" i="23" a="1"/>
  <c r="D116" i="23" s="1"/>
  <c r="D118" i="23" a="1"/>
  <c r="D118" i="23" s="1"/>
  <c r="D159" i="23" a="1"/>
  <c r="D159" i="23" s="1"/>
  <c r="D117" i="23" a="1"/>
  <c r="D117" i="23" s="1"/>
  <c r="I114" i="23" a="1"/>
  <c r="I114" i="23" s="1"/>
  <c r="H114" i="23" a="1"/>
  <c r="H114" i="23" s="1"/>
  <c r="BI33" i="14"/>
  <c r="BE33" i="14"/>
  <c r="BI7" i="14"/>
  <c r="BE7" i="14"/>
  <c r="BI37" i="14"/>
  <c r="BO37" i="14" s="1"/>
  <c r="BU37" i="14" s="1"/>
  <c r="BX37" i="14" s="1"/>
  <c r="BZ37" i="14" s="1"/>
  <c r="BE37" i="14"/>
  <c r="BI26" i="14"/>
  <c r="BE26" i="14"/>
  <c r="BI20" i="14"/>
  <c r="BE20" i="14"/>
  <c r="BI31" i="14"/>
  <c r="BE31" i="14"/>
  <c r="BI36" i="14"/>
  <c r="BO36" i="14" s="1"/>
  <c r="BU36" i="14" s="1"/>
  <c r="BX36" i="14" s="1"/>
  <c r="BZ36" i="14" s="1"/>
  <c r="BE36" i="14"/>
  <c r="BI5" i="14"/>
  <c r="BE5" i="14"/>
  <c r="BI29" i="14"/>
  <c r="BE29" i="14"/>
  <c r="BI13" i="14"/>
  <c r="BE13" i="14"/>
  <c r="BI10" i="14"/>
  <c r="BE10" i="14"/>
  <c r="BI24" i="14"/>
  <c r="BE24" i="14"/>
  <c r="BI18" i="14"/>
  <c r="BE18" i="14"/>
  <c r="BI15" i="14"/>
  <c r="BE15" i="14"/>
  <c r="BE4" i="14"/>
  <c r="BI41" i="14"/>
  <c r="BO41" i="14" s="1"/>
  <c r="BU41" i="14" s="1"/>
  <c r="BX41" i="14" s="1"/>
  <c r="BZ41" i="14" s="1"/>
  <c r="BE41" i="14"/>
  <c r="BI32" i="14"/>
  <c r="BE32" i="14"/>
  <c r="BI35" i="14"/>
  <c r="BO35" i="14" s="1"/>
  <c r="BU35" i="14" s="1"/>
  <c r="BX35" i="14" s="1"/>
  <c r="BZ35" i="14" s="1"/>
  <c r="BE35" i="14"/>
  <c r="BI27" i="14"/>
  <c r="BE27" i="14"/>
  <c r="BI30" i="14"/>
  <c r="BE30" i="14"/>
  <c r="BI40" i="14"/>
  <c r="BO40" i="14" s="1"/>
  <c r="BU40" i="14" s="1"/>
  <c r="BX40" i="14" s="1"/>
  <c r="BZ40" i="14" s="1"/>
  <c r="BE40" i="14"/>
  <c r="BI21" i="14"/>
  <c r="BE21" i="14"/>
  <c r="BI23" i="14"/>
  <c r="BE23" i="14"/>
  <c r="BI12" i="14"/>
  <c r="BE12" i="14"/>
  <c r="BI6" i="14"/>
  <c r="BE6" i="14"/>
  <c r="BI14" i="14"/>
  <c r="BE14" i="14"/>
  <c r="BI39" i="14"/>
  <c r="BO39" i="14" s="1"/>
  <c r="BU39" i="14" s="1"/>
  <c r="BX39" i="14" s="1"/>
  <c r="BZ39" i="14" s="1"/>
  <c r="BE39" i="14"/>
  <c r="BI8" i="14"/>
  <c r="BE8" i="14"/>
  <c r="BI11" i="14"/>
  <c r="BE11" i="14"/>
  <c r="BI42" i="14"/>
  <c r="BO42" i="14" s="1"/>
  <c r="BU42" i="14" s="1"/>
  <c r="BX42" i="14" s="1"/>
  <c r="BZ42" i="14" s="1"/>
  <c r="BE42" i="14"/>
  <c r="BI16" i="14"/>
  <c r="BE16" i="14"/>
  <c r="BI9" i="14"/>
  <c r="BE9" i="14"/>
  <c r="BI34" i="14"/>
  <c r="BO34" i="14" s="1"/>
  <c r="BU34" i="14" s="1"/>
  <c r="BX34" i="14" s="1"/>
  <c r="BZ34" i="14" s="1"/>
  <c r="BE34" i="14"/>
  <c r="BI38" i="14"/>
  <c r="BO38" i="14" s="1"/>
  <c r="BU38" i="14" s="1"/>
  <c r="BX38" i="14" s="1"/>
  <c r="BZ38" i="14" s="1"/>
  <c r="BE38" i="14"/>
  <c r="BI22" i="14"/>
  <c r="BE22" i="14"/>
  <c r="BI25" i="14"/>
  <c r="BE25" i="14"/>
  <c r="BI28" i="14"/>
  <c r="BE28" i="14"/>
  <c r="BI19" i="14"/>
  <c r="BE19" i="14"/>
  <c r="BI43" i="14"/>
  <c r="BO43" i="14" s="1"/>
  <c r="BU43" i="14" s="1"/>
  <c r="BX43" i="14" s="1"/>
  <c r="BZ43" i="14" s="1"/>
  <c r="BE43" i="14"/>
  <c r="BI17" i="14"/>
  <c r="BE17" i="14"/>
  <c r="BI94" i="14"/>
  <c r="BX5" i="15"/>
  <c r="BX6" i="15" s="1"/>
  <c r="BX7" i="15" s="1"/>
  <c r="BX8" i="15" s="1"/>
  <c r="BX9" i="15" s="1"/>
  <c r="BX10" i="15" s="1"/>
  <c r="BX11" i="15" s="1"/>
  <c r="BX12" i="15" s="1"/>
  <c r="BX13" i="15" s="1"/>
  <c r="BX14" i="15" s="1"/>
  <c r="BX15" i="15" s="1"/>
  <c r="BX16" i="15" s="1"/>
  <c r="BX17" i="15" s="1"/>
  <c r="BX18" i="15" s="1"/>
  <c r="BX19" i="15" s="1"/>
  <c r="BX20" i="15" s="1"/>
  <c r="BX21" i="15" s="1"/>
  <c r="BX22" i="15" s="1"/>
  <c r="BX23" i="15" s="1"/>
  <c r="BX24" i="15" s="1"/>
  <c r="BX25" i="15" s="1"/>
  <c r="BX26" i="15" s="1"/>
  <c r="BX27" i="15" s="1"/>
  <c r="BX28" i="15" s="1"/>
  <c r="BX29" i="15" s="1"/>
  <c r="BX30" i="15" s="1"/>
  <c r="BX31" i="15" s="1"/>
  <c r="BX32" i="15" s="1"/>
  <c r="BX33" i="15" s="1"/>
  <c r="BX34" i="15" s="1"/>
  <c r="BX35" i="15" s="1"/>
  <c r="BX36" i="15" s="1"/>
  <c r="BX37" i="15" s="1"/>
  <c r="BX38" i="15" s="1"/>
  <c r="BX39" i="15" s="1"/>
  <c r="BX40" i="15" s="1"/>
  <c r="BX41" i="15" s="1"/>
  <c r="BX42" i="15" s="1"/>
  <c r="BX43" i="15" s="1"/>
  <c r="BO90" i="14"/>
  <c r="BU90" i="14" s="1"/>
  <c r="BX90" i="14" s="1"/>
  <c r="BZ90" i="14" s="1"/>
  <c r="BI89" i="14"/>
  <c r="BO89" i="14" s="1"/>
  <c r="BU89" i="14" s="1"/>
  <c r="BX89" i="14" s="1"/>
  <c r="BZ89" i="14" s="1"/>
  <c r="BU91" i="14"/>
  <c r="BX91" i="14" s="1"/>
  <c r="BZ91" i="14" s="1"/>
  <c r="BX92" i="14"/>
  <c r="BZ92" i="14" s="1"/>
  <c r="DS6" i="15"/>
  <c r="DU6" i="15"/>
  <c r="BI103" i="14"/>
  <c r="BO103" i="14" s="1"/>
  <c r="BU103" i="14" s="1"/>
  <c r="BX103" i="14" s="1"/>
  <c r="BZ103" i="14" s="1"/>
  <c r="T8" i="15"/>
  <c r="DO7" i="15"/>
  <c r="L20" i="15"/>
  <c r="CC7" i="15"/>
  <c r="CG12" i="15"/>
  <c r="CC17" i="15"/>
  <c r="CG19" i="15"/>
  <c r="CC13" i="15"/>
  <c r="CC22" i="15"/>
  <c r="CG23" i="15"/>
  <c r="CG24" i="15"/>
  <c r="CG25" i="15"/>
  <c r="CC26" i="15"/>
  <c r="CG7" i="15"/>
  <c r="CC16" i="15"/>
  <c r="CG17" i="15"/>
  <c r="CC20" i="15"/>
  <c r="CC8" i="15"/>
  <c r="CC10" i="15"/>
  <c r="CC11" i="15"/>
  <c r="CC18" i="15"/>
  <c r="CC21" i="15"/>
  <c r="CG22" i="15"/>
  <c r="CG26" i="15"/>
  <c r="CC6" i="15"/>
  <c r="CG13" i="15"/>
  <c r="CC14" i="15"/>
  <c r="CC15" i="15"/>
  <c r="CG16" i="15"/>
  <c r="CG20" i="15"/>
  <c r="CG8" i="15"/>
  <c r="CC12" i="15"/>
  <c r="CG15" i="15"/>
  <c r="CG6" i="15"/>
  <c r="CG9" i="15"/>
  <c r="CG14" i="15"/>
  <c r="CG18" i="15"/>
  <c r="CC28" i="15"/>
  <c r="CC29" i="15"/>
  <c r="CG34" i="15"/>
  <c r="CC37" i="15"/>
  <c r="CC38" i="15"/>
  <c r="CC42" i="15"/>
  <c r="CG5" i="15"/>
  <c r="CG40" i="15"/>
  <c r="CG21" i="15"/>
  <c r="CG36" i="15"/>
  <c r="CC40" i="15"/>
  <c r="CC41" i="15"/>
  <c r="CG11" i="15"/>
  <c r="CC27" i="15"/>
  <c r="CG28" i="15"/>
  <c r="CG29" i="15"/>
  <c r="CC30" i="15"/>
  <c r="CG37" i="15"/>
  <c r="CG38" i="15"/>
  <c r="CC39" i="15"/>
  <c r="CG42" i="15"/>
  <c r="CC5" i="15"/>
  <c r="CG41" i="15"/>
  <c r="CC19" i="15"/>
  <c r="CC23" i="15"/>
  <c r="CC25" i="15"/>
  <c r="CC32" i="15"/>
  <c r="CC9" i="15"/>
  <c r="CG27" i="15"/>
  <c r="CG30" i="15"/>
  <c r="CC31" i="15"/>
  <c r="CG39" i="15"/>
  <c r="CC43" i="15"/>
  <c r="CG31" i="15"/>
  <c r="CC34" i="15"/>
  <c r="CG10" i="15"/>
  <c r="CC24" i="15"/>
  <c r="CG32" i="15"/>
  <c r="CG33" i="15"/>
  <c r="CG35" i="15"/>
  <c r="CC36" i="15"/>
  <c r="CC33" i="15"/>
  <c r="CG43" i="15"/>
  <c r="CC35" i="15"/>
  <c r="AF17" i="15"/>
  <c r="BT5" i="15"/>
  <c r="BT6" i="15" s="1"/>
  <c r="J20" i="15"/>
  <c r="BJ15" i="15"/>
  <c r="DQ21" i="15"/>
  <c r="N22" i="15"/>
  <c r="CG4" i="15"/>
  <c r="CH4" i="15" s="1"/>
  <c r="CC4" i="15"/>
  <c r="CD4" i="15" s="1"/>
  <c r="BI63" i="14"/>
  <c r="BO63" i="14" s="1"/>
  <c r="BU63" i="14" s="1"/>
  <c r="BX63" i="14" s="1"/>
  <c r="BZ63" i="14" s="1"/>
  <c r="BI75" i="14"/>
  <c r="BO75" i="14" s="1"/>
  <c r="BU75" i="14" s="1"/>
  <c r="BX75" i="14" s="1"/>
  <c r="BZ75" i="14" s="1"/>
  <c r="BI4" i="14"/>
  <c r="D88" i="23" l="1" a="1"/>
  <c r="D88" i="23" s="1"/>
  <c r="D87" i="23" a="1"/>
  <c r="D87" i="23" s="1"/>
  <c r="D119" i="23" a="1"/>
  <c r="D119" i="23" s="1"/>
  <c r="D120" i="23" a="1"/>
  <c r="D120" i="23" s="1"/>
  <c r="D121" i="23" a="1"/>
  <c r="D121" i="23" s="1"/>
  <c r="D165" i="23" a="1"/>
  <c r="D165" i="23" s="1"/>
  <c r="D167" i="23" a="1"/>
  <c r="D167" i="23" s="1"/>
  <c r="D166" i="23" a="1"/>
  <c r="D166" i="23" s="1"/>
  <c r="I117" i="23" a="1"/>
  <c r="I117" i="23" s="1"/>
  <c r="BO19" i="14"/>
  <c r="BK19" i="14"/>
  <c r="BO23" i="14"/>
  <c r="BK23" i="14"/>
  <c r="BO27" i="14"/>
  <c r="BU27" i="14" s="1"/>
  <c r="BX27" i="14" s="1"/>
  <c r="BZ27" i="14" s="1"/>
  <c r="BK27" i="14"/>
  <c r="BO24" i="14"/>
  <c r="BU24" i="14" s="1"/>
  <c r="BX24" i="14" s="1"/>
  <c r="BZ24" i="14" s="1"/>
  <c r="BK24" i="14"/>
  <c r="BO5" i="14"/>
  <c r="BK5" i="14"/>
  <c r="BO26" i="14"/>
  <c r="BU26" i="14" s="1"/>
  <c r="BX26" i="14" s="1"/>
  <c r="BZ26" i="14" s="1"/>
  <c r="BK26" i="14"/>
  <c r="H117" i="23" a="1"/>
  <c r="H117" i="23" s="1"/>
  <c r="BO28" i="14"/>
  <c r="BU28" i="14" s="1"/>
  <c r="BX28" i="14" s="1"/>
  <c r="BZ28" i="14" s="1"/>
  <c r="BK28" i="14"/>
  <c r="BO14" i="14"/>
  <c r="BK14" i="14"/>
  <c r="BO21" i="14"/>
  <c r="BK21" i="14"/>
  <c r="BO10" i="14"/>
  <c r="BK10" i="14"/>
  <c r="BK4" i="14"/>
  <c r="BO17" i="14"/>
  <c r="BK17" i="14"/>
  <c r="BO25" i="14"/>
  <c r="BU25" i="14" s="1"/>
  <c r="BX25" i="14" s="1"/>
  <c r="BZ25" i="14" s="1"/>
  <c r="BK25" i="14"/>
  <c r="BO9" i="14"/>
  <c r="BK9" i="14"/>
  <c r="BO11" i="14"/>
  <c r="BK11" i="14"/>
  <c r="BO6" i="14"/>
  <c r="BK6" i="14"/>
  <c r="BO32" i="14"/>
  <c r="BU32" i="14" s="1"/>
  <c r="BX32" i="14" s="1"/>
  <c r="BZ32" i="14" s="1"/>
  <c r="BK32" i="14"/>
  <c r="BO15" i="14"/>
  <c r="BK15" i="14"/>
  <c r="BO13" i="14"/>
  <c r="BK13" i="14"/>
  <c r="BO31" i="14"/>
  <c r="BU31" i="14" s="1"/>
  <c r="BX31" i="14" s="1"/>
  <c r="BZ31" i="14" s="1"/>
  <c r="BK31" i="14"/>
  <c r="BO7" i="14"/>
  <c r="BK7" i="14"/>
  <c r="BO22" i="14"/>
  <c r="BK22" i="14"/>
  <c r="BO16" i="14"/>
  <c r="BK16" i="14"/>
  <c r="BO8" i="14"/>
  <c r="BK8" i="14"/>
  <c r="BO12" i="14"/>
  <c r="BK12" i="14"/>
  <c r="BO30" i="14"/>
  <c r="BU30" i="14" s="1"/>
  <c r="BX30" i="14" s="1"/>
  <c r="BZ30" i="14" s="1"/>
  <c r="BK30" i="14"/>
  <c r="BO18" i="14"/>
  <c r="BK18" i="14"/>
  <c r="BO29" i="14"/>
  <c r="BU29" i="14" s="1"/>
  <c r="BX29" i="14" s="1"/>
  <c r="BZ29" i="14" s="1"/>
  <c r="BK29" i="14"/>
  <c r="BO20" i="14"/>
  <c r="BK20" i="14"/>
  <c r="BO33" i="14"/>
  <c r="BU33" i="14" s="1"/>
  <c r="BX33" i="14" s="1"/>
  <c r="BZ33" i="14" s="1"/>
  <c r="BK33" i="14"/>
  <c r="BO94" i="14"/>
  <c r="CH5" i="15"/>
  <c r="CH6" i="15" s="1"/>
  <c r="CH7" i="15" s="1"/>
  <c r="CH8" i="15" s="1"/>
  <c r="CH9" i="15" s="1"/>
  <c r="CH10" i="15" s="1"/>
  <c r="CH11" i="15" s="1"/>
  <c r="CH12" i="15" s="1"/>
  <c r="CH13" i="15" s="1"/>
  <c r="CH14" i="15" s="1"/>
  <c r="CH15" i="15" s="1"/>
  <c r="CH16" i="15" s="1"/>
  <c r="CH17" i="15" s="1"/>
  <c r="CH18" i="15" s="1"/>
  <c r="CH19" i="15" s="1"/>
  <c r="CH20" i="15" s="1"/>
  <c r="CH21" i="15" s="1"/>
  <c r="CH22" i="15" s="1"/>
  <c r="CH23" i="15" s="1"/>
  <c r="CH24" i="15" s="1"/>
  <c r="CH25" i="15" s="1"/>
  <c r="CH26" i="15" s="1"/>
  <c r="CH27" i="15" s="1"/>
  <c r="CH28" i="15" s="1"/>
  <c r="CH29" i="15" s="1"/>
  <c r="CH30" i="15" s="1"/>
  <c r="CH31" i="15" s="1"/>
  <c r="CH32" i="15" s="1"/>
  <c r="CH33" i="15" s="1"/>
  <c r="CH34" i="15" s="1"/>
  <c r="CH35" i="15" s="1"/>
  <c r="CH36" i="15" s="1"/>
  <c r="CH37" i="15" s="1"/>
  <c r="CH38" i="15" s="1"/>
  <c r="CH39" i="15" s="1"/>
  <c r="CH40" i="15" s="1"/>
  <c r="CH41" i="15" s="1"/>
  <c r="CH42" i="15" s="1"/>
  <c r="CH43" i="15" s="1"/>
  <c r="DS7" i="15"/>
  <c r="DU7" i="15"/>
  <c r="T9" i="15"/>
  <c r="DO8" i="15"/>
  <c r="DQ22" i="15"/>
  <c r="N23" i="15"/>
  <c r="BT7" i="15"/>
  <c r="BJ16" i="15"/>
  <c r="CD5" i="15"/>
  <c r="CD6" i="15" s="1"/>
  <c r="CD7" i="15" s="1"/>
  <c r="CD8" i="15" s="1"/>
  <c r="CD9" i="15" s="1"/>
  <c r="CD10" i="15" s="1"/>
  <c r="CD11" i="15" s="1"/>
  <c r="CD12" i="15" s="1"/>
  <c r="CD13" i="15" s="1"/>
  <c r="CD14" i="15" s="1"/>
  <c r="CD15" i="15" s="1"/>
  <c r="CD16" i="15" s="1"/>
  <c r="CD17" i="15" s="1"/>
  <c r="CD18" i="15" s="1"/>
  <c r="CD19" i="15" s="1"/>
  <c r="CD20" i="15" s="1"/>
  <c r="CD21" i="15" s="1"/>
  <c r="CD22" i="15" s="1"/>
  <c r="CD23" i="15" s="1"/>
  <c r="CD24" i="15" s="1"/>
  <c r="CD25" i="15" s="1"/>
  <c r="CD26" i="15" s="1"/>
  <c r="CD27" i="15" s="1"/>
  <c r="CD28" i="15" s="1"/>
  <c r="CD29" i="15" s="1"/>
  <c r="CD30" i="15" s="1"/>
  <c r="CD31" i="15" s="1"/>
  <c r="CD32" i="15" s="1"/>
  <c r="CD33" i="15" s="1"/>
  <c r="CD34" i="15" s="1"/>
  <c r="CD35" i="15" s="1"/>
  <c r="CD36" i="15" s="1"/>
  <c r="CD37" i="15" s="1"/>
  <c r="CD38" i="15" s="1"/>
  <c r="CD39" i="15" s="1"/>
  <c r="CD40" i="15" s="1"/>
  <c r="CD41" i="15" s="1"/>
  <c r="CD42" i="15" s="1"/>
  <c r="CD43" i="15" s="1"/>
  <c r="L21" i="15"/>
  <c r="CM8" i="15"/>
  <c r="CQ13" i="15"/>
  <c r="CM15" i="15"/>
  <c r="CQ16" i="15"/>
  <c r="CM18" i="15"/>
  <c r="CM6" i="15"/>
  <c r="CQ10" i="15"/>
  <c r="CQ11" i="15"/>
  <c r="CM14" i="15"/>
  <c r="CQ20" i="15"/>
  <c r="CQ21" i="15"/>
  <c r="CM27" i="15"/>
  <c r="CQ8" i="15"/>
  <c r="CM9" i="15"/>
  <c r="CM12" i="15"/>
  <c r="CQ15" i="15"/>
  <c r="CM19" i="15"/>
  <c r="CQ14" i="15"/>
  <c r="CQ18" i="15"/>
  <c r="CM23" i="15"/>
  <c r="CM24" i="15"/>
  <c r="CM25" i="15"/>
  <c r="CQ27" i="15"/>
  <c r="CQ28" i="15"/>
  <c r="CQ6" i="15"/>
  <c r="CM7" i="15"/>
  <c r="CQ9" i="15"/>
  <c r="CQ12" i="15"/>
  <c r="CM17" i="15"/>
  <c r="CQ19" i="15"/>
  <c r="CQ7" i="15"/>
  <c r="CM13" i="15"/>
  <c r="CM16" i="15"/>
  <c r="CQ17" i="15"/>
  <c r="CM10" i="15"/>
  <c r="CM11" i="15"/>
  <c r="CM20" i="15"/>
  <c r="CM21" i="15"/>
  <c r="CQ22" i="15"/>
  <c r="CQ30" i="15"/>
  <c r="CM31" i="15"/>
  <c r="CQ39" i="15"/>
  <c r="CM43" i="15"/>
  <c r="CQ23" i="15"/>
  <c r="CM32" i="15"/>
  <c r="CM33" i="15"/>
  <c r="CM35" i="15"/>
  <c r="CM26" i="15"/>
  <c r="CQ31" i="15"/>
  <c r="CM34" i="15"/>
  <c r="CQ43" i="15"/>
  <c r="CQ5" i="15"/>
  <c r="CQ24" i="15"/>
  <c r="CQ32" i="15"/>
  <c r="CQ33" i="15"/>
  <c r="CQ35" i="15"/>
  <c r="CM36" i="15"/>
  <c r="CQ26" i="15"/>
  <c r="CM28" i="15"/>
  <c r="CM29" i="15"/>
  <c r="CQ34" i="15"/>
  <c r="CM37" i="15"/>
  <c r="CM42" i="15"/>
  <c r="CQ29" i="15"/>
  <c r="CM30" i="15"/>
  <c r="CQ37" i="15"/>
  <c r="CM39" i="15"/>
  <c r="CM22" i="15"/>
  <c r="CQ25" i="15"/>
  <c r="CQ38" i="15"/>
  <c r="CQ40" i="15"/>
  <c r="CQ41" i="15"/>
  <c r="CM5" i="15"/>
  <c r="CM38" i="15"/>
  <c r="CM40" i="15"/>
  <c r="CM41" i="15"/>
  <c r="CQ42" i="15"/>
  <c r="CQ36" i="15"/>
  <c r="J21" i="15"/>
  <c r="AF18" i="15"/>
  <c r="CQ4" i="15"/>
  <c r="CR4" i="15" s="1"/>
  <c r="CM4" i="15"/>
  <c r="CN4" i="15" s="1"/>
  <c r="BO4" i="14"/>
  <c r="BM2" i="15"/>
  <c r="D90" i="23" l="1" a="1"/>
  <c r="D90" i="23" s="1"/>
  <c r="D89" i="23" a="1"/>
  <c r="D89" i="23" s="1"/>
  <c r="D24" i="23" s="1"/>
  <c r="D123" i="23" a="1"/>
  <c r="D123" i="23" s="1"/>
  <c r="D172" i="23" a="1"/>
  <c r="D172" i="23" s="1"/>
  <c r="D122" i="23" a="1"/>
  <c r="D122" i="23" s="1"/>
  <c r="D171" i="23" a="1"/>
  <c r="D171" i="23" s="1"/>
  <c r="D124" i="23" a="1"/>
  <c r="D124" i="23" s="1"/>
  <c r="D173" i="23" a="1"/>
  <c r="D173" i="23" s="1"/>
  <c r="I119" i="23" a="1"/>
  <c r="I119" i="23" s="1"/>
  <c r="H119" i="23" a="1"/>
  <c r="H119" i="23" s="1"/>
  <c r="BU22" i="14"/>
  <c r="BX22" i="14" s="1"/>
  <c r="BZ22" i="14" s="1"/>
  <c r="BQ22" i="14"/>
  <c r="BU15" i="14"/>
  <c r="BX15" i="14" s="1"/>
  <c r="BZ15" i="14" s="1"/>
  <c r="BQ15" i="14"/>
  <c r="BU9" i="14"/>
  <c r="BQ9" i="14"/>
  <c r="BU20" i="14"/>
  <c r="BX20" i="14" s="1"/>
  <c r="BZ20" i="14" s="1"/>
  <c r="BQ20" i="14"/>
  <c r="BU12" i="14"/>
  <c r="BQ12" i="14"/>
  <c r="BU7" i="14"/>
  <c r="BQ7" i="14"/>
  <c r="BU10" i="14"/>
  <c r="BQ10" i="14"/>
  <c r="BQ4" i="14"/>
  <c r="BU8" i="14"/>
  <c r="BQ8" i="14"/>
  <c r="BU6" i="14"/>
  <c r="BQ6" i="14"/>
  <c r="BU17" i="14"/>
  <c r="BX17" i="14" s="1"/>
  <c r="BZ17" i="14" s="1"/>
  <c r="BQ17" i="14"/>
  <c r="BU21" i="14"/>
  <c r="BX21" i="14" s="1"/>
  <c r="BZ21" i="14" s="1"/>
  <c r="BQ21" i="14"/>
  <c r="BU23" i="14"/>
  <c r="BX23" i="14" s="1"/>
  <c r="BZ23" i="14" s="1"/>
  <c r="BQ23" i="14"/>
  <c r="BU18" i="14"/>
  <c r="BX18" i="14" s="1"/>
  <c r="BZ18" i="14" s="1"/>
  <c r="BQ18" i="14"/>
  <c r="BU16" i="14"/>
  <c r="BX16" i="14" s="1"/>
  <c r="BZ16" i="14" s="1"/>
  <c r="BQ16" i="14"/>
  <c r="BU13" i="14"/>
  <c r="BQ13" i="14"/>
  <c r="BU11" i="14"/>
  <c r="BQ11" i="14"/>
  <c r="BU14" i="14"/>
  <c r="BX14" i="14" s="1"/>
  <c r="BZ14" i="14" s="1"/>
  <c r="BQ14" i="14"/>
  <c r="BU5" i="14"/>
  <c r="BQ5" i="14"/>
  <c r="BU19" i="14"/>
  <c r="BX19" i="14" s="1"/>
  <c r="BZ19" i="14" s="1"/>
  <c r="BQ19" i="14"/>
  <c r="BU94" i="14"/>
  <c r="CR5" i="15"/>
  <c r="CR6" i="15" s="1"/>
  <c r="CR7" i="15" s="1"/>
  <c r="CR8" i="15" s="1"/>
  <c r="CR9" i="15" s="1"/>
  <c r="CR10" i="15" s="1"/>
  <c r="CR11" i="15" s="1"/>
  <c r="CR12" i="15" s="1"/>
  <c r="CR13" i="15" s="1"/>
  <c r="CR14" i="15" s="1"/>
  <c r="CR15" i="15" s="1"/>
  <c r="CR16" i="15" s="1"/>
  <c r="CR17" i="15" s="1"/>
  <c r="CR18" i="15" s="1"/>
  <c r="CR19" i="15" s="1"/>
  <c r="CR20" i="15" s="1"/>
  <c r="CR21" i="15" s="1"/>
  <c r="CR22" i="15" s="1"/>
  <c r="CR23" i="15" s="1"/>
  <c r="CR24" i="15" s="1"/>
  <c r="CR25" i="15" s="1"/>
  <c r="CR26" i="15" s="1"/>
  <c r="CR27" i="15" s="1"/>
  <c r="CR28" i="15" s="1"/>
  <c r="CR29" i="15" s="1"/>
  <c r="CR30" i="15" s="1"/>
  <c r="CR31" i="15" s="1"/>
  <c r="CR32" i="15" s="1"/>
  <c r="CR33" i="15" s="1"/>
  <c r="CR34" i="15" s="1"/>
  <c r="CR35" i="15" s="1"/>
  <c r="CR36" i="15" s="1"/>
  <c r="CR37" i="15" s="1"/>
  <c r="CR38" i="15" s="1"/>
  <c r="CR39" i="15" s="1"/>
  <c r="CR40" i="15" s="1"/>
  <c r="CR41" i="15" s="1"/>
  <c r="CR42" i="15" s="1"/>
  <c r="CR43" i="15" s="1"/>
  <c r="DS8" i="15"/>
  <c r="DU8" i="15"/>
  <c r="T10" i="15"/>
  <c r="DO9" i="15"/>
  <c r="CN5" i="15"/>
  <c r="CN6" i="15" s="1"/>
  <c r="CN7" i="15" s="1"/>
  <c r="CN8" i="15" s="1"/>
  <c r="CN9" i="15" s="1"/>
  <c r="CN10" i="15" s="1"/>
  <c r="CN11" i="15" s="1"/>
  <c r="CN12" i="15" s="1"/>
  <c r="CN13" i="15" s="1"/>
  <c r="CN14" i="15" s="1"/>
  <c r="CN15" i="15" s="1"/>
  <c r="CN16" i="15" s="1"/>
  <c r="CN17" i="15" s="1"/>
  <c r="CN18" i="15" s="1"/>
  <c r="CN19" i="15" s="1"/>
  <c r="CN20" i="15" s="1"/>
  <c r="CN21" i="15" s="1"/>
  <c r="CN22" i="15" s="1"/>
  <c r="CN23" i="15" s="1"/>
  <c r="CN24" i="15" s="1"/>
  <c r="CN25" i="15" s="1"/>
  <c r="CN26" i="15" s="1"/>
  <c r="CN27" i="15" s="1"/>
  <c r="CN28" i="15" s="1"/>
  <c r="CN29" i="15" s="1"/>
  <c r="CN30" i="15" s="1"/>
  <c r="CN31" i="15" s="1"/>
  <c r="CN32" i="15" s="1"/>
  <c r="CN33" i="15" s="1"/>
  <c r="CN34" i="15" s="1"/>
  <c r="CN35" i="15" s="1"/>
  <c r="CN36" i="15" s="1"/>
  <c r="CN37" i="15" s="1"/>
  <c r="CN38" i="15" s="1"/>
  <c r="CN39" i="15" s="1"/>
  <c r="CN40" i="15" s="1"/>
  <c r="CN41" i="15" s="1"/>
  <c r="CN42" i="15" s="1"/>
  <c r="CN43" i="15" s="1"/>
  <c r="BJ17" i="15"/>
  <c r="BT8" i="15"/>
  <c r="J22" i="15"/>
  <c r="L22" i="15"/>
  <c r="DQ23" i="15"/>
  <c r="N24" i="15"/>
  <c r="CW7" i="15"/>
  <c r="DA9" i="15"/>
  <c r="CW17" i="15"/>
  <c r="DA18" i="15"/>
  <c r="DA19" i="15"/>
  <c r="CW25" i="15"/>
  <c r="DA6" i="15"/>
  <c r="DA12" i="15"/>
  <c r="CW22" i="15"/>
  <c r="DA23" i="15"/>
  <c r="DA24" i="15"/>
  <c r="DA7" i="15"/>
  <c r="CW13" i="15"/>
  <c r="CW16" i="15"/>
  <c r="DA17" i="15"/>
  <c r="CW10" i="15"/>
  <c r="CW11" i="15"/>
  <c r="CW20" i="15"/>
  <c r="CW21" i="15"/>
  <c r="DA22" i="15"/>
  <c r="CW8" i="15"/>
  <c r="DA13" i="15"/>
  <c r="CW15" i="15"/>
  <c r="DA16" i="15"/>
  <c r="DA8" i="15"/>
  <c r="CW9" i="15"/>
  <c r="DA10" i="15"/>
  <c r="DA15" i="15"/>
  <c r="CW19" i="15"/>
  <c r="CW6" i="15"/>
  <c r="CW12" i="15"/>
  <c r="DA14" i="15"/>
  <c r="DA20" i="15"/>
  <c r="DA26" i="15"/>
  <c r="CW27" i="15"/>
  <c r="CW36" i="15"/>
  <c r="CW37" i="15"/>
  <c r="CW42" i="15"/>
  <c r="CW39" i="15"/>
  <c r="CW32" i="15"/>
  <c r="DA28" i="15"/>
  <c r="CW29" i="15"/>
  <c r="DA34" i="15"/>
  <c r="CW40" i="15"/>
  <c r="CW41" i="15"/>
  <c r="DA27" i="15"/>
  <c r="CW30" i="15"/>
  <c r="DA36" i="15"/>
  <c r="DA37" i="15"/>
  <c r="CW38" i="15"/>
  <c r="DA42" i="15"/>
  <c r="DA41" i="15"/>
  <c r="CW24" i="15"/>
  <c r="CW14" i="15"/>
  <c r="CW23" i="15"/>
  <c r="DA25" i="15"/>
  <c r="DA29" i="15"/>
  <c r="DA40" i="15"/>
  <c r="CW18" i="15"/>
  <c r="DA30" i="15"/>
  <c r="CW31" i="15"/>
  <c r="DA38" i="15"/>
  <c r="CW43" i="15"/>
  <c r="DA5" i="15"/>
  <c r="DA21" i="15"/>
  <c r="CW26" i="15"/>
  <c r="DA31" i="15"/>
  <c r="DA11" i="15"/>
  <c r="CW28" i="15"/>
  <c r="DA32" i="15"/>
  <c r="DA33" i="15"/>
  <c r="CW34" i="15"/>
  <c r="DA35" i="15"/>
  <c r="CW5" i="15"/>
  <c r="CW33" i="15"/>
  <c r="DA39" i="15"/>
  <c r="CW35" i="15"/>
  <c r="DA43" i="15"/>
  <c r="AF19" i="15"/>
  <c r="DA4" i="15"/>
  <c r="DB4" i="15" s="1"/>
  <c r="CW4" i="15"/>
  <c r="CX4" i="15" s="1"/>
  <c r="BU4" i="14"/>
  <c r="CG2" i="15"/>
  <c r="BW2" i="15"/>
  <c r="D92" i="23" l="1" a="1"/>
  <c r="D92" i="23" s="1"/>
  <c r="D91" i="23" a="1"/>
  <c r="D91" i="23" s="1"/>
  <c r="BW4" i="14"/>
  <c r="D127" i="23" a="1"/>
  <c r="D127" i="23" s="1"/>
  <c r="D177" i="23" a="1"/>
  <c r="D177" i="23" s="1"/>
  <c r="D178" i="23" a="1"/>
  <c r="D178" i="23" s="1"/>
  <c r="D179" i="23" a="1"/>
  <c r="D179" i="23" s="1"/>
  <c r="D126" i="23" a="1"/>
  <c r="D126" i="23" s="1"/>
  <c r="D125" i="23" a="1"/>
  <c r="D125" i="23" s="1"/>
  <c r="I123" i="23" a="1"/>
  <c r="I123" i="23" s="1"/>
  <c r="BX5" i="14"/>
  <c r="BZ5" i="14" s="1"/>
  <c r="BW5" i="14"/>
  <c r="BX11" i="14"/>
  <c r="BZ11" i="14" s="1"/>
  <c r="BW11" i="14"/>
  <c r="BX13" i="14"/>
  <c r="BZ13" i="14" s="1"/>
  <c r="BW13" i="14"/>
  <c r="BX6" i="14"/>
  <c r="BZ6" i="14" s="1"/>
  <c r="BW6" i="14"/>
  <c r="BX8" i="14"/>
  <c r="BZ8" i="14" s="1"/>
  <c r="BW8" i="14"/>
  <c r="BX10" i="14"/>
  <c r="BZ10" i="14" s="1"/>
  <c r="BW10" i="14"/>
  <c r="BX7" i="14"/>
  <c r="BZ7" i="14" s="1"/>
  <c r="BW7" i="14"/>
  <c r="BX12" i="14"/>
  <c r="BZ12" i="14" s="1"/>
  <c r="BW12" i="14"/>
  <c r="BX9" i="14"/>
  <c r="BZ9" i="14" s="1"/>
  <c r="BW9" i="14"/>
  <c r="H123" i="23" a="1"/>
  <c r="H123" i="23" s="1"/>
  <c r="BX94" i="14"/>
  <c r="BZ94" i="14" s="1"/>
  <c r="DS9" i="15"/>
  <c r="DU9" i="15"/>
  <c r="CX5" i="15"/>
  <c r="CX6" i="15" s="1"/>
  <c r="T11" i="15"/>
  <c r="DO10" i="15"/>
  <c r="AF20" i="15"/>
  <c r="L23" i="15"/>
  <c r="J23" i="15"/>
  <c r="BT9" i="15"/>
  <c r="DG10" i="15"/>
  <c r="DK13" i="15"/>
  <c r="DG15" i="15"/>
  <c r="DK16" i="15"/>
  <c r="DG20" i="15"/>
  <c r="DG8" i="15"/>
  <c r="DK11" i="15"/>
  <c r="DG14" i="15"/>
  <c r="DK21" i="15"/>
  <c r="DK26" i="15"/>
  <c r="DG9" i="15"/>
  <c r="DK10" i="15"/>
  <c r="DK15" i="15"/>
  <c r="DG18" i="15"/>
  <c r="DK20" i="15"/>
  <c r="DG12" i="15"/>
  <c r="DK14" i="15"/>
  <c r="DG19" i="15"/>
  <c r="DG23" i="15"/>
  <c r="DG24" i="15"/>
  <c r="DG6" i="15"/>
  <c r="DG7" i="15"/>
  <c r="DK8" i="15"/>
  <c r="DK9" i="15"/>
  <c r="DG17" i="15"/>
  <c r="DK18" i="15"/>
  <c r="DK6" i="15"/>
  <c r="DK7" i="15"/>
  <c r="DG13" i="15"/>
  <c r="DG16" i="15"/>
  <c r="DK17" i="15"/>
  <c r="DK25" i="15"/>
  <c r="DG11" i="15"/>
  <c r="DG21" i="15"/>
  <c r="DK22" i="15"/>
  <c r="DK41" i="15"/>
  <c r="DG43" i="15"/>
  <c r="DG5" i="15"/>
  <c r="DK28" i="15"/>
  <c r="DK24" i="15"/>
  <c r="DK30" i="15"/>
  <c r="DG31" i="15"/>
  <c r="DG32" i="15"/>
  <c r="DG33" i="15"/>
  <c r="DG35" i="15"/>
  <c r="DK38" i="15"/>
  <c r="DK39" i="15"/>
  <c r="DG26" i="15"/>
  <c r="DK43" i="15"/>
  <c r="DG28" i="15"/>
  <c r="DK31" i="15"/>
  <c r="DK32" i="15"/>
  <c r="DK33" i="15"/>
  <c r="DG34" i="15"/>
  <c r="DK35" i="15"/>
  <c r="DK12" i="15"/>
  <c r="DG25" i="15"/>
  <c r="DG29" i="15"/>
  <c r="DG22" i="15"/>
  <c r="DG27" i="15"/>
  <c r="DG37" i="15"/>
  <c r="DG42" i="15"/>
  <c r="DK19" i="15"/>
  <c r="DK27" i="15"/>
  <c r="DK37" i="15"/>
  <c r="DK23" i="15"/>
  <c r="DK29" i="15"/>
  <c r="DG30" i="15"/>
  <c r="DK36" i="15"/>
  <c r="DG38" i="15"/>
  <c r="DG39" i="15"/>
  <c r="DK40" i="15"/>
  <c r="DK42" i="15"/>
  <c r="DK5" i="15"/>
  <c r="DG40" i="15"/>
  <c r="DK34" i="15"/>
  <c r="DG41" i="15"/>
  <c r="DG36" i="15"/>
  <c r="DB5" i="15"/>
  <c r="DB6" i="15" s="1"/>
  <c r="DB7" i="15" s="1"/>
  <c r="DB8" i="15" s="1"/>
  <c r="DB9" i="15" s="1"/>
  <c r="DB10" i="15" s="1"/>
  <c r="DB11" i="15" s="1"/>
  <c r="DB12" i="15" s="1"/>
  <c r="DB13" i="15" s="1"/>
  <c r="DB14" i="15" s="1"/>
  <c r="DB15" i="15" s="1"/>
  <c r="DB16" i="15" s="1"/>
  <c r="DB17" i="15" s="1"/>
  <c r="DB18" i="15" s="1"/>
  <c r="DB19" i="15" s="1"/>
  <c r="DB20" i="15" s="1"/>
  <c r="DB21" i="15" s="1"/>
  <c r="DB22" i="15" s="1"/>
  <c r="DB23" i="15" s="1"/>
  <c r="DB24" i="15" s="1"/>
  <c r="DB25" i="15" s="1"/>
  <c r="DB26" i="15" s="1"/>
  <c r="DB27" i="15" s="1"/>
  <c r="DB28" i="15" s="1"/>
  <c r="DB29" i="15" s="1"/>
  <c r="DB30" i="15" s="1"/>
  <c r="DB31" i="15" s="1"/>
  <c r="DB32" i="15" s="1"/>
  <c r="DB33" i="15" s="1"/>
  <c r="DB34" i="15" s="1"/>
  <c r="DB35" i="15" s="1"/>
  <c r="DB36" i="15" s="1"/>
  <c r="DB37" i="15" s="1"/>
  <c r="DB38" i="15" s="1"/>
  <c r="DB39" i="15" s="1"/>
  <c r="DB40" i="15" s="1"/>
  <c r="DB41" i="15" s="1"/>
  <c r="DB42" i="15" s="1"/>
  <c r="DB43" i="15" s="1"/>
  <c r="N25" i="15"/>
  <c r="DQ24" i="15"/>
  <c r="BJ18" i="15"/>
  <c r="BX4" i="14"/>
  <c r="DK4" i="15"/>
  <c r="DL4" i="15" s="1"/>
  <c r="DG4" i="15"/>
  <c r="DH4" i="15" s="1"/>
  <c r="DP4" i="15" s="1"/>
  <c r="CQ2" i="15"/>
  <c r="E35" i="34" l="1"/>
  <c r="D23" i="23"/>
  <c r="D190" i="23" a="1"/>
  <c r="D190" i="23" s="1"/>
  <c r="D189" i="23" a="1"/>
  <c r="D189" i="23" s="1"/>
  <c r="D191" i="23" a="1"/>
  <c r="D191" i="23" s="1"/>
  <c r="D94" i="23"/>
  <c r="D25" i="23"/>
  <c r="D26" i="23"/>
  <c r="D93" i="23"/>
  <c r="D11" i="23" s="1"/>
  <c r="D12" i="23" s="1"/>
  <c r="D184" i="23"/>
  <c r="D185" i="23"/>
  <c r="D183" i="23"/>
  <c r="I126" i="23" a="1"/>
  <c r="I126" i="23" s="1"/>
  <c r="H126" i="23" a="1"/>
  <c r="H126" i="23" s="1"/>
  <c r="BZ4" i="14"/>
  <c r="DS10" i="15"/>
  <c r="DU10" i="15"/>
  <c r="T12" i="15"/>
  <c r="DO11" i="15"/>
  <c r="BT10" i="15"/>
  <c r="L24" i="15"/>
  <c r="DQ25" i="15"/>
  <c r="N26" i="15"/>
  <c r="DH5" i="15"/>
  <c r="DP5" i="15" s="1"/>
  <c r="CX7" i="15"/>
  <c r="BJ19" i="15"/>
  <c r="DL5" i="15"/>
  <c r="DL6" i="15" s="1"/>
  <c r="DL7" i="15" s="1"/>
  <c r="DL8" i="15" s="1"/>
  <c r="DL9" i="15" s="1"/>
  <c r="DL10" i="15" s="1"/>
  <c r="DL11" i="15" s="1"/>
  <c r="DL12" i="15" s="1"/>
  <c r="DL13" i="15" s="1"/>
  <c r="DL14" i="15" s="1"/>
  <c r="DL15" i="15" s="1"/>
  <c r="DL16" i="15" s="1"/>
  <c r="DL17" i="15" s="1"/>
  <c r="DL18" i="15" s="1"/>
  <c r="DL19" i="15" s="1"/>
  <c r="DL20" i="15" s="1"/>
  <c r="DL21" i="15" s="1"/>
  <c r="DL22" i="15" s="1"/>
  <c r="DL23" i="15" s="1"/>
  <c r="DL24" i="15" s="1"/>
  <c r="DL25" i="15" s="1"/>
  <c r="DL26" i="15" s="1"/>
  <c r="DL27" i="15" s="1"/>
  <c r="DL28" i="15" s="1"/>
  <c r="DL29" i="15" s="1"/>
  <c r="DL30" i="15" s="1"/>
  <c r="DL31" i="15" s="1"/>
  <c r="DL32" i="15" s="1"/>
  <c r="DL33" i="15" s="1"/>
  <c r="DL34" i="15" s="1"/>
  <c r="DL35" i="15" s="1"/>
  <c r="DL36" i="15" s="1"/>
  <c r="DL37" i="15" s="1"/>
  <c r="DL38" i="15" s="1"/>
  <c r="DL39" i="15" s="1"/>
  <c r="DL40" i="15" s="1"/>
  <c r="DL41" i="15" s="1"/>
  <c r="DL42" i="15" s="1"/>
  <c r="DL43" i="15" s="1"/>
  <c r="D44" i="23" s="1"/>
  <c r="AF21" i="15"/>
  <c r="J24" i="15"/>
  <c r="DT4" i="15"/>
  <c r="DR4" i="15"/>
  <c r="DM2" i="15"/>
  <c r="DK2" i="15"/>
  <c r="DA2" i="15"/>
  <c r="D35" i="34" l="1" a="1"/>
  <c r="D35" i="34" s="1"/>
  <c r="E36" i="34"/>
  <c r="E37" i="34" s="1"/>
  <c r="D37" i="34" s="1" a="1"/>
  <c r="D37" i="34" s="1"/>
  <c r="F35" i="34" a="1"/>
  <c r="F35" i="34" s="1"/>
  <c r="C35" i="34" a="1"/>
  <c r="C35" i="34" s="1"/>
  <c r="D9" i="23"/>
  <c r="D10" i="23" s="1"/>
  <c r="D27" i="23"/>
  <c r="T13" i="15"/>
  <c r="DO12" i="15"/>
  <c r="DH6" i="15"/>
  <c r="DH7" i="15" s="1"/>
  <c r="DH8" i="15" s="1"/>
  <c r="DH9" i="15" s="1"/>
  <c r="DH10" i="15" s="1"/>
  <c r="DH11" i="15" s="1"/>
  <c r="DH12" i="15" s="1"/>
  <c r="DH13" i="15" s="1"/>
  <c r="DH14" i="15" s="1"/>
  <c r="DH15" i="15" s="1"/>
  <c r="DH16" i="15" s="1"/>
  <c r="DH17" i="15" s="1"/>
  <c r="DH18" i="15" s="1"/>
  <c r="DH19" i="15" s="1"/>
  <c r="DH20" i="15" s="1"/>
  <c r="DH21" i="15" s="1"/>
  <c r="DH22" i="15" s="1"/>
  <c r="DH23" i="15" s="1"/>
  <c r="DH24" i="15" s="1"/>
  <c r="DH25" i="15" s="1"/>
  <c r="DH26" i="15" s="1"/>
  <c r="DH27" i="15" s="1"/>
  <c r="DH28" i="15" s="1"/>
  <c r="DH29" i="15" s="1"/>
  <c r="DH30" i="15" s="1"/>
  <c r="DH31" i="15" s="1"/>
  <c r="DH32" i="15" s="1"/>
  <c r="DH33" i="15" s="1"/>
  <c r="DH34" i="15" s="1"/>
  <c r="DH35" i="15" s="1"/>
  <c r="DH36" i="15" s="1"/>
  <c r="DH37" i="15" s="1"/>
  <c r="DH38" i="15" s="1"/>
  <c r="DH39" i="15" s="1"/>
  <c r="DH40" i="15" s="1"/>
  <c r="DH41" i="15" s="1"/>
  <c r="DH42" i="15" s="1"/>
  <c r="DH43" i="15" s="1"/>
  <c r="DS11" i="15"/>
  <c r="DU11" i="15"/>
  <c r="DR5" i="15"/>
  <c r="DT5" i="15"/>
  <c r="CX8" i="15"/>
  <c r="DQ26" i="15"/>
  <c r="N27" i="15"/>
  <c r="J25" i="15"/>
  <c r="L25" i="15"/>
  <c r="BJ20" i="15"/>
  <c r="AF22" i="15"/>
  <c r="BT11" i="15"/>
  <c r="C37" i="34" l="1" a="1"/>
  <c r="C37" i="34" s="1"/>
  <c r="E38" i="34"/>
  <c r="F37" i="34" a="1"/>
  <c r="F37" i="34" s="1"/>
  <c r="DP7" i="15"/>
  <c r="DT7" i="15" s="1"/>
  <c r="DP6" i="15"/>
  <c r="DS12" i="15"/>
  <c r="DU12" i="15"/>
  <c r="T14" i="15"/>
  <c r="DO13" i="15"/>
  <c r="N28" i="15"/>
  <c r="DQ27" i="15"/>
  <c r="J26" i="15"/>
  <c r="BT12" i="15"/>
  <c r="BJ21" i="15"/>
  <c r="CX9" i="15"/>
  <c r="DP8" i="15"/>
  <c r="L26" i="15"/>
  <c r="AF23" i="15"/>
  <c r="E39" i="34" l="1"/>
  <c r="C38" i="34" a="1"/>
  <c r="C38" i="34" s="1"/>
  <c r="F38" i="34" a="1"/>
  <c r="F38" i="34" s="1"/>
  <c r="D38" i="34" a="1"/>
  <c r="D38" i="34" s="1"/>
  <c r="DT6" i="15"/>
  <c r="DR6" i="15"/>
  <c r="DR7" i="15"/>
  <c r="DS13" i="15"/>
  <c r="DU13" i="15"/>
  <c r="T15" i="15"/>
  <c r="DO14" i="15"/>
  <c r="J27" i="15"/>
  <c r="BJ22" i="15"/>
  <c r="DQ28" i="15"/>
  <c r="N29" i="15"/>
  <c r="AF24" i="15"/>
  <c r="L27" i="15"/>
  <c r="DR8" i="15"/>
  <c r="DT8" i="15"/>
  <c r="CX10" i="15"/>
  <c r="DP9" i="15"/>
  <c r="BT13" i="15"/>
  <c r="C39" i="34" l="1" a="1"/>
  <c r="C39" i="34" s="1"/>
  <c r="F39" i="34" a="1"/>
  <c r="F39" i="34" s="1"/>
  <c r="D39" i="34" a="1"/>
  <c r="D39" i="34" s="1"/>
  <c r="DU14" i="15"/>
  <c r="DS14" i="15"/>
  <c r="T16" i="15"/>
  <c r="DO15" i="15"/>
  <c r="L28" i="15"/>
  <c r="BT14" i="15"/>
  <c r="AF25" i="15"/>
  <c r="BJ23" i="15"/>
  <c r="DR9" i="15"/>
  <c r="DT9" i="15"/>
  <c r="N30" i="15"/>
  <c r="DQ29" i="15"/>
  <c r="CX11" i="15"/>
  <c r="DP10" i="15"/>
  <c r="J28" i="15"/>
  <c r="DU15" i="15" l="1"/>
  <c r="DS15" i="15"/>
  <c r="T17" i="15"/>
  <c r="DO16" i="15"/>
  <c r="BJ24" i="15"/>
  <c r="AF26" i="15"/>
  <c r="J29" i="15"/>
  <c r="DQ30" i="15"/>
  <c r="N31" i="15"/>
  <c r="BT15" i="15"/>
  <c r="DR10" i="15"/>
  <c r="DT10" i="15"/>
  <c r="CX12" i="15"/>
  <c r="DP11" i="15"/>
  <c r="L29" i="15"/>
  <c r="DU16" i="15" l="1"/>
  <c r="DS16" i="15"/>
  <c r="T18" i="15"/>
  <c r="DO17" i="15"/>
  <c r="BT16" i="15"/>
  <c r="DQ31" i="15"/>
  <c r="N32" i="15"/>
  <c r="L30" i="15"/>
  <c r="AF27" i="15"/>
  <c r="DR11" i="15"/>
  <c r="DT11" i="15"/>
  <c r="CX13" i="15"/>
  <c r="DP12" i="15"/>
  <c r="J30" i="15"/>
  <c r="BJ25" i="15"/>
  <c r="DU17" i="15" l="1"/>
  <c r="DS17" i="15"/>
  <c r="T19" i="15"/>
  <c r="DO18" i="15"/>
  <c r="DT12" i="15"/>
  <c r="DR12" i="15"/>
  <c r="CX14" i="15"/>
  <c r="DP13" i="15"/>
  <c r="AF28" i="15"/>
  <c r="N33" i="15"/>
  <c r="DQ32" i="15"/>
  <c r="L31" i="15"/>
  <c r="BJ26" i="15"/>
  <c r="J31" i="15"/>
  <c r="BT17" i="15"/>
  <c r="T20" i="15" l="1"/>
  <c r="DO19" i="15"/>
  <c r="DU18" i="15"/>
  <c r="DS18" i="15"/>
  <c r="N34" i="15"/>
  <c r="DQ33" i="15"/>
  <c r="J32" i="15"/>
  <c r="AF29" i="15"/>
  <c r="DR13" i="15"/>
  <c r="DT13" i="15"/>
  <c r="BT18" i="15"/>
  <c r="BJ27" i="15"/>
  <c r="CX15" i="15"/>
  <c r="DP14" i="15"/>
  <c r="L32" i="15"/>
  <c r="CI2" i="15"/>
  <c r="DS19" i="15" l="1"/>
  <c r="DU19" i="15"/>
  <c r="T21" i="15"/>
  <c r="DO20" i="15"/>
  <c r="J33" i="15"/>
  <c r="BJ28" i="15"/>
  <c r="BT19" i="15"/>
  <c r="L33" i="15"/>
  <c r="DT14" i="15"/>
  <c r="DR14" i="15"/>
  <c r="CX16" i="15"/>
  <c r="DP15" i="15"/>
  <c r="AF30" i="15"/>
  <c r="DQ34" i="15"/>
  <c r="N35" i="15"/>
  <c r="DU20" i="15" l="1"/>
  <c r="DS20" i="15"/>
  <c r="T22" i="15"/>
  <c r="DO21" i="15"/>
  <c r="CX17" i="15"/>
  <c r="DP16" i="15"/>
  <c r="DR15" i="15"/>
  <c r="DT15" i="15"/>
  <c r="N36" i="15"/>
  <c r="DQ35" i="15"/>
  <c r="L34" i="15"/>
  <c r="BJ29" i="15"/>
  <c r="AF31" i="15"/>
  <c r="BT20" i="15"/>
  <c r="J34" i="15"/>
  <c r="DU21" i="15" l="1"/>
  <c r="DS21" i="15"/>
  <c r="T23" i="15"/>
  <c r="DO22" i="15"/>
  <c r="DQ36" i="15"/>
  <c r="N37" i="15"/>
  <c r="BT21" i="15"/>
  <c r="L35" i="15"/>
  <c r="CX18" i="15"/>
  <c r="DP17" i="15"/>
  <c r="AF32" i="15"/>
  <c r="BJ30" i="15"/>
  <c r="J35" i="15"/>
  <c r="DR16" i="15"/>
  <c r="DT16" i="15"/>
  <c r="DS22" i="15" l="1"/>
  <c r="DU22" i="15"/>
  <c r="T24" i="15"/>
  <c r="DO23" i="15"/>
  <c r="CX19" i="15"/>
  <c r="DP18" i="15"/>
  <c r="AF33" i="15"/>
  <c r="DT17" i="15"/>
  <c r="DR17" i="15"/>
  <c r="L36" i="15"/>
  <c r="J36" i="15"/>
  <c r="BJ31" i="15"/>
  <c r="BT22" i="15"/>
  <c r="DQ37" i="15"/>
  <c r="N38" i="15"/>
  <c r="DU23" i="15" l="1"/>
  <c r="DS23" i="15"/>
  <c r="T25" i="15"/>
  <c r="DO24" i="15"/>
  <c r="L37" i="15"/>
  <c r="BT23" i="15"/>
  <c r="DQ38" i="15"/>
  <c r="N39" i="15"/>
  <c r="BJ32" i="15"/>
  <c r="AF34" i="15"/>
  <c r="DT18" i="15"/>
  <c r="DR18" i="15"/>
  <c r="J37" i="15"/>
  <c r="CX20" i="15"/>
  <c r="DP19" i="15"/>
  <c r="DU24" i="15" l="1"/>
  <c r="DS24" i="15"/>
  <c r="T26" i="15"/>
  <c r="DO25" i="15"/>
  <c r="BJ33" i="15"/>
  <c r="DT19" i="15"/>
  <c r="DR19" i="15"/>
  <c r="N40" i="15"/>
  <c r="DQ39" i="15"/>
  <c r="CX21" i="15"/>
  <c r="DP20" i="15"/>
  <c r="BT24" i="15"/>
  <c r="J38" i="15"/>
  <c r="L38" i="15"/>
  <c r="AF35" i="15"/>
  <c r="DU25" i="15" l="1"/>
  <c r="DS25" i="15"/>
  <c r="T27" i="15"/>
  <c r="DO26" i="15"/>
  <c r="CX22" i="15"/>
  <c r="DP21" i="15"/>
  <c r="BT25" i="15"/>
  <c r="BJ34" i="15"/>
  <c r="DQ40" i="15"/>
  <c r="N41" i="15"/>
  <c r="DT20" i="15"/>
  <c r="DR20" i="15"/>
  <c r="AF36" i="15"/>
  <c r="J39" i="15"/>
  <c r="L39" i="15"/>
  <c r="DU26" i="15" l="1"/>
  <c r="DS26" i="15"/>
  <c r="T28" i="15"/>
  <c r="DO27" i="15"/>
  <c r="BJ35" i="15"/>
  <c r="L40" i="15"/>
  <c r="AF37" i="15"/>
  <c r="BT26" i="15"/>
  <c r="J40" i="15"/>
  <c r="DR21" i="15"/>
  <c r="DT21" i="15"/>
  <c r="CX23" i="15"/>
  <c r="DP22" i="15"/>
  <c r="DQ41" i="15"/>
  <c r="N42" i="15"/>
  <c r="DU27" i="15" l="1"/>
  <c r="DS27" i="15"/>
  <c r="T29" i="15"/>
  <c r="DO28" i="15"/>
  <c r="BT27" i="15"/>
  <c r="AF38" i="15"/>
  <c r="L41" i="15"/>
  <c r="DQ42" i="15"/>
  <c r="N43" i="15"/>
  <c r="DQ43" i="15" s="1"/>
  <c r="D36" i="23" s="1"/>
  <c r="DT22" i="15"/>
  <c r="DR22" i="15"/>
  <c r="CX24" i="15"/>
  <c r="DP23" i="15"/>
  <c r="J41" i="15"/>
  <c r="BJ36" i="15"/>
  <c r="DU28" i="15" l="1"/>
  <c r="DS28" i="15"/>
  <c r="T30" i="15"/>
  <c r="DO29" i="15"/>
  <c r="BJ37" i="15"/>
  <c r="J42" i="15"/>
  <c r="BT28" i="15"/>
  <c r="DT23" i="15"/>
  <c r="DR23" i="15"/>
  <c r="CX25" i="15"/>
  <c r="DP24" i="15"/>
  <c r="AF39" i="15"/>
  <c r="L42" i="15"/>
  <c r="DS29" i="15" l="1"/>
  <c r="DU29" i="15"/>
  <c r="T31" i="15"/>
  <c r="DO30" i="15"/>
  <c r="DT24" i="15"/>
  <c r="DR24" i="15"/>
  <c r="BT29" i="15"/>
  <c r="BJ38" i="15"/>
  <c r="AF40" i="15"/>
  <c r="J43" i="15"/>
  <c r="CX26" i="15"/>
  <c r="DP25" i="15"/>
  <c r="L43" i="15"/>
  <c r="DS30" i="15" l="1"/>
  <c r="DU30" i="15"/>
  <c r="T32" i="15"/>
  <c r="DO31" i="15"/>
  <c r="DR25" i="15"/>
  <c r="DT25" i="15"/>
  <c r="BT30" i="15"/>
  <c r="BJ39" i="15"/>
  <c r="CX27" i="15"/>
  <c r="DP26" i="15"/>
  <c r="AF41" i="15"/>
  <c r="DU31" i="15" l="1"/>
  <c r="DS31" i="15"/>
  <c r="T33" i="15"/>
  <c r="DO32" i="15"/>
  <c r="DT26" i="15"/>
  <c r="DR26" i="15"/>
  <c r="AF42" i="15"/>
  <c r="BT31" i="15"/>
  <c r="CX28" i="15"/>
  <c r="DP27" i="15"/>
  <c r="BJ40" i="15"/>
  <c r="DS32" i="15" l="1"/>
  <c r="DU32" i="15"/>
  <c r="T34" i="15"/>
  <c r="DO33" i="15"/>
  <c r="DR27" i="15"/>
  <c r="DT27" i="15"/>
  <c r="AF43" i="15"/>
  <c r="CX29" i="15"/>
  <c r="DP28" i="15"/>
  <c r="BT32" i="15"/>
  <c r="BJ41" i="15"/>
  <c r="DS33" i="15" l="1"/>
  <c r="DU33" i="15"/>
  <c r="T35" i="15"/>
  <c r="DO34" i="15"/>
  <c r="DT28" i="15"/>
  <c r="DR28" i="15"/>
  <c r="BT33" i="15"/>
  <c r="CX30" i="15"/>
  <c r="DP29" i="15"/>
  <c r="BJ42" i="15"/>
  <c r="DS34" i="15" l="1"/>
  <c r="DU34" i="15"/>
  <c r="T36" i="15"/>
  <c r="DO35" i="15"/>
  <c r="DT29" i="15"/>
  <c r="DR29" i="15"/>
  <c r="BJ43" i="15"/>
  <c r="CX31" i="15"/>
  <c r="DP30" i="15"/>
  <c r="BT34" i="15"/>
  <c r="DU35" i="15" l="1"/>
  <c r="DS35" i="15"/>
  <c r="T37" i="15"/>
  <c r="DO36" i="15"/>
  <c r="DT30" i="15"/>
  <c r="DR30" i="15"/>
  <c r="BT35" i="15"/>
  <c r="CX32" i="15"/>
  <c r="DP31" i="15"/>
  <c r="T38" i="15" l="1"/>
  <c r="DO37" i="15"/>
  <c r="DU36" i="15"/>
  <c r="DS36" i="15"/>
  <c r="CX33" i="15"/>
  <c r="DP32" i="15"/>
  <c r="DR31" i="15"/>
  <c r="DT31" i="15"/>
  <c r="BT36" i="15"/>
  <c r="DU37" i="15" l="1"/>
  <c r="DS37" i="15"/>
  <c r="T39" i="15"/>
  <c r="DO38" i="15"/>
  <c r="BT37" i="15"/>
  <c r="DT32" i="15"/>
  <c r="DR32" i="15"/>
  <c r="CX34" i="15"/>
  <c r="DP33" i="15"/>
  <c r="DU38" i="15" l="1"/>
  <c r="DS38" i="15"/>
  <c r="T40" i="15"/>
  <c r="DO39" i="15"/>
  <c r="DR33" i="15"/>
  <c r="DT33" i="15"/>
  <c r="CX35" i="15"/>
  <c r="DP34" i="15"/>
  <c r="BT38" i="15"/>
  <c r="DU39" i="15" l="1"/>
  <c r="DS39" i="15"/>
  <c r="T41" i="15"/>
  <c r="DO40" i="15"/>
  <c r="DT34" i="15"/>
  <c r="DR34" i="15"/>
  <c r="BT39" i="15"/>
  <c r="CX36" i="15"/>
  <c r="DP35" i="15"/>
  <c r="T42" i="15" l="1"/>
  <c r="DO41" i="15"/>
  <c r="DU40" i="15"/>
  <c r="DS40" i="15"/>
  <c r="BT40" i="15"/>
  <c r="DT35" i="15"/>
  <c r="DR35" i="15"/>
  <c r="CX37" i="15"/>
  <c r="DP36" i="15"/>
  <c r="T43" i="15" l="1"/>
  <c r="DO43" i="15" s="1"/>
  <c r="D34" i="23" s="1"/>
  <c r="C10" i="34" s="1"/>
  <c r="DO42" i="15"/>
  <c r="DS41" i="15"/>
  <c r="DU41" i="15"/>
  <c r="DR36" i="15"/>
  <c r="DT36" i="15"/>
  <c r="CX38" i="15"/>
  <c r="DP37" i="15"/>
  <c r="BT41" i="15"/>
  <c r="D52" i="23" l="1"/>
  <c r="C9" i="34" s="1"/>
  <c r="DS42" i="15"/>
  <c r="DU42" i="15"/>
  <c r="DU43" i="15"/>
  <c r="D40" i="23" s="1"/>
  <c r="C16" i="34" s="1"/>
  <c r="D16" i="34" s="1"/>
  <c r="DS43" i="15"/>
  <c r="D38" i="23" s="1"/>
  <c r="C14" i="34" s="1"/>
  <c r="D14" i="34" s="1"/>
  <c r="DR37" i="15"/>
  <c r="DT37" i="15"/>
  <c r="BT42" i="15"/>
  <c r="CX39" i="15"/>
  <c r="DP38" i="15"/>
  <c r="DT38" i="15" l="1"/>
  <c r="DR38" i="15"/>
  <c r="BT43" i="15"/>
  <c r="CX40" i="15"/>
  <c r="DP39" i="15"/>
  <c r="DT39" i="15" l="1"/>
  <c r="DR39" i="15"/>
  <c r="CX41" i="15"/>
  <c r="DP40" i="15"/>
  <c r="DR40" i="15" l="1"/>
  <c r="DT40" i="15"/>
  <c r="CX42" i="15"/>
  <c r="DP41" i="15"/>
  <c r="DT41" i="15" l="1"/>
  <c r="DR41" i="15"/>
  <c r="CX43" i="15"/>
  <c r="DP43" i="15" s="1"/>
  <c r="DP42" i="15"/>
  <c r="D35" i="23" l="1"/>
  <c r="C11" i="34" s="1"/>
  <c r="D33" i="23"/>
  <c r="C12" i="34" s="1"/>
  <c r="DT43" i="15"/>
  <c r="D39" i="23" s="1"/>
  <c r="C15" i="34" s="1"/>
  <c r="D15" i="34" s="1"/>
  <c r="DR43" i="15"/>
  <c r="D37" i="23" s="1"/>
  <c r="C13" i="34" s="1"/>
  <c r="D13" i="34" s="1"/>
  <c r="DT42" i="15"/>
  <c r="DR42" i="15"/>
  <c r="D43" i="23" l="1"/>
  <c r="C7" i="34" s="1"/>
  <c r="D41" i="23"/>
  <c r="C17" i="34" s="1"/>
  <c r="D42" i="23"/>
  <c r="D51" i="23"/>
  <c r="D14" i="23"/>
  <c r="C8" i="34" s="1"/>
  <c r="F36" i="34" l="1" a="1"/>
  <c r="F36" i="34" s="1"/>
  <c r="C36" i="34" a="1"/>
  <c r="C36" i="34" s="1"/>
  <c r="D36" i="34" a="1"/>
  <c r="D36" i="34"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edgar ortiz</author>
  </authors>
  <commentList>
    <comment ref="B8" authorId="0" shapeId="0" xr:uid="{07CB9D21-FC3F-47F5-8BCC-086CC2AD7E27}">
      <text>
        <r>
          <rPr>
            <b/>
            <sz val="9"/>
            <color indexed="81"/>
            <rFont val="Tahoma"/>
            <charset val="1"/>
          </rPr>
          <t>Task Unique Identifier</t>
        </r>
      </text>
    </comment>
    <comment ref="C8" authorId="0" shapeId="0" xr:uid="{2BFEAC30-69BD-43E1-9DDD-E070761E63AE}">
      <text>
        <r>
          <rPr>
            <b/>
            <sz val="9"/>
            <color indexed="81"/>
            <rFont val="Tahoma"/>
            <charset val="1"/>
          </rPr>
          <t>Effort to do the Task for a Single Resource</t>
        </r>
      </text>
    </comment>
    <comment ref="D8" authorId="0" shapeId="0" xr:uid="{6A366104-E1C9-4368-B728-D86EA6DA0B40}">
      <text>
        <r>
          <rPr>
            <b/>
            <sz val="9"/>
            <color indexed="81"/>
            <rFont val="Tahoma"/>
            <charset val="1"/>
          </rPr>
          <t>Quantity of Resources assigned to the Task</t>
        </r>
      </text>
    </comment>
    <comment ref="E8" authorId="0" shapeId="0" xr:uid="{EE38E293-A5C7-4676-AFB1-09A02462A02A}">
      <text>
        <r>
          <rPr>
            <b/>
            <sz val="9"/>
            <color indexed="81"/>
            <rFont val="Tahoma"/>
            <charset val="1"/>
          </rPr>
          <t>Time Availability of the  Resources to Assigned to  the Task</t>
        </r>
      </text>
    </comment>
    <comment ref="F8" authorId="0" shapeId="0" xr:uid="{580FA0FB-EE53-4B23-A94B-4A20F216C33A}">
      <text>
        <r>
          <rPr>
            <b/>
            <sz val="9"/>
            <color indexed="81"/>
            <rFont val="Tahoma"/>
            <charset val="1"/>
          </rPr>
          <t>Planned Productivity over actual Productivity</t>
        </r>
      </text>
    </comment>
    <comment ref="G8" authorId="0" shapeId="0" xr:uid="{0A267325-3733-4FC5-BDCE-6D94E90606FC}">
      <text>
        <r>
          <rPr>
            <b/>
            <sz val="9"/>
            <color indexed="81"/>
            <rFont val="Tahoma"/>
            <family val="2"/>
          </rPr>
          <t>Result</t>
        </r>
      </text>
    </comment>
    <comment ref="B18" authorId="0" shapeId="0" xr:uid="{79095881-01F2-4012-9074-8AF93248EA72}">
      <text>
        <r>
          <rPr>
            <b/>
            <sz val="9"/>
            <color indexed="81"/>
            <rFont val="Tahoma"/>
            <charset val="1"/>
          </rPr>
          <t>Activity Unique Identifier</t>
        </r>
      </text>
    </comment>
    <comment ref="C18" authorId="0" shapeId="0" xr:uid="{3DC648D2-28C0-4426-9F11-4DD5DC147238}">
      <text>
        <r>
          <rPr>
            <b/>
            <sz val="9"/>
            <color indexed="81"/>
            <rFont val="Tahoma"/>
            <charset val="1"/>
          </rPr>
          <t>Reference Activity</t>
        </r>
      </text>
    </comment>
    <comment ref="D18" authorId="0" shapeId="0" xr:uid="{655E5356-2617-4B49-9CED-563A4203E47B}">
      <text>
        <r>
          <rPr>
            <b/>
            <sz val="9"/>
            <color indexed="81"/>
            <rFont val="Tahoma"/>
            <charset val="1"/>
          </rPr>
          <t>Reference Duration</t>
        </r>
      </text>
    </comment>
    <comment ref="E18" authorId="0" shapeId="0" xr:uid="{0D7925EA-0F98-483E-8030-113435AD4837}">
      <text>
        <r>
          <rPr>
            <b/>
            <sz val="9"/>
            <color indexed="81"/>
            <rFont val="Tahoma"/>
            <charset val="1"/>
          </rPr>
          <t>Current Activity to be Estimated</t>
        </r>
      </text>
    </comment>
    <comment ref="F18" authorId="0" shapeId="0" xr:uid="{472B8ADE-01EB-40D3-8F36-4BD5B0CD7F92}">
      <text>
        <r>
          <rPr>
            <b/>
            <sz val="8"/>
            <color indexed="81"/>
            <rFont val="Tahoma"/>
            <family val="2"/>
          </rPr>
          <t xml:space="preserve">Complexity Multiplier using : -Comparative complexity and design;
-Differences in the way portions of the work will be performed;
-Additions to or omissions from the work of the previous projects; 
-Geographical and economic data. </t>
        </r>
      </text>
    </comment>
    <comment ref="G18" authorId="0" shapeId="0" xr:uid="{318841A7-BA3A-4E55-88B4-4F9648AC36DA}">
      <text>
        <r>
          <rPr>
            <b/>
            <sz val="9"/>
            <color indexed="81"/>
            <rFont val="Tahoma"/>
            <family val="2"/>
          </rPr>
          <t>Result</t>
        </r>
      </text>
    </comment>
    <comment ref="B28" authorId="0" shapeId="0" xr:uid="{84BFFD31-C156-4E41-8745-271F70C7480D}">
      <text>
        <r>
          <rPr>
            <b/>
            <sz val="9"/>
            <color indexed="81"/>
            <rFont val="Tahoma"/>
            <family val="2"/>
          </rPr>
          <t>Task Unique Identifier</t>
        </r>
      </text>
    </comment>
    <comment ref="C28" authorId="0" shapeId="0" xr:uid="{31F5796A-E4E9-42C1-821A-4D9941AC3413}">
      <text>
        <r>
          <rPr>
            <b/>
            <sz val="9"/>
            <color indexed="81"/>
            <rFont val="Tahoma"/>
            <family val="2"/>
          </rPr>
          <t>Best forecast in days</t>
        </r>
      </text>
    </comment>
    <comment ref="D28" authorId="0" shapeId="0" xr:uid="{FEC9D2FD-3B5E-4FE2-97F2-829F69107938}">
      <text>
        <r>
          <rPr>
            <b/>
            <sz val="9"/>
            <color indexed="81"/>
            <rFont val="Tahoma"/>
            <family val="2"/>
          </rPr>
          <t>Most Likely Duration in Days</t>
        </r>
      </text>
    </comment>
    <comment ref="E28" authorId="0" shapeId="0" xr:uid="{49DA5B8E-4694-4E03-8FD1-39EC1E00F89A}">
      <text>
        <r>
          <rPr>
            <b/>
            <sz val="9"/>
            <color indexed="81"/>
            <rFont val="Tahoma"/>
            <family val="2"/>
          </rPr>
          <t>Worst scenario to be considered</t>
        </r>
      </text>
    </comment>
    <comment ref="F28" authorId="0" shapeId="0" xr:uid="{D5E29E85-DDB1-43F0-AAA4-2C792AE858F8}">
      <text>
        <r>
          <rPr>
            <b/>
            <sz val="9"/>
            <color indexed="81"/>
            <rFont val="Tahoma"/>
            <family val="2"/>
          </rPr>
          <t>Three-Point Estimates Formula</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edgar ortiz</author>
  </authors>
  <commentList>
    <comment ref="B8" authorId="0" shapeId="0" xr:uid="{518061D4-96B4-459B-AEF0-D3C15D44BC41}">
      <text>
        <r>
          <rPr>
            <b/>
            <sz val="9"/>
            <color indexed="81"/>
            <rFont val="Tahoma"/>
            <family val="2"/>
          </rPr>
          <t>Unique Item Identifier</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edgar ortiz</author>
  </authors>
  <commentList>
    <comment ref="A3" authorId="0" shapeId="0" xr:uid="{80F896B3-E068-4B4D-8380-C98AAD003DEB}">
      <text>
        <r>
          <rPr>
            <b/>
            <sz val="9"/>
            <color indexed="81"/>
            <rFont val="Tahoma"/>
            <family val="2"/>
          </rPr>
          <t>Unique Site Identifier</t>
        </r>
      </text>
    </comment>
    <comment ref="B3" authorId="0" shapeId="0" xr:uid="{B0AE5E7C-171E-4526-B5CE-1751EC16DECE}">
      <text>
        <r>
          <rPr>
            <b/>
            <sz val="9"/>
            <color indexed="81"/>
            <rFont val="Tahoma"/>
            <family val="2"/>
          </rPr>
          <t>Site Region</t>
        </r>
      </text>
    </comment>
    <comment ref="C3" authorId="0" shapeId="0" xr:uid="{2C020094-6B60-4216-9325-47556D9476E9}">
      <text>
        <r>
          <rPr>
            <b/>
            <sz val="9"/>
            <color indexed="81"/>
            <rFont val="Tahoma"/>
            <family val="2"/>
          </rPr>
          <t>District or State where the Site is Located</t>
        </r>
      </text>
    </comment>
    <comment ref="E3" authorId="0" shapeId="0" xr:uid="{75B23457-0378-41CA-9B9A-3D34E01FCA55}">
      <text>
        <r>
          <rPr>
            <b/>
            <sz val="9"/>
            <color indexed="81"/>
            <rFont val="Tahoma"/>
            <family val="2"/>
          </rPr>
          <t>Low Level Design Iteration Sequency Number</t>
        </r>
      </text>
    </comment>
    <comment ref="F3" authorId="0" shapeId="0" xr:uid="{9F76E850-814D-42D2-9E0E-C74C8D02C11D}">
      <text>
        <r>
          <rPr>
            <b/>
            <sz val="9"/>
            <color indexed="81"/>
            <rFont val="Tahoma"/>
            <family val="2"/>
          </rPr>
          <t>LLD Iteration unique identifier</t>
        </r>
      </text>
    </comment>
    <comment ref="G3" authorId="0" shapeId="0" xr:uid="{A05284DC-8F3B-4338-925F-F85B2BE8119A}">
      <text>
        <r>
          <rPr>
            <b/>
            <sz val="9"/>
            <color indexed="81"/>
            <rFont val="Tahoma"/>
            <family val="2"/>
          </rPr>
          <t>Date when LLD is ready</t>
        </r>
      </text>
    </comment>
    <comment ref="H3" authorId="0" shapeId="0" xr:uid="{F02DCC7E-4483-4839-A19B-983F3BB15CA5}">
      <text>
        <r>
          <rPr>
            <b/>
            <sz val="9"/>
            <color indexed="81"/>
            <rFont val="Tahoma"/>
            <family val="2"/>
          </rPr>
          <t>Justification for Design Change</t>
        </r>
      </text>
    </comment>
    <comment ref="I3" authorId="0" shapeId="0" xr:uid="{01D09C20-4E3C-4BE9-8113-6D80AEA62189}">
      <text>
        <r>
          <rPr>
            <b/>
            <sz val="9"/>
            <color indexed="81"/>
            <rFont val="Tahoma"/>
            <family val="2"/>
          </rPr>
          <t>Notes and Remarks of Area Responsible of the  Request the change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tc={677F2D02-5A7C-4D9B-9AEF-C75EA1C5DFE5}</author>
    <author>tc={82A8F5CB-FDA6-43AB-9783-852935FD922A}</author>
    <author>edgar ortiz</author>
  </authors>
  <commentList>
    <comment ref="A2" authorId="0" shapeId="0" xr:uid="{677F2D02-5A7C-4D9B-9AEF-C75EA1C5DFE5}">
      <text>
        <t>[Threaded comment]
Your version of Excel allows you to read this threaded comment; however, any edits to it will get removed if the file is opened in a newer version of Excel. Learn more: https://go.microsoft.com/fwlink/?linkid=870924
Comment:
    What is this</t>
      </text>
    </comment>
    <comment ref="I2" authorId="1" shapeId="0" xr:uid="{82A8F5CB-FDA6-43AB-9783-852935FD922A}">
      <text>
        <t>[Threaded comment]
Your version of Excel allows you to read this threaded comment; however, any edits to it will get removed if the file is opened in a newer version of Excel. Learn more: https://go.microsoft.com/fwlink/?linkid=870924
Comment:
    What is this?</t>
      </text>
    </comment>
    <comment ref="A4" authorId="2" shapeId="0" xr:uid="{E9398D6B-AFAD-4A22-9BC1-AC9B5287F038}">
      <text>
        <r>
          <rPr>
            <b/>
            <sz val="9"/>
            <color indexed="81"/>
            <rFont val="Tahoma"/>
            <family val="2"/>
          </rPr>
          <t>Unique Site Identifier</t>
        </r>
      </text>
    </comment>
    <comment ref="B4" authorId="2" shapeId="0" xr:uid="{B4AA804B-F0D3-473D-99CC-316B88C3A48C}">
      <text>
        <r>
          <rPr>
            <b/>
            <sz val="9"/>
            <color indexed="81"/>
            <rFont val="Tahoma"/>
            <family val="2"/>
          </rPr>
          <t>Region where site is located</t>
        </r>
      </text>
    </comment>
    <comment ref="C4" authorId="2" shapeId="0" xr:uid="{648FAA98-56D3-424A-A6BC-8E5933749AB3}">
      <text>
        <r>
          <rPr>
            <b/>
            <sz val="9"/>
            <color indexed="81"/>
            <rFont val="Tahoma"/>
            <family val="2"/>
          </rPr>
          <t>District or State where site is located</t>
        </r>
      </text>
    </comment>
    <comment ref="D4" authorId="2" shapeId="0" xr:uid="{A5E09B1F-5B47-4CB5-BD5A-A24A600DD1A0}">
      <text>
        <r>
          <rPr>
            <b/>
            <sz val="9"/>
            <color indexed="81"/>
            <rFont val="Tahoma"/>
            <family val="2"/>
          </rPr>
          <t xml:space="preserve">Site Configuration Type </t>
        </r>
      </text>
    </comment>
    <comment ref="E4" authorId="2" shapeId="0" xr:uid="{476D1D70-1690-4307-B251-FC76B0623508}">
      <text>
        <r>
          <rPr>
            <b/>
            <sz val="9"/>
            <color indexed="81"/>
            <rFont val="Tahoma"/>
            <family val="2"/>
          </rPr>
          <t>First Iteration End Day</t>
        </r>
      </text>
    </comment>
    <comment ref="F4" authorId="2" shapeId="0" xr:uid="{B566BDD9-534B-4854-A38F-77943570C109}">
      <text>
        <r>
          <rPr>
            <b/>
            <sz val="9"/>
            <color indexed="81"/>
            <rFont val="Tahoma"/>
            <family val="2"/>
          </rPr>
          <t xml:space="preserve">Number of of Iterations Required
</t>
        </r>
      </text>
    </comment>
    <comment ref="G4" authorId="2" shapeId="0" xr:uid="{5FF68B22-299C-4D12-8BCE-3C93FD550FEA}">
      <text>
        <r>
          <rPr>
            <b/>
            <sz val="9"/>
            <color indexed="81"/>
            <rFont val="Tahoma"/>
            <family val="2"/>
          </rPr>
          <t>Last Iteration ID</t>
        </r>
      </text>
    </comment>
    <comment ref="H4" authorId="2" shapeId="0" xr:uid="{5CA1FF88-ACE8-4576-868F-8EBB69497B31}">
      <text>
        <r>
          <rPr>
            <b/>
            <sz val="9"/>
            <color indexed="81"/>
            <rFont val="Tahoma"/>
            <family val="2"/>
          </rPr>
          <t>Last Iteration date</t>
        </r>
      </text>
    </comment>
    <comment ref="I4" authorId="2" shapeId="0" xr:uid="{10F41C24-9B50-40DB-9843-CD318BF75F7F}">
      <text>
        <r>
          <rPr>
            <b/>
            <sz val="9"/>
            <color indexed="81"/>
            <rFont val="Tahoma"/>
            <family val="2"/>
          </rPr>
          <t>Difference between first and last iteration in days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edgar ortiz</author>
    <author>David Valencia</author>
  </authors>
  <commentList>
    <comment ref="A3" authorId="0" shapeId="0" xr:uid="{7DCB2F27-9F21-4E89-8E40-E850E5236D1E}">
      <text>
        <r>
          <rPr>
            <b/>
            <sz val="9"/>
            <color indexed="81"/>
            <rFont val="Tahoma"/>
            <family val="2"/>
          </rPr>
          <t>Unique Site Identifier</t>
        </r>
      </text>
    </comment>
    <comment ref="B3" authorId="0" shapeId="0" xr:uid="{0A263FBC-C25A-4048-8A49-1EF1341DBCE1}">
      <text>
        <r>
          <rPr>
            <b/>
            <sz val="9"/>
            <color indexed="81"/>
            <rFont val="Tahoma"/>
            <family val="2"/>
          </rPr>
          <t>Region where site is located</t>
        </r>
      </text>
    </comment>
    <comment ref="C3" authorId="0" shapeId="0" xr:uid="{9CA2D247-EABA-48BA-B59B-5B6D07F30937}">
      <text>
        <r>
          <rPr>
            <b/>
            <sz val="9"/>
            <color indexed="81"/>
            <rFont val="Tahoma"/>
            <family val="2"/>
          </rPr>
          <t>District or State where site is located</t>
        </r>
      </text>
    </comment>
    <comment ref="D3" authorId="0" shapeId="0" xr:uid="{06D215BD-1759-4C9C-B168-61E492B18B58}">
      <text>
        <r>
          <rPr>
            <b/>
            <sz val="9"/>
            <color indexed="81"/>
            <rFont val="Tahoma"/>
            <family val="2"/>
          </rPr>
          <t xml:space="preserve">Site Configuration Type </t>
        </r>
      </text>
    </comment>
    <comment ref="E3" authorId="0" shapeId="0" xr:uid="{E6DA0D34-8D89-4DC5-91D0-089A967E75B4}">
      <text>
        <r>
          <rPr>
            <b/>
            <sz val="9"/>
            <color indexed="81"/>
            <rFont val="Tahoma"/>
            <family val="2"/>
          </rPr>
          <t>Tower Construction Company Assigned to Site</t>
        </r>
      </text>
    </comment>
    <comment ref="F3" authorId="0" shapeId="0" xr:uid="{096F4B33-3FAF-4680-8288-F7536A64CF6A}">
      <text>
        <r>
          <rPr>
            <b/>
            <sz val="9"/>
            <color indexed="81"/>
            <rFont val="Tahoma"/>
            <family val="2"/>
          </rPr>
          <t>Tower ID where Equipment will be installed</t>
        </r>
      </text>
    </comment>
    <comment ref="G3" authorId="1" shapeId="0" xr:uid="{739F2B66-8731-49D7-B0F2-511D82482319}">
      <text>
        <r>
          <rPr>
            <b/>
            <sz val="9"/>
            <color indexed="81"/>
            <rFont val="Tahoma"/>
            <family val="2"/>
          </rPr>
          <t>Current Milestone
Depends on the last actual recorded milestone.</t>
        </r>
      </text>
    </comment>
    <comment ref="H3" authorId="0" shapeId="0" xr:uid="{3FCE0BD6-A327-452C-9A6B-284C7D93F27E}">
      <text>
        <r>
          <rPr>
            <b/>
            <sz val="9"/>
            <color indexed="81"/>
            <rFont val="Tahoma"/>
            <family val="2"/>
          </rPr>
          <t>Planned Total Cost of Site Deployment using Three-Point Estimate</t>
        </r>
      </text>
    </comment>
    <comment ref="I3" authorId="0" shapeId="0" xr:uid="{5AAFCC90-F082-4F8C-95E0-BC700E352925}">
      <text>
        <r>
          <rPr>
            <b/>
            <sz val="9"/>
            <color indexed="81"/>
            <rFont val="Tahoma"/>
            <family val="2"/>
          </rPr>
          <t xml:space="preserve">Accumulated Cost in Current Milestone </t>
        </r>
      </text>
    </comment>
    <comment ref="J3" authorId="1" shapeId="0" xr:uid="{80E95455-CA67-4277-9D9A-08CE93A06118}">
      <text>
        <r>
          <rPr>
            <b/>
            <sz val="9"/>
            <color indexed="81"/>
            <rFont val="Tahoma"/>
            <family val="2"/>
          </rPr>
          <t xml:space="preserve">Planned Site Design Start Date </t>
        </r>
      </text>
    </comment>
    <comment ref="K3" authorId="0" shapeId="0" xr:uid="{D6098DBD-FC86-4CFC-90A7-B6F0CA193C26}">
      <text>
        <r>
          <rPr>
            <b/>
            <sz val="9"/>
            <color indexed="81"/>
            <rFont val="Tahoma"/>
            <family val="2"/>
          </rPr>
          <t>Site Design Actual Start date</t>
        </r>
      </text>
    </comment>
    <comment ref="L3" authorId="0" shapeId="0" xr:uid="{50B6BD61-B16A-4622-A00E-46C7D4474CDE}">
      <text>
        <r>
          <rPr>
            <b/>
            <sz val="9"/>
            <color indexed="81"/>
            <rFont val="Tahoma"/>
            <family val="2"/>
          </rPr>
          <t>Site Design Start Delay 
Actual Dates vs Planned Dates in Days</t>
        </r>
      </text>
    </comment>
    <comment ref="M3" authorId="1" shapeId="0" xr:uid="{91B47F95-CF2E-4F2E-8575-46F866EFAE27}">
      <text>
        <r>
          <rPr>
            <b/>
            <sz val="9"/>
            <color indexed="81"/>
            <rFont val="Tahoma"/>
            <family val="2"/>
          </rPr>
          <t>Planned Site Design  Cost  using ThreeCost Estimate</t>
        </r>
      </text>
    </comment>
    <comment ref="N3" authorId="0" shapeId="0" xr:uid="{D938B828-ABC8-4E3B-97BF-D86B59853E4C}">
      <text>
        <r>
          <rPr>
            <b/>
            <sz val="9"/>
            <color indexed="81"/>
            <rFont val="Tahoma"/>
            <family val="2"/>
          </rPr>
          <t>Site Design Actual Cost</t>
        </r>
      </text>
    </comment>
    <comment ref="O3" authorId="0" shapeId="0" xr:uid="{B93D3721-4132-45AC-88EC-FFD970F0EAD9}">
      <text>
        <r>
          <rPr>
            <b/>
            <sz val="9"/>
            <color indexed="81"/>
            <rFont val="Tahoma"/>
            <family val="2"/>
          </rPr>
          <t>Planned Site Design Completion Date using Three-Point Estimate</t>
        </r>
      </text>
    </comment>
    <comment ref="P3" authorId="0" shapeId="0" xr:uid="{E8EB4F09-4383-48B1-B75B-600181EE725C}">
      <text>
        <r>
          <rPr>
            <b/>
            <sz val="9"/>
            <color indexed="81"/>
            <rFont val="Tahoma"/>
            <family val="2"/>
          </rPr>
          <t>Actual Site Design Completion</t>
        </r>
      </text>
    </comment>
    <comment ref="Q3" authorId="0" shapeId="0" xr:uid="{0EB37588-8A61-4B37-AB3F-62BEF70381C3}">
      <text>
        <r>
          <rPr>
            <b/>
            <sz val="9"/>
            <color indexed="81"/>
            <rFont val="Tahoma"/>
            <family val="2"/>
          </rPr>
          <t>Site Design Completion Delay Actual Dates vs Planned Dates in Days</t>
        </r>
      </text>
    </comment>
    <comment ref="R3" authorId="0" shapeId="0" xr:uid="{AFDB88F3-8BC3-40DF-822E-F3958BBC926D}">
      <text>
        <r>
          <rPr>
            <b/>
            <sz val="9"/>
            <color indexed="81"/>
            <rFont val="Tahoma"/>
            <family val="2"/>
          </rPr>
          <t>Planned Cost of Site Survey using Three-Point Estimate</t>
        </r>
      </text>
    </comment>
    <comment ref="S3" authorId="0" shapeId="0" xr:uid="{9906D499-4DE3-4AD0-B05F-66C21CCEB15E}">
      <text>
        <r>
          <rPr>
            <b/>
            <sz val="9"/>
            <color indexed="81"/>
            <rFont val="Tahoma"/>
            <family val="2"/>
          </rPr>
          <t>Actual Cost of Site Survey</t>
        </r>
      </text>
    </comment>
    <comment ref="T3" authorId="0" shapeId="0" xr:uid="{AE27F3C0-6AE8-42EE-A250-4A54DA0BA087}">
      <text>
        <r>
          <rPr>
            <b/>
            <sz val="9"/>
            <color indexed="81"/>
            <rFont val="Tahoma"/>
            <family val="2"/>
          </rPr>
          <t>Site Survey Planned Completition date using Three-Point Estimate</t>
        </r>
      </text>
    </comment>
    <comment ref="U3" authorId="0" shapeId="0" xr:uid="{BD8E4FF0-BA84-42B6-BFC8-4B18ADF7CC7C}">
      <text>
        <r>
          <rPr>
            <b/>
            <sz val="9"/>
            <color indexed="81"/>
            <rFont val="Tahoma"/>
            <charset val="1"/>
          </rPr>
          <t>Site Survey Actual Completion Date</t>
        </r>
      </text>
    </comment>
    <comment ref="V3" authorId="0" shapeId="0" xr:uid="{3753E88D-F529-4DFE-81BA-32999B0C5566}">
      <text>
        <r>
          <rPr>
            <b/>
            <sz val="9"/>
            <color indexed="81"/>
            <rFont val="Tahoma"/>
            <charset val="1"/>
          </rPr>
          <t>Site Survey Actual Dates vs Planned Dates in Days</t>
        </r>
      </text>
    </comment>
    <comment ref="W3" authorId="0" shapeId="0" xr:uid="{563BAA1C-429D-4F59-8BAA-DDD83C109DE5}">
      <text>
        <r>
          <rPr>
            <b/>
            <sz val="9"/>
            <color indexed="81"/>
            <rFont val="Tahoma"/>
            <charset val="1"/>
          </rPr>
          <t>Planned Cost of Site Acquisition  using Three-Point Estimate</t>
        </r>
      </text>
    </comment>
    <comment ref="X3" authorId="0" shapeId="0" xr:uid="{A62549EE-2E60-466C-AF46-2747C66CD36B}">
      <text>
        <r>
          <rPr>
            <b/>
            <sz val="9"/>
            <color indexed="81"/>
            <rFont val="Tahoma"/>
            <charset val="1"/>
          </rPr>
          <t>Site Acquisition Actual Cost</t>
        </r>
      </text>
    </comment>
    <comment ref="Y3" authorId="0" shapeId="0" xr:uid="{0C3E6C89-1AF2-47A3-A5F9-67A3DE916461}">
      <text>
        <r>
          <rPr>
            <b/>
            <sz val="9"/>
            <color indexed="81"/>
            <rFont val="Tahoma"/>
            <charset val="1"/>
          </rPr>
          <t>Site Acquisition Planned Completion Date Using Three-Point Estimate</t>
        </r>
      </text>
    </comment>
    <comment ref="Z3" authorId="0" shapeId="0" xr:uid="{81ED8C24-DB25-488A-BAC5-7B0F55DF2D98}">
      <text>
        <r>
          <rPr>
            <b/>
            <sz val="9"/>
            <color indexed="81"/>
            <rFont val="Tahoma"/>
            <charset val="1"/>
          </rPr>
          <t>Site Acquisition Planned Completion Date</t>
        </r>
      </text>
    </comment>
    <comment ref="AA3" authorId="0" shapeId="0" xr:uid="{677CA2AF-398E-47EC-AB08-F3B5D1A63BD8}">
      <text>
        <r>
          <rPr>
            <b/>
            <sz val="9"/>
            <color indexed="81"/>
            <rFont val="Tahoma"/>
            <charset val="1"/>
          </rPr>
          <t>Site Acquisition Delay Actual Dates vs Planned Dates in Days</t>
        </r>
      </text>
    </comment>
    <comment ref="AB3" authorId="0" shapeId="0" xr:uid="{E7822538-06B6-453E-839C-0FAAE2EE4730}">
      <text>
        <r>
          <rPr>
            <b/>
            <sz val="9"/>
            <color indexed="81"/>
            <rFont val="Tahoma"/>
            <charset val="1"/>
          </rPr>
          <t>Actual Time in days from  Site Survey to Site Acuired</t>
        </r>
      </text>
    </comment>
    <comment ref="AE3" authorId="0" shapeId="0" xr:uid="{B077343C-AFA9-47EF-824B-8EFE3267B200}">
      <text>
        <r>
          <rPr>
            <b/>
            <sz val="9"/>
            <color indexed="81"/>
            <rFont val="Tahoma"/>
            <charset val="1"/>
          </rPr>
          <t>Site Ready for CW Planned Completion Date</t>
        </r>
      </text>
    </comment>
    <comment ref="AF3" authorId="0" shapeId="0" xr:uid="{F1D7E27A-EAAB-40E2-BDC6-839570DA63F6}">
      <text>
        <r>
          <rPr>
            <b/>
            <sz val="9"/>
            <color indexed="81"/>
            <rFont val="Tahoma"/>
            <charset val="1"/>
          </rPr>
          <t>Site Acquisition Actual Completion Date</t>
        </r>
      </text>
    </comment>
    <comment ref="AG3" authorId="0" shapeId="0" xr:uid="{92F4AEAA-EC1B-4075-B13C-FADC83CC5BB5}">
      <text>
        <r>
          <rPr>
            <b/>
            <sz val="9"/>
            <color indexed="81"/>
            <rFont val="Tahoma"/>
            <charset val="1"/>
          </rPr>
          <t>Site Ready for CW Delay Actual Dates vs Planned Dates in Days</t>
        </r>
      </text>
    </comment>
    <comment ref="AH3" authorId="0" shapeId="0" xr:uid="{60C4D07D-B95C-4D7F-B8A1-5BA631CC0D93}">
      <text>
        <r>
          <rPr>
            <b/>
            <sz val="9"/>
            <color indexed="81"/>
            <rFont val="Tahoma"/>
            <charset val="1"/>
          </rPr>
          <t>Actual Time in days from  Site Design  to Site Ready for CW</t>
        </r>
      </text>
    </comment>
    <comment ref="AI3" authorId="0" shapeId="0" xr:uid="{FA107059-8716-45AD-AA96-1491D95915A0}">
      <text>
        <r>
          <rPr>
            <b/>
            <sz val="9"/>
            <color indexed="81"/>
            <rFont val="Tahoma"/>
            <charset val="1"/>
          </rPr>
          <t>Planned Cost of Civil Works using Three-Point Estimate</t>
        </r>
      </text>
    </comment>
    <comment ref="AJ3" authorId="0" shapeId="0" xr:uid="{A7B99951-AA03-408B-B15A-93FF72FB4A5B}">
      <text>
        <r>
          <rPr>
            <b/>
            <sz val="9"/>
            <color indexed="81"/>
            <rFont val="Tahoma"/>
            <charset val="1"/>
          </rPr>
          <t>Actual Cost of Civil Works</t>
        </r>
      </text>
    </comment>
    <comment ref="AK3" authorId="0" shapeId="0" xr:uid="{8D43DD5F-FA83-406F-A67D-C45F6790F7F0}">
      <text>
        <r>
          <rPr>
            <b/>
            <sz val="9"/>
            <color indexed="81"/>
            <rFont val="Tahoma"/>
            <charset val="1"/>
          </rPr>
          <t>Site Ready for Power Planned Completion Date</t>
        </r>
      </text>
    </comment>
    <comment ref="AL3" authorId="0" shapeId="0" xr:uid="{1FD0DC9B-2D00-4517-B578-33A6CCC5039F}">
      <text>
        <r>
          <rPr>
            <b/>
            <sz val="9"/>
            <color indexed="81"/>
            <rFont val="Tahoma"/>
            <charset val="1"/>
          </rPr>
          <t>Site Ready for Power Actual Completion Date</t>
        </r>
      </text>
    </comment>
    <comment ref="AM3" authorId="0" shapeId="0" xr:uid="{6D072BB2-A4FA-4B4B-9936-1956E26467CE}">
      <text>
        <r>
          <rPr>
            <b/>
            <sz val="9"/>
            <color indexed="81"/>
            <rFont val="Tahoma"/>
            <charset val="1"/>
          </rPr>
          <t>Site Ready for Power Delay 
Actual Dates vs Planned Dates in Days</t>
        </r>
      </text>
    </comment>
    <comment ref="AN3" authorId="0" shapeId="0" xr:uid="{CEA4B4DA-795E-4E77-B73C-6ADFCA01DF54}">
      <text>
        <r>
          <rPr>
            <b/>
            <sz val="9"/>
            <color indexed="81"/>
            <rFont val="Tahoma"/>
            <charset val="1"/>
          </rPr>
          <t>Actual Time in days from  Site Ready for CW  to Site Ready for Power</t>
        </r>
      </text>
    </comment>
    <comment ref="AO3" authorId="0" shapeId="0" xr:uid="{C50214A9-D1BC-429A-9CF6-36015075FE40}">
      <text>
        <r>
          <rPr>
            <b/>
            <sz val="9"/>
            <color indexed="81"/>
            <rFont val="Tahoma"/>
            <charset val="1"/>
          </rPr>
          <t>Planned Cost of Power Construciton using Three-Point Estimate</t>
        </r>
      </text>
    </comment>
    <comment ref="AP3" authorId="0" shapeId="0" xr:uid="{68163B2D-DB95-4288-AE44-D1CDC9B59BC3}">
      <text>
        <r>
          <rPr>
            <b/>
            <sz val="9"/>
            <color indexed="81"/>
            <rFont val="Tahoma"/>
            <charset val="1"/>
          </rPr>
          <t>Actual Cost of Power Installation</t>
        </r>
      </text>
    </comment>
    <comment ref="AQ3" authorId="0" shapeId="0" xr:uid="{7C73E2A8-BF2E-47B8-A989-3FA2D089B611}">
      <text>
        <r>
          <rPr>
            <b/>
            <sz val="9"/>
            <color indexed="81"/>
            <rFont val="Tahoma"/>
            <charset val="1"/>
          </rPr>
          <t>TX Ready Planned Completion Date using Three-Point Estimate</t>
        </r>
      </text>
    </comment>
    <comment ref="AR3" authorId="0" shapeId="0" xr:uid="{5F64ABB6-C224-48D6-9B32-1CDB5C3A8918}">
      <text>
        <r>
          <rPr>
            <b/>
            <sz val="9"/>
            <color indexed="81"/>
            <rFont val="Tahoma"/>
            <charset val="1"/>
          </rPr>
          <t>TX Ready Actual Completion Date</t>
        </r>
      </text>
    </comment>
    <comment ref="AS3" authorId="0" shapeId="0" xr:uid="{FE226A64-E42A-44B2-ADA2-D3DBC053F144}">
      <text>
        <r>
          <rPr>
            <b/>
            <sz val="9"/>
            <color indexed="81"/>
            <rFont val="Tahoma"/>
            <charset val="1"/>
          </rPr>
          <t>TX Ready Delay 
Actual Dates vs Planned Dates in Days</t>
        </r>
      </text>
    </comment>
    <comment ref="AT3" authorId="0" shapeId="0" xr:uid="{62DCD9F2-CDD4-41CC-8BDE-FCBC74D59043}">
      <text>
        <r>
          <rPr>
            <b/>
            <sz val="9"/>
            <color indexed="81"/>
            <rFont val="Tahoma"/>
            <charset val="1"/>
          </rPr>
          <t>Actual Time in days from Power Installation  to TX Ready</t>
        </r>
      </text>
    </comment>
    <comment ref="AU3" authorId="0" shapeId="0" xr:uid="{5BFF173D-0C48-47E5-AA35-D1317C8B30BC}">
      <text>
        <r>
          <rPr>
            <b/>
            <sz val="9"/>
            <color indexed="81"/>
            <rFont val="Tahoma"/>
            <charset val="1"/>
          </rPr>
          <t>Planned Cost of TX Integration using Three-Point Estimate</t>
        </r>
      </text>
    </comment>
    <comment ref="AV3" authorId="0" shapeId="0" xr:uid="{CEB2A0FE-982F-440C-982B-BBC9A3413161}">
      <text>
        <r>
          <rPr>
            <b/>
            <sz val="9"/>
            <color indexed="81"/>
            <rFont val="Tahoma"/>
            <charset val="1"/>
          </rPr>
          <t>Actual Cost of TX Installation</t>
        </r>
      </text>
    </comment>
    <comment ref="AW3" authorId="0" shapeId="0" xr:uid="{FF13A402-08E3-42F6-990A-A31CE37E6A15}">
      <text>
        <r>
          <rPr>
            <b/>
            <sz val="9"/>
            <color indexed="81"/>
            <rFont val="Tahoma"/>
            <charset val="1"/>
          </rPr>
          <t>Site Ready for Installation Planned Date using Three-Point Estimate</t>
        </r>
      </text>
    </comment>
    <comment ref="AX3" authorId="0" shapeId="0" xr:uid="{4C989E63-351E-4A33-990E-4E4FCDF54AAA}">
      <text>
        <r>
          <rPr>
            <b/>
            <sz val="9"/>
            <color indexed="81"/>
            <rFont val="Tahoma"/>
            <charset val="1"/>
          </rPr>
          <t>Site Ready for Installation Actual  Date</t>
        </r>
      </text>
    </comment>
    <comment ref="AY3" authorId="0" shapeId="0" xr:uid="{228BC52F-73C6-4B7D-A217-BEB06CC7CB93}">
      <text>
        <r>
          <rPr>
            <b/>
            <sz val="9"/>
            <color indexed="81"/>
            <rFont val="Tahoma"/>
            <charset val="1"/>
          </rPr>
          <t>Site Ready for Installation Delay 
Actual Dates vs Planned Dates in Days</t>
        </r>
      </text>
    </comment>
    <comment ref="AZ3" authorId="0" shapeId="0" xr:uid="{0E0B3CED-077E-4F19-9B87-C0B923A2F642}">
      <text>
        <r>
          <rPr>
            <b/>
            <sz val="9"/>
            <color indexed="81"/>
            <rFont val="Tahoma"/>
            <charset val="1"/>
          </rPr>
          <t>Actual Time in days from Tx Integration  to Site Installation</t>
        </r>
      </text>
    </comment>
    <comment ref="BA3" authorId="0" shapeId="0" xr:uid="{BED8E889-8564-4453-A341-43EC9D1490DA}">
      <text>
        <r>
          <rPr>
            <b/>
            <sz val="9"/>
            <color indexed="81"/>
            <rFont val="Tahoma"/>
            <charset val="1"/>
          </rPr>
          <t>Planned Cost of Equipment Installation  using Three-Point Estimate</t>
        </r>
      </text>
    </comment>
    <comment ref="BB3" authorId="0" shapeId="0" xr:uid="{F247A21D-2C09-43F5-BAD0-264989BFAB16}">
      <text>
        <r>
          <rPr>
            <b/>
            <sz val="9"/>
            <color indexed="81"/>
            <rFont val="Tahoma"/>
            <charset val="1"/>
          </rPr>
          <t>Actual Cost of Equipment Installation</t>
        </r>
      </text>
    </comment>
    <comment ref="BC3" authorId="0" shapeId="0" xr:uid="{1DC54025-0A8A-4E61-B08B-4551A01EAD1F}">
      <text>
        <r>
          <rPr>
            <b/>
            <sz val="9"/>
            <color indexed="81"/>
            <rFont val="Tahoma"/>
            <charset val="1"/>
          </rPr>
          <t>Site Ready for Integration Planned Date using Three-Point Estimate</t>
        </r>
      </text>
    </comment>
    <comment ref="BD3" authorId="0" shapeId="0" xr:uid="{FEC2CAAC-61C3-435A-9B3B-0F4DE90BFD9B}">
      <text>
        <r>
          <rPr>
            <b/>
            <sz val="9"/>
            <color indexed="81"/>
            <rFont val="Tahoma"/>
            <charset val="1"/>
          </rPr>
          <t>Site Ready for Integration Actual  Date</t>
        </r>
      </text>
    </comment>
    <comment ref="BE3" authorId="0" shapeId="0" xr:uid="{AA43C4EB-71D7-4365-A552-02C0B80F2BA1}">
      <text>
        <r>
          <rPr>
            <b/>
            <sz val="9"/>
            <color indexed="81"/>
            <rFont val="Tahoma"/>
            <family val="2"/>
          </rPr>
          <t>Site Ready for Integration Delay 
Actual Dates vs Planned Dates in Days</t>
        </r>
      </text>
    </comment>
    <comment ref="BF3" authorId="0" shapeId="0" xr:uid="{FA731962-CF39-4E14-860F-B0A3F8911CE4}">
      <text>
        <r>
          <rPr>
            <b/>
            <sz val="9"/>
            <color indexed="81"/>
            <rFont val="Tahoma"/>
            <family val="2"/>
          </rPr>
          <t>Actual Time in days from  Installation to  Site Integration</t>
        </r>
      </text>
    </comment>
    <comment ref="BG3" authorId="0" shapeId="0" xr:uid="{CAF7DA80-2B86-4ABE-9969-B504ADCAE856}">
      <text>
        <r>
          <rPr>
            <b/>
            <sz val="9"/>
            <color indexed="81"/>
            <rFont val="Tahoma"/>
            <family val="2"/>
          </rPr>
          <t>Planned Cost of Integration using Three-Point Estimate</t>
        </r>
      </text>
    </comment>
    <comment ref="BH3" authorId="0" shapeId="0" xr:uid="{8A3C046F-BCDC-4EA4-A2BF-F1081220F41C}">
      <text>
        <r>
          <rPr>
            <b/>
            <sz val="9"/>
            <color indexed="81"/>
            <rFont val="Tahoma"/>
            <family val="2"/>
          </rPr>
          <t>Actual Cost of Integration</t>
        </r>
      </text>
    </comment>
    <comment ref="BI3" authorId="0" shapeId="0" xr:uid="{591D420F-D7CE-4BD8-9052-41ADF93335D1}">
      <text>
        <r>
          <rPr>
            <b/>
            <sz val="9"/>
            <color indexed="81"/>
            <rFont val="Tahoma"/>
            <family val="2"/>
          </rPr>
          <t>Site on Air Planned Date using Three-Point Estimate</t>
        </r>
      </text>
    </comment>
    <comment ref="BJ3" authorId="0" shapeId="0" xr:uid="{018EF50B-5679-4057-ACA0-CD102D438A4E}">
      <text>
        <r>
          <rPr>
            <b/>
            <sz val="9"/>
            <color indexed="81"/>
            <rFont val="Tahoma"/>
            <family val="2"/>
          </rPr>
          <t>Site On Air Actual Date</t>
        </r>
      </text>
    </comment>
    <comment ref="BK3" authorId="0" shapeId="0" xr:uid="{A1686F2C-4E1F-4963-8F74-67C31C99656A}">
      <text>
        <r>
          <rPr>
            <b/>
            <sz val="9"/>
            <color indexed="81"/>
            <rFont val="Tahoma"/>
            <family val="2"/>
          </rPr>
          <t>Site On Air Delay 
Actual Dates vs Planned Dates in Days</t>
        </r>
      </text>
    </comment>
    <comment ref="BL3" authorId="0" shapeId="0" xr:uid="{479BC277-E4A0-4CB9-B0B8-72DF1AE95050}">
      <text>
        <r>
          <rPr>
            <b/>
            <sz val="9"/>
            <color indexed="81"/>
            <rFont val="Tahoma"/>
            <family val="2"/>
          </rPr>
          <t>Actual Time in days from  Integration to  Site on Air</t>
        </r>
      </text>
    </comment>
    <comment ref="BM3" authorId="0" shapeId="0" xr:uid="{EA560FC8-C751-4F0A-9361-47B2927F7167}">
      <text>
        <r>
          <rPr>
            <b/>
            <sz val="9"/>
            <color indexed="81"/>
            <rFont val="Tahoma"/>
            <family val="2"/>
          </rPr>
          <t>ATP Planned Cost using Three-Point Estimate</t>
        </r>
      </text>
    </comment>
    <comment ref="BN3" authorId="0" shapeId="0" xr:uid="{ABEC7F19-9D70-4884-B126-B66437DA7B34}">
      <text>
        <r>
          <rPr>
            <b/>
            <sz val="9"/>
            <color indexed="81"/>
            <rFont val="Tahoma"/>
            <family val="2"/>
          </rPr>
          <t>Actual cost of ATP</t>
        </r>
      </text>
    </comment>
    <comment ref="BO3" authorId="0" shapeId="0" xr:uid="{96F292AD-CE90-47EA-AFB1-A04F9807EB8A}">
      <text>
        <r>
          <rPr>
            <b/>
            <sz val="9"/>
            <color indexed="81"/>
            <rFont val="Tahoma"/>
            <family val="2"/>
          </rPr>
          <t>Site Accepted Planned Date using Three-Point Estimate</t>
        </r>
      </text>
    </comment>
    <comment ref="BP3" authorId="0" shapeId="0" xr:uid="{22788A6A-053A-44E5-B34E-906F2D4693B7}">
      <text>
        <r>
          <rPr>
            <b/>
            <sz val="9"/>
            <color indexed="81"/>
            <rFont val="Tahoma"/>
            <family val="2"/>
          </rPr>
          <t>Site Accepted Actual Date</t>
        </r>
      </text>
    </comment>
    <comment ref="BQ3" authorId="0" shapeId="0" xr:uid="{F9BFC136-1EE8-4CE1-9FF7-FC23725BC83B}">
      <text>
        <r>
          <rPr>
            <b/>
            <sz val="9"/>
            <color indexed="81"/>
            <rFont val="Tahoma"/>
            <family val="2"/>
          </rPr>
          <t>Site Accepted Delay 
Actual Dates vs Planned Dates in Days</t>
        </r>
      </text>
    </comment>
    <comment ref="BR3" authorId="0" shapeId="0" xr:uid="{DF6563CA-057E-44C2-AB9C-A41E17F59AEA}">
      <text>
        <r>
          <rPr>
            <b/>
            <sz val="9"/>
            <color indexed="81"/>
            <rFont val="Tahoma"/>
            <family val="2"/>
          </rPr>
          <t>Actual Time in days from  Site on air to Site Accepted</t>
        </r>
      </text>
    </comment>
    <comment ref="BS3" authorId="0" shapeId="0" xr:uid="{74F2157A-C920-4AE9-9E52-B33D492FAE23}">
      <text>
        <r>
          <rPr>
            <b/>
            <sz val="9"/>
            <color indexed="81"/>
            <rFont val="Tahoma"/>
            <family val="2"/>
          </rPr>
          <t>Handover to Operations  Planned Cost using Three-Point Estimate</t>
        </r>
      </text>
    </comment>
    <comment ref="BT3" authorId="0" shapeId="0" xr:uid="{3D14DDD7-84FE-4DA8-AA22-1AA296E44B93}">
      <text>
        <r>
          <rPr>
            <b/>
            <sz val="9"/>
            <color indexed="81"/>
            <rFont val="Tahoma"/>
            <family val="2"/>
          </rPr>
          <t>Actual cost of Handover to Operations</t>
        </r>
      </text>
    </comment>
    <comment ref="BU3" authorId="0" shapeId="0" xr:uid="{E04B4697-BE3D-4459-ABAA-E9B9311D6333}">
      <text>
        <r>
          <rPr>
            <b/>
            <sz val="9"/>
            <color indexed="81"/>
            <rFont val="Tahoma"/>
            <family val="2"/>
          </rPr>
          <t>Site In Operations Planned Date using Three-Point Estimate</t>
        </r>
      </text>
    </comment>
    <comment ref="BV3" authorId="0" shapeId="0" xr:uid="{EF163A57-DA01-4171-B1AF-065E49CEBF00}">
      <text>
        <r>
          <rPr>
            <b/>
            <sz val="9"/>
            <color indexed="81"/>
            <rFont val="Tahoma"/>
            <family val="2"/>
          </rPr>
          <t>Site In Operations
Actual Date</t>
        </r>
      </text>
    </comment>
    <comment ref="BW3" authorId="0" shapeId="0" xr:uid="{06BF9243-949D-4422-9273-57A108E65300}">
      <text>
        <r>
          <rPr>
            <b/>
            <sz val="9"/>
            <color indexed="81"/>
            <rFont val="Tahoma"/>
            <family val="2"/>
          </rPr>
          <t>Site in Operations Delay 
Actual Dates vs Planned Dates in Days</t>
        </r>
      </text>
    </comment>
    <comment ref="BX3" authorId="0" shapeId="0" xr:uid="{E5254F86-A58A-4BAA-B822-E535813CA666}">
      <text>
        <r>
          <rPr>
            <b/>
            <sz val="9"/>
            <color indexed="81"/>
            <rFont val="Tahoma"/>
            <family val="2"/>
          </rPr>
          <t>Planned days from Site Design to Site in Operations</t>
        </r>
      </text>
    </comment>
    <comment ref="BY3" authorId="0" shapeId="0" xr:uid="{44893B4A-E7A3-4DF7-AA76-D681C58E9065}">
      <text>
        <r>
          <rPr>
            <b/>
            <sz val="9"/>
            <color indexed="81"/>
            <rFont val="Tahoma"/>
            <family val="2"/>
          </rPr>
          <t>Actual days from Site Design to Site in Operations</t>
        </r>
      </text>
    </comment>
    <comment ref="BZ3" authorId="0" shapeId="0" xr:uid="{78ABDF3B-3160-473B-A043-2D2964A2D74F}">
      <text>
        <r>
          <rPr>
            <b/>
            <sz val="9"/>
            <color indexed="81"/>
            <rFont val="Tahoma"/>
            <family val="2"/>
          </rPr>
          <t>End to End Delay 
Actual Dates vs Planned Dates in Days</t>
        </r>
      </text>
    </comment>
    <comment ref="CA3" authorId="0" shapeId="0" xr:uid="{CF8D5635-DB36-460B-A6E2-D6C0A128E4E8}">
      <text>
        <r>
          <rPr>
            <b/>
            <sz val="9"/>
            <color indexed="81"/>
            <rFont val="Tahoma"/>
            <family val="2"/>
          </rPr>
          <t>Delay from Site Accepted from Site in Operations</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edgar ortiz</author>
    <author>David Valencia</author>
  </authors>
  <commentList>
    <comment ref="E3" authorId="0" shapeId="0" xr:uid="{647BFA7A-234E-4492-8409-0D570970B735}">
      <text>
        <r>
          <rPr>
            <b/>
            <sz val="9"/>
            <color indexed="81"/>
            <rFont val="Tahoma"/>
            <family val="2"/>
          </rPr>
          <t>Planned Sites in DesignStarted Milestone by week</t>
        </r>
        <r>
          <rPr>
            <sz val="9"/>
            <color indexed="81"/>
            <rFont val="Tahoma"/>
            <family val="2"/>
          </rPr>
          <t xml:space="preserve">
</t>
        </r>
      </text>
    </comment>
    <comment ref="F3" authorId="1" shapeId="0" xr:uid="{2DB8ABC8-C5B2-4A36-B517-31734C6ADC27}">
      <text>
        <r>
          <rPr>
            <b/>
            <sz val="9"/>
            <color indexed="81"/>
            <rFont val="Tahoma"/>
            <family val="2"/>
          </rPr>
          <t>Planned Sites accumulated for this milestone at week</t>
        </r>
      </text>
    </comment>
    <comment ref="G3" authorId="0" shapeId="0" xr:uid="{D6F0DFE0-1EA2-4BA0-ADDD-6438F91C308D}">
      <text>
        <r>
          <rPr>
            <b/>
            <sz val="9"/>
            <color indexed="81"/>
            <rFont val="Tahoma"/>
            <family val="2"/>
          </rPr>
          <t xml:space="preserve">Actual Sites in DesignStarted Milestone by week
</t>
        </r>
      </text>
    </comment>
    <comment ref="DO3" authorId="1" shapeId="0" xr:uid="{5EFCFFAC-1CBB-43EF-9E06-87032F27ECD2}">
      <text>
        <r>
          <rPr>
            <b/>
            <sz val="9"/>
            <color indexed="81"/>
            <rFont val="Tahoma"/>
            <family val="2"/>
          </rPr>
          <t>David Valencia:</t>
        </r>
        <r>
          <rPr>
            <sz val="9"/>
            <color indexed="81"/>
            <rFont val="Tahoma"/>
            <family val="2"/>
          </rPr>
          <t xml:space="preserve">
Accumulated Earned Value (EV) of all the work done that week, regardless of milestone for each site. This way, we can estimate Overall Project Progress, even though a site has yet to be delivered, and is going through each milestone.</t>
        </r>
      </text>
    </comment>
    <comment ref="DP3" authorId="1" shapeId="0" xr:uid="{0ED26F8C-D10C-4CC7-B262-D4D23B1881F6}">
      <text>
        <r>
          <rPr>
            <b/>
            <sz val="9"/>
            <color indexed="81"/>
            <rFont val="Tahoma"/>
            <family val="2"/>
          </rPr>
          <t>David Valencia:</t>
        </r>
        <r>
          <rPr>
            <sz val="9"/>
            <color indexed="81"/>
            <rFont val="Tahoma"/>
            <family val="2"/>
          </rPr>
          <t xml:space="preserve">
Accumulated planned budget to spend up to each week</t>
        </r>
      </text>
    </comment>
    <comment ref="DQ3" authorId="1" shapeId="0" xr:uid="{E0B34B95-FF77-4492-A821-D97E08D8BE68}">
      <text>
        <r>
          <rPr>
            <b/>
            <sz val="9"/>
            <color indexed="81"/>
            <rFont val="Tahoma"/>
            <family val="2"/>
          </rPr>
          <t>David Valencia:</t>
        </r>
        <r>
          <rPr>
            <sz val="9"/>
            <color indexed="81"/>
            <rFont val="Tahoma"/>
            <family val="2"/>
          </rPr>
          <t xml:space="preserve">
Accumulated Actual Costs up to the week, for cost performance tracking</t>
        </r>
      </text>
    </comment>
    <comment ref="DR3" authorId="1" shapeId="0" xr:uid="{27B68272-09DC-49E7-A906-EC7143C46D32}">
      <text>
        <r>
          <rPr>
            <b/>
            <sz val="9"/>
            <color indexed="81"/>
            <rFont val="Tahoma"/>
            <family val="2"/>
          </rPr>
          <t>David Valencia:</t>
        </r>
        <r>
          <rPr>
            <sz val="9"/>
            <color indexed="81"/>
            <rFont val="Tahoma"/>
            <family val="2"/>
          </rPr>
          <t xml:space="preserve">
Refer to DOCX for explanation of this variance. Tells how much the project is on time, ahead of schedule, or delayed</t>
        </r>
      </text>
    </comment>
    <comment ref="DS3" authorId="1" shapeId="0" xr:uid="{1654C1EE-63D2-486D-85EC-DDE570F40A00}">
      <text>
        <r>
          <rPr>
            <b/>
            <sz val="9"/>
            <color indexed="81"/>
            <rFont val="Tahoma"/>
            <family val="2"/>
          </rPr>
          <t>David Valencia:</t>
        </r>
        <r>
          <rPr>
            <sz val="9"/>
            <color indexed="81"/>
            <rFont val="Tahoma"/>
            <family val="2"/>
          </rPr>
          <t xml:space="preserve">
Refer to DOCX for explanation, this variance tells how much the project is under budget, on budget, or above budget</t>
        </r>
      </text>
    </comment>
    <comment ref="DT3" authorId="1" shapeId="0" xr:uid="{3F21C8BA-9537-4DDA-B448-E00C664A2525}">
      <text>
        <r>
          <rPr>
            <b/>
            <sz val="9"/>
            <color indexed="81"/>
            <rFont val="Tahoma"/>
            <family val="2"/>
          </rPr>
          <t>David Valencia:</t>
        </r>
        <r>
          <rPr>
            <sz val="9"/>
            <color indexed="81"/>
            <rFont val="Tahoma"/>
            <family val="2"/>
          </rPr>
          <t xml:space="preserve">
Schedule Performance Indicator (SPI) refer to DOCX for details</t>
        </r>
      </text>
    </comment>
    <comment ref="DU3" authorId="1" shapeId="0" xr:uid="{BDB04E88-0ED3-4717-8A08-836BB3DDAC6C}">
      <text>
        <r>
          <rPr>
            <b/>
            <sz val="9"/>
            <color indexed="81"/>
            <rFont val="Tahoma"/>
            <family val="2"/>
          </rPr>
          <t>David Valencia:</t>
        </r>
        <r>
          <rPr>
            <sz val="9"/>
            <color indexed="81"/>
            <rFont val="Tahoma"/>
            <family val="2"/>
          </rPr>
          <t xml:space="preserve">
Cost Performance Indicator (CPI), refer to DOCX for details</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tc={05D86E28-B2C0-42B4-A39E-BB5CF7A59A38}</author>
  </authors>
  <commentList>
    <comment ref="C3" authorId="0" shapeId="0" xr:uid="{05D86E28-B2C0-42B4-A39E-BB5CF7A59A38}">
      <text>
        <t>[Threaded comment]
Your version of Excel allows you to read this threaded comment; however, any edits to it will get removed if the file is opened in a newer version of Excel. Learn more: https://go.microsoft.com/fwlink/?linkid=870924
Comment:
    Identify KPIs that are not mentioned in the document. Decide if we keep or delete those which are not mentioned</t>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70F02CB-AF79-49A3-9734-F6D7AB314D96}" keepAlive="1" name="ThisWorkbookDataModel" description="Data Model" type="5" refreshedVersion="6"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532A8CEE-4FFC-4C75-9D6A-8F275AA9BDEA}" name="WorksheetConnection_NaaS Deployment Mgmt Tracking &amp; KPIs.xlsx!Table_SiteMilestoneTracking" type="102" refreshedVersion="6" minRefreshableVersion="5">
    <extLst>
      <ext xmlns:x15="http://schemas.microsoft.com/office/spreadsheetml/2010/11/main" uri="{DE250136-89BD-433C-8126-D09CA5730AF9}">
        <x15:connection id="Table_SiteMilestoneTracking">
          <x15:rangePr sourceName="_xlcn.WorksheetConnection_NaaSDeploymentMgmtTrackingKPIs.xlsxTable_SiteMilestoneTracking1"/>
        </x15:connection>
      </ext>
    </extLst>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<sst xmlns="http://schemas.openxmlformats.org/spreadsheetml/2006/main" count="2439" uniqueCount="790">
  <si>
    <t>DURATION ESTIMATING WORKSHEET</t>
  </si>
  <si>
    <t>Parametric Estimates</t>
  </si>
  <si>
    <t>ID</t>
  </si>
  <si>
    <t>Effort Hours</t>
  </si>
  <si>
    <t>Resource Quantity</t>
  </si>
  <si>
    <t>% Available</t>
  </si>
  <si>
    <t>Performance Factor</t>
  </si>
  <si>
    <t>Duration Estimate</t>
  </si>
  <si>
    <t>Previous Activity</t>
  </si>
  <si>
    <t>Previous Duration</t>
  </si>
  <si>
    <t>Current Activity</t>
  </si>
  <si>
    <t>Multiplier</t>
  </si>
  <si>
    <t>Analogous Estimates</t>
  </si>
  <si>
    <t>Three-Point Estimates</t>
  </si>
  <si>
    <t>Optimistic Duration</t>
  </si>
  <si>
    <t>Most Likely Duration</t>
  </si>
  <si>
    <t>Pessimistic Duration</t>
  </si>
  <si>
    <t>Weighting Equation</t>
  </si>
  <si>
    <t>Expected Duration Estimate</t>
  </si>
  <si>
    <r>
      <t xml:space="preserve">Project Title: </t>
    </r>
    <r>
      <rPr>
        <b/>
        <sz val="11"/>
        <color theme="1"/>
        <rFont val="Calibri"/>
        <family val="2"/>
        <scheme val="minor"/>
      </rPr>
      <t>NaaS Network Deployment ABC</t>
    </r>
  </si>
  <si>
    <r>
      <t xml:space="preserve">Date Prepared: </t>
    </r>
    <r>
      <rPr>
        <b/>
        <sz val="11"/>
        <color theme="1"/>
        <rFont val="Calibri"/>
        <family val="2"/>
        <scheme val="minor"/>
      </rPr>
      <t>March 16th, 2020</t>
    </r>
  </si>
  <si>
    <t>R1</t>
  </si>
  <si>
    <t>2018 Project Risk Assessment</t>
  </si>
  <si>
    <t>2020 Project Risk Assessment</t>
  </si>
  <si>
    <t>D1</t>
  </si>
  <si>
    <t>COST ESTIMATING WORKSHEET</t>
  </si>
  <si>
    <t>Cost Variable</t>
  </si>
  <si>
    <t>Cost per Unit</t>
  </si>
  <si>
    <t>Number of Units</t>
  </si>
  <si>
    <t>Cost Estimate</t>
  </si>
  <si>
    <t>Previous Cost</t>
  </si>
  <si>
    <t>RRU</t>
  </si>
  <si>
    <t>Type</t>
  </si>
  <si>
    <t>SiteID</t>
  </si>
  <si>
    <t>Region</t>
  </si>
  <si>
    <t>North</t>
  </si>
  <si>
    <t>Center</t>
  </si>
  <si>
    <t>South</t>
  </si>
  <si>
    <t>AA00219</t>
  </si>
  <si>
    <t>AA00951</t>
  </si>
  <si>
    <t>ED00640</t>
  </si>
  <si>
    <t>FE00941</t>
  </si>
  <si>
    <t>VC00029</t>
  </si>
  <si>
    <t>CH00128</t>
  </si>
  <si>
    <t>District</t>
  </si>
  <si>
    <t>MTY</t>
  </si>
  <si>
    <t>ZAC</t>
  </si>
  <si>
    <t>GTO</t>
  </si>
  <si>
    <t>QRO</t>
  </si>
  <si>
    <t>VER</t>
  </si>
  <si>
    <t>CHI</t>
  </si>
  <si>
    <t>MACRO</t>
  </si>
  <si>
    <t>MINI</t>
  </si>
  <si>
    <t>SMALL</t>
  </si>
  <si>
    <t>SiteConfig</t>
  </si>
  <si>
    <t>TowerCo</t>
  </si>
  <si>
    <t>SuperTowers</t>
  </si>
  <si>
    <t>PremiumTowers</t>
  </si>
  <si>
    <t>NaaS Owned</t>
  </si>
  <si>
    <t>NeatTowers</t>
  </si>
  <si>
    <t>TowerID</t>
  </si>
  <si>
    <t>ST0014</t>
  </si>
  <si>
    <t>PT001211</t>
  </si>
  <si>
    <t>T00001</t>
  </si>
  <si>
    <t>T00013</t>
  </si>
  <si>
    <t>NT0041</t>
  </si>
  <si>
    <t>NT0111</t>
  </si>
  <si>
    <t>Remark</t>
  </si>
  <si>
    <t>CA00135</t>
  </si>
  <si>
    <t>CA00216</t>
  </si>
  <si>
    <t>CA00162</t>
  </si>
  <si>
    <t>CA00257</t>
  </si>
  <si>
    <t>CA00391</t>
  </si>
  <si>
    <t>CA00130</t>
  </si>
  <si>
    <t>CA00149</t>
  </si>
  <si>
    <t>CA00199</t>
  </si>
  <si>
    <t>CA00260</t>
  </si>
  <si>
    <t>CA00261</t>
  </si>
  <si>
    <t>CA00262</t>
  </si>
  <si>
    <t>CA00263</t>
  </si>
  <si>
    <t>AM00053</t>
  </si>
  <si>
    <t>CA00264</t>
  </si>
  <si>
    <t>CA00265</t>
  </si>
  <si>
    <t>CA00372</t>
  </si>
  <si>
    <t>CA00565</t>
  </si>
  <si>
    <t>CA00269</t>
  </si>
  <si>
    <t>CA00496</t>
  </si>
  <si>
    <t>CA00241</t>
  </si>
  <si>
    <t>CA00353</t>
  </si>
  <si>
    <t>HU00017</t>
  </si>
  <si>
    <t>HU00060</t>
  </si>
  <si>
    <t>HU00180</t>
  </si>
  <si>
    <t>AM00040</t>
  </si>
  <si>
    <t>AM00041</t>
  </si>
  <si>
    <t>AM00067</t>
  </si>
  <si>
    <t>AM00100</t>
  </si>
  <si>
    <t>AM00118</t>
  </si>
  <si>
    <t>AM00147</t>
  </si>
  <si>
    <t>AM00230</t>
  </si>
  <si>
    <t>AY00031</t>
  </si>
  <si>
    <t>AY00210</t>
  </si>
  <si>
    <t>HU00200</t>
  </si>
  <si>
    <t>AN00035</t>
  </si>
  <si>
    <t>AN00228</t>
  </si>
  <si>
    <t>AM00059</t>
  </si>
  <si>
    <t>AM00227</t>
  </si>
  <si>
    <t>PI00226</t>
  </si>
  <si>
    <t>PI00227</t>
  </si>
  <si>
    <t>PI00229</t>
  </si>
  <si>
    <t>PI00170</t>
  </si>
  <si>
    <t>PI00179</t>
  </si>
  <si>
    <t>PI00244</t>
  </si>
  <si>
    <t>PI00265</t>
  </si>
  <si>
    <t>PI00309</t>
  </si>
  <si>
    <t>PI00188</t>
  </si>
  <si>
    <t>PI00269</t>
  </si>
  <si>
    <t>PI00213</t>
  </si>
  <si>
    <t>PI00225</t>
  </si>
  <si>
    <t>PI00240</t>
  </si>
  <si>
    <t>PI00241</t>
  </si>
  <si>
    <t>AN00231</t>
  </si>
  <si>
    <t>AN00262</t>
  </si>
  <si>
    <t>PI00256</t>
  </si>
  <si>
    <t>PI00257</t>
  </si>
  <si>
    <t>PI00277</t>
  </si>
  <si>
    <t>PI00308</t>
  </si>
  <si>
    <t>PI00313</t>
  </si>
  <si>
    <t>AP00049</t>
  </si>
  <si>
    <t>PI00135</t>
  </si>
  <si>
    <t>PI00184</t>
  </si>
  <si>
    <t>AP00092</t>
  </si>
  <si>
    <t>AP00146</t>
  </si>
  <si>
    <t>AP00231</t>
  </si>
  <si>
    <t>AP00235</t>
  </si>
  <si>
    <t>AP00239</t>
  </si>
  <si>
    <t>PI00189</t>
  </si>
  <si>
    <t>PI00282</t>
  </si>
  <si>
    <t>PI00284</t>
  </si>
  <si>
    <t>LO00158</t>
  </si>
  <si>
    <t>LO00159</t>
  </si>
  <si>
    <t>CA00351</t>
  </si>
  <si>
    <t>CA00514</t>
  </si>
  <si>
    <t>JU00157</t>
  </si>
  <si>
    <t>JU00247</t>
  </si>
  <si>
    <t>JU00229</t>
  </si>
  <si>
    <t>JU00415</t>
  </si>
  <si>
    <t>LA00134</t>
  </si>
  <si>
    <t>LA00613</t>
  </si>
  <si>
    <t>LI01455</t>
  </si>
  <si>
    <t>LI01461</t>
  </si>
  <si>
    <t>LI01476</t>
  </si>
  <si>
    <t>LI01542</t>
  </si>
  <si>
    <t>LI02051</t>
  </si>
  <si>
    <t>LI02052</t>
  </si>
  <si>
    <t>LI01472</t>
  </si>
  <si>
    <t>LI01483</t>
  </si>
  <si>
    <t>LI01550</t>
  </si>
  <si>
    <t>PI00220</t>
  </si>
  <si>
    <t>PI00246</t>
  </si>
  <si>
    <t>AM00004</t>
  </si>
  <si>
    <t>AM00226</t>
  </si>
  <si>
    <t>AP00017</t>
  </si>
  <si>
    <t>Week</t>
  </si>
  <si>
    <t>Year</t>
  </si>
  <si>
    <t>StartDate</t>
  </si>
  <si>
    <t>EndDate</t>
  </si>
  <si>
    <t>SiteDesignReady_BL</t>
  </si>
  <si>
    <t>SiteDesignReady_BL(SUM)</t>
  </si>
  <si>
    <t>SiteDesignReady_AC</t>
  </si>
  <si>
    <t>SiteDesignReady_AC(SUM)</t>
  </si>
  <si>
    <t>ReadyForCW_BL</t>
  </si>
  <si>
    <t>ReadyForCW_BL(SUM)</t>
  </si>
  <si>
    <t>ReadyForCW_AC</t>
  </si>
  <si>
    <t>ReadyForCW_AC(SUM)</t>
  </si>
  <si>
    <t>ReadyForPower_BL</t>
  </si>
  <si>
    <t>ReadyForPower_BL(SUM)</t>
  </si>
  <si>
    <t>ReadyForPower_AC</t>
  </si>
  <si>
    <t>ReadyForPower_AC(SUM)</t>
  </si>
  <si>
    <t>TXReady_BL</t>
  </si>
  <si>
    <t>TXReady_BL(SUM)</t>
  </si>
  <si>
    <t>TXReady_AC</t>
  </si>
  <si>
    <t>TXReady_AC(SUM)</t>
  </si>
  <si>
    <t>ReadyForIntegration_BL</t>
  </si>
  <si>
    <t>ReadyForIntegration_BL(SUM)</t>
  </si>
  <si>
    <t>ReadyForIntegration_AC</t>
  </si>
  <si>
    <t>ReadyForIntegration_AC(SUM)</t>
  </si>
  <si>
    <t>SiteOnAir_BL</t>
  </si>
  <si>
    <t>SiteOnAir_BL(SUM)</t>
  </si>
  <si>
    <t>SiteOnAir_AC</t>
  </si>
  <si>
    <t>SiteOnAir_AC(SUM)</t>
  </si>
  <si>
    <t>t1_SiteSurveyBL</t>
  </si>
  <si>
    <t>t2_SiteAcquisitionBL</t>
  </si>
  <si>
    <t>t3_CivilWorksBL</t>
  </si>
  <si>
    <t>t4_PowerInstallBL</t>
  </si>
  <si>
    <t>t5_TxintegrationBL</t>
  </si>
  <si>
    <t>t6_InstallationBL</t>
  </si>
  <si>
    <t>t7_IntegrationBL</t>
  </si>
  <si>
    <t>t8_AcceptanceBL</t>
  </si>
  <si>
    <t>t9_HandoverBL</t>
  </si>
  <si>
    <t>SiteAccepted_BL</t>
  </si>
  <si>
    <t>SiteAccepted_AC</t>
  </si>
  <si>
    <t>SiteInOperations_BL</t>
  </si>
  <si>
    <t>SiteInOperations_AC</t>
  </si>
  <si>
    <t>SiteAccepted_BL(SUM)</t>
  </si>
  <si>
    <t>SiteAccepted_AC(SUM)</t>
  </si>
  <si>
    <t>SiteInOperations_BL(SUM)</t>
  </si>
  <si>
    <t>SiteInOperations_AC(SUM)</t>
  </si>
  <si>
    <t>Schedule Baseline</t>
  </si>
  <si>
    <t>SiteDesignReady Baseline vs Actual</t>
  </si>
  <si>
    <t>Site-accumulates: baseline vs actual. The closer the lines, the better the performance approximates to the plan.</t>
  </si>
  <si>
    <t>SiteReadyforCW Baseline vs Actual</t>
  </si>
  <si>
    <t>SiteReadyforPower Baseline vs Actual</t>
  </si>
  <si>
    <t>TXReady Baseline vs Actual</t>
  </si>
  <si>
    <t>SiteReadyForInstall Baseline vs Actual</t>
  </si>
  <si>
    <t>ReadyForIntegration Baseline vs Actual</t>
  </si>
  <si>
    <t>SiteOnAir Baseline vs Actual</t>
  </si>
  <si>
    <t>SiteAccepted Baseline vs Actual</t>
  </si>
  <si>
    <t>SiteInOperations Baseline vs Actual</t>
  </si>
  <si>
    <t>Schedule Actual</t>
  </si>
  <si>
    <t>Deployment Schedule Visuals</t>
  </si>
  <si>
    <t>Deployment Tracking Summary</t>
  </si>
  <si>
    <t>Deployment Tracking per site</t>
  </si>
  <si>
    <t>Change</t>
  </si>
  <si>
    <t>Deployment Dashboard</t>
  </si>
  <si>
    <t>Deployment Costs Visuals</t>
  </si>
  <si>
    <t>Site-accumulates per milestone, by week</t>
  </si>
  <si>
    <t>KPI_Name</t>
  </si>
  <si>
    <t>KPI_Value</t>
  </si>
  <si>
    <t>Deployment KPIs</t>
  </si>
  <si>
    <t>MAX</t>
  </si>
  <si>
    <t>AVG</t>
  </si>
  <si>
    <t>MIN</t>
  </si>
  <si>
    <t>E2E_Site_AC</t>
  </si>
  <si>
    <t>E2E_Site_BL</t>
  </si>
  <si>
    <t>E2E_Site_deltaT</t>
  </si>
  <si>
    <t>-</t>
  </si>
  <si>
    <t>Phase</t>
  </si>
  <si>
    <t>Execution</t>
  </si>
  <si>
    <t>Close &amp; Transfer</t>
  </si>
  <si>
    <t>Planning &amp; Pre-Work</t>
  </si>
  <si>
    <t>AVG LowLevelDesigns per Week (AC)</t>
  </si>
  <si>
    <t>AVG Design Time (hrs) per Site [AC]</t>
  </si>
  <si>
    <t>MIN Delta from Site Design Ready BL to Site Design Ready AC</t>
  </si>
  <si>
    <t>MAX Delta from Site Design Ready BL to Site Design Ready AC</t>
  </si>
  <si>
    <t>AVG Delta from Site Design Ready BL to Site Design Ready AC</t>
  </si>
  <si>
    <t>MIN Time from Site Design Ready to Site Ready for CW (BL)</t>
  </si>
  <si>
    <t>MAX Time from Site Design Ready to Site Ready for CW (BL)</t>
  </si>
  <si>
    <t>AVG Time from Site Design Ready to Site Ready for CW (BL)</t>
  </si>
  <si>
    <t>MIN Time from Site Design Ready to Site Ready for CW (AC)</t>
  </si>
  <si>
    <t>MAX Time from Site Design Ready to Site Ready for CW (AC)</t>
  </si>
  <si>
    <t>AVG Time from Site Design Ready to Site Ready for CW (AC)</t>
  </si>
  <si>
    <t>MIN Delta from Site Ready for CW_BL to Site Ready for CW_AC</t>
  </si>
  <si>
    <t>MAX Delta from Site Ready for CW_BL to Site Ready for CW_AC</t>
  </si>
  <si>
    <t>AVG Delta from Site Ready for CW_BL to Site Ready for CW_AC</t>
  </si>
  <si>
    <t>MIN Time from Ready for CW to Ready to Power-On (BL)</t>
  </si>
  <si>
    <t>MAX Time from Ready for CW to Ready to Power-On (BL)</t>
  </si>
  <si>
    <t>AVG Time from Ready for CW to Ready to Power-On (BL)</t>
  </si>
  <si>
    <t>MIN Time from Ready for CW to Ready to Power-On (AC)</t>
  </si>
  <si>
    <t>MAX Time from Ready for CW to Ready to Power-On (AC)</t>
  </si>
  <si>
    <t>AVG Time from Ready for CW to Ready to Power-On (AC)</t>
  </si>
  <si>
    <t>MIN Delta from Ready for Power On BL to Ready for Power On AC</t>
  </si>
  <si>
    <t>MAX Delta from Ready for Power On BL to Ready for Power On AC</t>
  </si>
  <si>
    <t>AVG Delta from Ready for Power On BL to Ready for Power On AC</t>
  </si>
  <si>
    <t>MIN Time from Ready for Power-On to TX Ready (BL)</t>
  </si>
  <si>
    <t>MAX Time from Ready for Power-On to TX Ready (BL)</t>
  </si>
  <si>
    <t>AVG Time from Ready for Power-On to TX Ready (BL)</t>
  </si>
  <si>
    <t>MIN Time from Ready for Power-On to TX Ready (AC)</t>
  </si>
  <si>
    <t>MAX Time from Ready for Power-On to TX Ready (AC)</t>
  </si>
  <si>
    <t>AVG Time from Ready for Power-On to TX Ready (AC)</t>
  </si>
  <si>
    <t>MIN Delta from Ready for TX BL to Ready for TX AC</t>
  </si>
  <si>
    <t>MAX Delta from Ready for TX BL to Ready for TX AC</t>
  </si>
  <si>
    <t>AVG Delta from Ready for TX BL to Ready for TX AC</t>
  </si>
  <si>
    <t>MIN Time from TX Ready to Site Ready for Installation (BL)</t>
  </si>
  <si>
    <t>MAX Time from TX Ready to Site Ready for Installation (BL)</t>
  </si>
  <si>
    <t>AVG Time from TX Ready to Site Ready for Installation (BL)</t>
  </si>
  <si>
    <t>MIN Time from TX Ready to Site Ready for Installation (AC)</t>
  </si>
  <si>
    <t>MAX Time from TX Ready to Site Ready for Installation (AC)</t>
  </si>
  <si>
    <t>AVG Time from TX Ready to Site Ready for Installation (AC)</t>
  </si>
  <si>
    <t>MIN Delta from Ready for Install BL to Ready for Install AC</t>
  </si>
  <si>
    <t>MAX Delta from Ready for Install BL to Ready for Install AC</t>
  </si>
  <si>
    <t>AVG Delta from Ready for Install BL to Ready for Install AC</t>
  </si>
  <si>
    <t>MIN Time from Site Ready for Installation to Ready for Integration (BL)</t>
  </si>
  <si>
    <t>MAX Time from Site Ready for Installation to Ready for Integration (BL)</t>
  </si>
  <si>
    <t>AVG Time from Site Ready for Installation to Ready for Integration (BL)</t>
  </si>
  <si>
    <t>MIN Time from Site Ready for Installation to Ready for Integration (AC)</t>
  </si>
  <si>
    <t>MAX Time from Site Ready for Installation to Ready for Integration (AC)</t>
  </si>
  <si>
    <t>AVG Time from Site Ready for Installation to Ready for Integration (AC)</t>
  </si>
  <si>
    <t>MIN Delta from Ready for Integration BL to Ready for Integration AC</t>
  </si>
  <si>
    <t>MAX Delta from Ready for Integration BL to Ready for Integration AC</t>
  </si>
  <si>
    <t>AVG Delta from Ready for Integration BL to Ready for Integration AC</t>
  </si>
  <si>
    <t>MIN Time from Ready for Integration to Site on Air (BL)</t>
  </si>
  <si>
    <t>MAX Time from Ready for Integration to Site on Air (BL)</t>
  </si>
  <si>
    <t>AVG Time from Ready for Integration to Site on Air (BL)</t>
  </si>
  <si>
    <t>MIN Time from Ready for Integration to Site on Air (AC)</t>
  </si>
  <si>
    <t>MAX Time from Ready for Integration to Site on Air (AC)</t>
  </si>
  <si>
    <t>AVG Time from Ready for Integration to Site on Air (AC)</t>
  </si>
  <si>
    <t>MIN Delta from SiteOnAir_BL to SiteOnAir_AC</t>
  </si>
  <si>
    <t>MAX Delta from SiteOnAir_BL to SiteOnAir_AC</t>
  </si>
  <si>
    <t>AVG Delta from SiteOnAir_BL to SiteOnAir_AC</t>
  </si>
  <si>
    <t>MIN Time from Site on Air to Site Accepted (BL)</t>
  </si>
  <si>
    <t>MAX Time from Site on Air to Site Accepted (BL)</t>
  </si>
  <si>
    <t>AVG Time from Site on Air to Site Accepted (BL)</t>
  </si>
  <si>
    <t>MIN Time from Site on Air to Site Accepted (AC)</t>
  </si>
  <si>
    <t>MAX Time from Site on Air to Site Accepted (AC)</t>
  </si>
  <si>
    <t>AVG Time from Site on Air to Site Accepted (AC)</t>
  </si>
  <si>
    <t>MIN Delta from Site Accepted BL to Site Accepted AC</t>
  </si>
  <si>
    <t>MAX Delta from Site Accepted BL to Site Accepted AC</t>
  </si>
  <si>
    <t>AVG Delta from Site Accepted BL to Site Accepted AC</t>
  </si>
  <si>
    <t>MIN Time from Site Accepted to Site in Operations (BL)</t>
  </si>
  <si>
    <t>MAX Time from Site Accepted to Site in Operations (BL)</t>
  </si>
  <si>
    <t>AVG Time from Site Accepted to Site in Operations (BL)</t>
  </si>
  <si>
    <t>MIN Time from Site Accepted to Site in Operations (AC)</t>
  </si>
  <si>
    <t>MAX Time from Site Accepted to Site in Operations (AC)</t>
  </si>
  <si>
    <t>AVG Time from Site Accepted to Site in Operations (AC)</t>
  </si>
  <si>
    <t>MIN Delta from Site In Operations BL to Site In Operations AC</t>
  </si>
  <si>
    <t>MAX Delta from Site In Operations BL to Site In Operations AC</t>
  </si>
  <si>
    <t>AVG Delta from Site In Operations BL to Site In Operations AC</t>
  </si>
  <si>
    <t>MIN Time from Site Design Ready BL to Site in Operations BL</t>
  </si>
  <si>
    <t>MAX Time from Site Design Ready BL to Site in Operations BL</t>
  </si>
  <si>
    <t>AVG Time from Site Design Ready BL to Site in Operations BL</t>
  </si>
  <si>
    <t>MIN Time from Site Design Ready AC to Site in Operations AC</t>
  </si>
  <si>
    <t>MAX Time from Site Design Ready AC to Site in Operations AC</t>
  </si>
  <si>
    <t>AVG Time from Site Design Ready AC to Site in Operations AC</t>
  </si>
  <si>
    <t>MIN Delta between site E2E BL to E2E AC</t>
  </si>
  <si>
    <t>MAX Delta between site E2E BL to E2E AC</t>
  </si>
  <si>
    <t>AVG Delta between site E2E BL to E2E AC</t>
  </si>
  <si>
    <t>ST0524</t>
  </si>
  <si>
    <t>PT044331</t>
  </si>
  <si>
    <t>T01110</t>
  </si>
  <si>
    <t>T00054</t>
  </si>
  <si>
    <t>ST0756</t>
  </si>
  <si>
    <t>PT00984</t>
  </si>
  <si>
    <t>T00612</t>
  </si>
  <si>
    <t>T00803</t>
  </si>
  <si>
    <t>NT00454</t>
  </si>
  <si>
    <t>ST3123</t>
  </si>
  <si>
    <t>PT99231</t>
  </si>
  <si>
    <t>SiteDesignStarted_BL</t>
  </si>
  <si>
    <t>SiteDesignStarted_AC</t>
  </si>
  <si>
    <t>t0_SiteDesignDelayBL</t>
  </si>
  <si>
    <t>SiteDesignStarted_BL(SUM)</t>
  </si>
  <si>
    <t>SiteDesignStarted_AC(SUM)</t>
  </si>
  <si>
    <t>MIN Delta from SiteDesignStarted_BL to SiteDesignStarted_AC</t>
  </si>
  <si>
    <t>MAX Delta from SiteDesignStarted_BL to SiteDesignStarted_AC</t>
  </si>
  <si>
    <t>AVG Delta from SiteDesignStarted_BL to SiteDesignStarted_AC</t>
  </si>
  <si>
    <t>MIN Time from SiteDesignStarted_BL to SiteDesignReady_BL</t>
  </si>
  <si>
    <t>MAX Time from SiteDesignStarted_BL to SiteDesignReady_BL</t>
  </si>
  <si>
    <t>AVG Time from SiteDesignStarted_BL to SiteDesignReady_BL</t>
  </si>
  <si>
    <t>MIN Time from SiteDesignStarted_AC to SiteDesignReady_AC</t>
  </si>
  <si>
    <t>MAX Time from SiteDesignStarted_AC to SiteDesignReady_AC</t>
  </si>
  <si>
    <t>AVG Time from SiteDesignStarted_AC to SiteDesignReady_AC</t>
  </si>
  <si>
    <t>SiteDesignStarted: Baseline vs Actual</t>
  </si>
  <si>
    <t>% Sites in Process</t>
  </si>
  <si>
    <t>c0_SiteDesignCostBL</t>
  </si>
  <si>
    <t>c1_SiteSurveyCostBL</t>
  </si>
  <si>
    <t>c2_SiteAcquisitionCostBL</t>
  </si>
  <si>
    <t>c3_CivilWorksCostBL</t>
  </si>
  <si>
    <t>c4_PowerInstallCostBL</t>
  </si>
  <si>
    <t>c5_TxintegrationCostBL</t>
  </si>
  <si>
    <t>c6_InstallationCostBL</t>
  </si>
  <si>
    <t>c7_IntegrationCostBL</t>
  </si>
  <si>
    <t>c8_AcceptanceCostBL</t>
  </si>
  <si>
    <t>c9_HandoverCostBL</t>
  </si>
  <si>
    <t>ID0</t>
  </si>
  <si>
    <t>Expected_Cost_Estimate</t>
  </si>
  <si>
    <t>Optimistic_Cost</t>
  </si>
  <si>
    <t>Most_Likely_Cost</t>
  </si>
  <si>
    <t>Pessimistic_Cost</t>
  </si>
  <si>
    <t>Weighting_Equation</t>
  </si>
  <si>
    <t>c3_CivilWorksCostAC</t>
  </si>
  <si>
    <t>c2_SiteAcquisitionCostAC</t>
  </si>
  <si>
    <t>c1_SiteSurveyCostAC</t>
  </si>
  <si>
    <t>c0_SiteDesignCostAC</t>
  </si>
  <si>
    <t>c5_TxintegrationCostAC</t>
  </si>
  <si>
    <t>c6_InstallationCostAC</t>
  </si>
  <si>
    <t>c7_IntegrationCostAC</t>
  </si>
  <si>
    <t>c8_AcceptanceCostAC</t>
  </si>
  <si>
    <t>c9_HandoverCostAC</t>
  </si>
  <si>
    <r>
      <t xml:space="preserve">Record Costs Below  </t>
    </r>
    <r>
      <rPr>
        <sz val="11"/>
        <color theme="0"/>
        <rFont val="Calibri"/>
        <family val="2"/>
      </rPr>
      <t>↓</t>
    </r>
  </si>
  <si>
    <t>SiteCostBL</t>
  </si>
  <si>
    <t>SiteCostAC</t>
  </si>
  <si>
    <t>c4_PowerInstallCostAC</t>
  </si>
  <si>
    <t>c0_SiteDesignCostBL(SUM)</t>
  </si>
  <si>
    <t>c0_SiteDesignCostAC(SUM)</t>
  </si>
  <si>
    <t>c1_SiteSurveyCostBL(SUM)</t>
  </si>
  <si>
    <t>c1_SiteSurveyCostAC(SUM)</t>
  </si>
  <si>
    <t>Cost Accumulates per site</t>
  </si>
  <si>
    <t>c2_SiteAcquisitionCostBL(SUM)</t>
  </si>
  <si>
    <t>c2_SiteAcquisitionCostAC(SUM)</t>
  </si>
  <si>
    <t>c3_CivilWorksCostBL(SUM)</t>
  </si>
  <si>
    <t>c3_CivilWorksCostAC(SUM)</t>
  </si>
  <si>
    <t>c4_PowerInstallCostBL(SUM)</t>
  </si>
  <si>
    <t>c4_PowerInstallCostAC(SUM)</t>
  </si>
  <si>
    <t>c6_InstallationCostBL(SUM)</t>
  </si>
  <si>
    <t>c6_InstallationCostAC(SUM)</t>
  </si>
  <si>
    <t>c7_IntegrationCostBL(SUM)</t>
  </si>
  <si>
    <t>c7_IntegrationCostAC(SUM)</t>
  </si>
  <si>
    <t>c8_AcceptanceCostBL(SUM)</t>
  </si>
  <si>
    <t>c8_AcceptanceCostAC(SUM)</t>
  </si>
  <si>
    <t>c9_HandoverCostBL2</t>
  </si>
  <si>
    <t>c9_HandoverCostBL(SUM)</t>
  </si>
  <si>
    <t>c9_HandoverCostAC(SUM)</t>
  </si>
  <si>
    <t>CPI</t>
  </si>
  <si>
    <t>Planned Value</t>
  </si>
  <si>
    <t>Actual Cost</t>
  </si>
  <si>
    <t>Earned Value</t>
  </si>
  <si>
    <t>c0_SiteDesignEV</t>
  </si>
  <si>
    <t>c0_SiteDesignEV(SUM)</t>
  </si>
  <si>
    <t>c1_SiteSurveyEV</t>
  </si>
  <si>
    <t>c1_SiteSurveyEV(SUM)</t>
  </si>
  <si>
    <t>c2_SiteAcquisitionEV</t>
  </si>
  <si>
    <t>c2_SiteAcquisitionEV(SUM)</t>
  </si>
  <si>
    <t>c3_CivilWorksEV</t>
  </si>
  <si>
    <t>c3_CivilWorksEV(SUM)</t>
  </si>
  <si>
    <t>c4_PowerInstallEV</t>
  </si>
  <si>
    <t>c4_PowerInstallEV(SUM)</t>
  </si>
  <si>
    <t>c5_TxIntegrationEV</t>
  </si>
  <si>
    <t>c5_TxIntegrationCostBL</t>
  </si>
  <si>
    <t>c5_TxIntegrationCostBL(SUM)</t>
  </si>
  <si>
    <t>c5_TxIntegrationCostAC</t>
  </si>
  <si>
    <t>c5_TxIntegrationCostAC(SUM)</t>
  </si>
  <si>
    <t>c5_TxIntegrationEV(SUM)</t>
  </si>
  <si>
    <t>c6_InstallationEV</t>
  </si>
  <si>
    <t>c6_InstallationEV(SUM)</t>
  </si>
  <si>
    <t>c7_IntegrationEV</t>
  </si>
  <si>
    <t>c7_IntegrationEV(SUM)</t>
  </si>
  <si>
    <t>c8_AcceptanceEV</t>
  </si>
  <si>
    <t>c8_AcceptanceEV(SUM)</t>
  </si>
  <si>
    <t>c9_HandoverEV</t>
  </si>
  <si>
    <t>c9_HandoverEV(SUM)</t>
  </si>
  <si>
    <t>AccumulatedEV</t>
  </si>
  <si>
    <t>AccumulatedPV</t>
  </si>
  <si>
    <t>AccumulatedAC</t>
  </si>
  <si>
    <t>SPI</t>
  </si>
  <si>
    <t>ScheduleVariance(SV)</t>
  </si>
  <si>
    <t>CostVariance(CV)</t>
  </si>
  <si>
    <t>Schedule Variance (SV) in USD</t>
  </si>
  <si>
    <t>Cost Variance (CV) in USD</t>
  </si>
  <si>
    <t>Difference between Actual Cost (AC) and Earned Value (EV) -&gt; CV = EV - AC</t>
  </si>
  <si>
    <t>If positive, work is costing less than planned</t>
  </si>
  <si>
    <t>If negative, work is costing more than planned</t>
  </si>
  <si>
    <t>At project end, EV = PV</t>
  </si>
  <si>
    <t>At project end, SV = 0</t>
  </si>
  <si>
    <t>Budget At Completion (BAC)</t>
  </si>
  <si>
    <t>SiteMilestoneName</t>
  </si>
  <si>
    <t>SiteMilestoneID</t>
  </si>
  <si>
    <t>SiteDesignStarted</t>
  </si>
  <si>
    <t>SiteDesignReady</t>
  </si>
  <si>
    <t>SiteReadyForCW</t>
  </si>
  <si>
    <t>SiteReadyForCW_BL</t>
  </si>
  <si>
    <t>SiteReadyForCW_AC</t>
  </si>
  <si>
    <t>SiteReadyForPower_BL</t>
  </si>
  <si>
    <t>SiteReadyForPower_AC</t>
  </si>
  <si>
    <t>SiteReadyForPower</t>
  </si>
  <si>
    <t>TX_Ready</t>
  </si>
  <si>
    <t>SiteReadyForInstallation</t>
  </si>
  <si>
    <t>SiteReadyForIntegration_BL</t>
  </si>
  <si>
    <t>SiteReadyForIntegration_AC</t>
  </si>
  <si>
    <t>SiteReadyForIntegration</t>
  </si>
  <si>
    <t>SiteOnAir</t>
  </si>
  <si>
    <t>SiteAccepted</t>
  </si>
  <si>
    <t>SiteInOperations</t>
  </si>
  <si>
    <t>Cost Baseline (Planned Value)</t>
  </si>
  <si>
    <t>Accumulated cost, by week.</t>
  </si>
  <si>
    <t>CurrentSiteMilestone</t>
  </si>
  <si>
    <t>Sites delivered so far (@SiteInOperations)</t>
  </si>
  <si>
    <t>By week: Finds how many sites reached the "SiteInOperations" Milestone from the summary counts</t>
  </si>
  <si>
    <t>Global: Counts how many sites have the "SiteInOperations" Milestone marked</t>
  </si>
  <si>
    <t>Total Sites with their Milestones reached on time</t>
  </si>
  <si>
    <t>Total Sites with their Milestones reached with delay</t>
  </si>
  <si>
    <t>Global: Substracts total # of sites, minus the sites delivered</t>
  </si>
  <si>
    <t>GLOBAL KPIs</t>
  </si>
  <si>
    <t>SiteDesignNotStarted</t>
  </si>
  <si>
    <t>All sites that are not SiteInOperations</t>
  </si>
  <si>
    <t>SiteReadyForInstallation_BL</t>
  </si>
  <si>
    <t>SiteReadyForInstallation_AC</t>
  </si>
  <si>
    <t>ReadyForInstallation_BL</t>
  </si>
  <si>
    <t>ReadyForInstallation_BL(SUM)</t>
  </si>
  <si>
    <t>ReadyForInstallation_AC</t>
  </si>
  <si>
    <t>ReadyForInstallation_AC(SUM)</t>
  </si>
  <si>
    <t>Total Sites In Process (all but SiteInOperations)</t>
  </si>
  <si>
    <t>Total Sites</t>
  </si>
  <si>
    <t>Global Statistics</t>
  </si>
  <si>
    <t>USED TO CALCULATE WEEKLY-FOCUSED KPIs</t>
  </si>
  <si>
    <t>Average Design Time per Site</t>
  </si>
  <si>
    <t>Days</t>
  </si>
  <si>
    <t>LLD - Design Process Tracking per site</t>
  </si>
  <si>
    <t>Requested by Engineering</t>
  </si>
  <si>
    <t>Switched from MW to Fiber TX</t>
  </si>
  <si>
    <t>Added another carrier</t>
  </si>
  <si>
    <t>Not finished</t>
  </si>
  <si>
    <t>Initial Release</t>
  </si>
  <si>
    <t>Summary of LLD - Design Process Tracking per site</t>
  </si>
  <si>
    <t>LLD_ID</t>
  </si>
  <si>
    <t>Total LLD Iterations</t>
  </si>
  <si>
    <t>LatestLLDIterationEndDate</t>
  </si>
  <si>
    <t>LatestLLD_ID</t>
  </si>
  <si>
    <t>SumLLDIterations</t>
  </si>
  <si>
    <t>LLDIterationNum</t>
  </si>
  <si>
    <t>LLDIterationEndDate</t>
  </si>
  <si>
    <t>Add one row per each Design iteration per site, record the LLDIterationNumber</t>
  </si>
  <si>
    <t>LLD_TotalDays</t>
  </si>
  <si>
    <t>Average Days per LLD</t>
  </si>
  <si>
    <t>KPIs for Design Tracking</t>
  </si>
  <si>
    <t>___ End of Weekly KPIs</t>
  </si>
  <si>
    <t>KPIs for Deployment Execution Tracking (Global)</t>
  </si>
  <si>
    <t>No. sites on-time</t>
  </si>
  <si>
    <t>%sites on-time</t>
  </si>
  <si>
    <t>No. sites behind schedule</t>
  </si>
  <si>
    <t>%sites behing schedule</t>
  </si>
  <si>
    <t>No. sites completed</t>
  </si>
  <si>
    <t>%Overall Progress</t>
  </si>
  <si>
    <t>KPIs for Transfer to Operations</t>
  </si>
  <si>
    <t>% Sites Delivered on Time</t>
  </si>
  <si>
    <t>% Sites Delivered behind schedule</t>
  </si>
  <si>
    <t>(AVG) Time from Site Accepted to Site in Operations</t>
  </si>
  <si>
    <t>DeltaDays_SiteAccepted_SiteInOperations</t>
  </si>
  <si>
    <t>(AVG) E2E Time from Site Design Ready to Site in Operations</t>
  </si>
  <si>
    <t>LLD Rework Rate</t>
  </si>
  <si>
    <t>% Sites Accepted on Time</t>
  </si>
  <si>
    <t>% Sites Accepted with Delays</t>
  </si>
  <si>
    <t>% Accuracy for Schedule Baseline</t>
  </si>
  <si>
    <t>% Accuracy for Cost Baseline</t>
  </si>
  <si>
    <t>(AVG) Time from Site Design Ready to Site Ready for CW</t>
  </si>
  <si>
    <t>(AVG) Time from Ready for CW to Ready for Power-On</t>
  </si>
  <si>
    <t>For KPI calculation</t>
  </si>
  <si>
    <t>(For KPI Calculation)</t>
  </si>
  <si>
    <t>(AVG) Time from Ready for Power-On to TX Ready</t>
  </si>
  <si>
    <t>(AVG) Time from TX Ready to Site Ready for Installation</t>
  </si>
  <si>
    <t>(AVG) Time from Site Ready for Installation to Ready for Integration</t>
  </si>
  <si>
    <t>(AVG) Time from Ready for Integration to Site on Air</t>
  </si>
  <si>
    <t>(AVG) Time from Site on Air to Site Accepted</t>
  </si>
  <si>
    <t>Planned Value Accumulated at end of Project</t>
  </si>
  <si>
    <t>TotalNumberOfSites</t>
  </si>
  <si>
    <t>Switched from SAT to MW</t>
  </si>
  <si>
    <t>Requested by Commercial</t>
  </si>
  <si>
    <t>Switched from Tower A to B</t>
  </si>
  <si>
    <t>Sites in process (@other milestones)</t>
  </si>
  <si>
    <t>Earned Value (EV) so far</t>
  </si>
  <si>
    <t>Total Planned Value (BAC)</t>
  </si>
  <si>
    <t>INPUT: WEEK FOR Week-by-week KPIs</t>
  </si>
  <si>
    <t>SiteSurveyCompleted</t>
  </si>
  <si>
    <t>SiteAcquired</t>
  </si>
  <si>
    <t>SiteAcquired_BL</t>
  </si>
  <si>
    <t>SiteAcquired_AC</t>
  </si>
  <si>
    <t>For KPI Calculation</t>
  </si>
  <si>
    <t>c2a_SiteCWReadinessCost_BL</t>
  </si>
  <si>
    <t>c2a_SiteCWReadinessCost_AC</t>
  </si>
  <si>
    <t>t2a_SiteCWReadinessBL</t>
  </si>
  <si>
    <t>SiteAcquired_BL(SUM)</t>
  </si>
  <si>
    <t>SiteAcquired_AC(SUM)</t>
  </si>
  <si>
    <t>c2a_SiteCWReadinessEV</t>
  </si>
  <si>
    <t>c2a_SiteCWReadinessEV(SUM)</t>
  </si>
  <si>
    <t>c2a_SiteCWReadinessCostBL</t>
  </si>
  <si>
    <t>c2a_SiteCWReadinessCostBL(SUM)</t>
  </si>
  <si>
    <t>c2a_SiteCWReadinessCostAC</t>
  </si>
  <si>
    <t>c2a_SiteCWReadinessCostAC(SUM)</t>
  </si>
  <si>
    <t>Actual Cost (AC)</t>
  </si>
  <si>
    <t>Planned Value (PV)</t>
  </si>
  <si>
    <t>EarnedValue (EV)</t>
  </si>
  <si>
    <t>Earned Value (EV)</t>
  </si>
  <si>
    <t>Actual Costs (AC) - Accumulated</t>
  </si>
  <si>
    <t>Earned Value (EV) - Accumulated</t>
  </si>
  <si>
    <t>Difference between Planned ValuE (PV) and Earned Value (EV) -&gt; CV = EV - PV</t>
  </si>
  <si>
    <t>If positive, work is being carried out ahead of schedule</t>
  </si>
  <si>
    <t>If negative, work is being carried out behind schedule</t>
  </si>
  <si>
    <t>Sites Delivered (SiteInOperations)</t>
  </si>
  <si>
    <t>Sites In Process (other milestones)</t>
  </si>
  <si>
    <t>SiteSurveyCompleted_BL</t>
  </si>
  <si>
    <t>SiteSurveyCompleted_AC</t>
  </si>
  <si>
    <t>Schedule Performance Indicator</t>
  </si>
  <si>
    <t>Cost Performance Indicator</t>
  </si>
  <si>
    <t>USD</t>
  </si>
  <si>
    <t>Sites Delayed vs On-Time</t>
  </si>
  <si>
    <t>SiteId</t>
  </si>
  <si>
    <t>CurMilestone</t>
  </si>
  <si>
    <t>Delay Vs Baseline</t>
  </si>
  <si>
    <t>Rank</t>
  </si>
  <si>
    <t>SiteSurveyCompleted_BL(SUM)</t>
  </si>
  <si>
    <t>SiteSurveyCompleted_AC(SUM)</t>
  </si>
  <si>
    <t>(Pending to Build Chart from KPIs)</t>
  </si>
  <si>
    <t>Estimate At Completion, based on CPI</t>
  </si>
  <si>
    <t>EAC2 (Estimate At Completion) based on CPI</t>
  </si>
  <si>
    <t>TOP OFFENDERS Schedule</t>
  </si>
  <si>
    <t>Network Design</t>
  </si>
  <si>
    <t>Site Survey</t>
  </si>
  <si>
    <t>Site Acquisition</t>
  </si>
  <si>
    <t>Site Construction</t>
  </si>
  <si>
    <t>Power Construction</t>
  </si>
  <si>
    <t>Tx</t>
  </si>
  <si>
    <t>Installation &amp; Commissioning</t>
  </si>
  <si>
    <t>Handover to Operations</t>
  </si>
  <si>
    <t>Record Dates Below  ↓</t>
  </si>
  <si>
    <t>Integration</t>
  </si>
  <si>
    <t>Site Acceptance</t>
  </si>
  <si>
    <t>Column1</t>
  </si>
  <si>
    <t>Column2</t>
  </si>
  <si>
    <t xml:space="preserve"> SiteDesignStarted_BL to SiteDesignStarted_AC</t>
  </si>
  <si>
    <t xml:space="preserve"> Site Design Ready BL to Site Design Ready AC</t>
  </si>
  <si>
    <t xml:space="preserve"> Site Ready for CW_BL to Site Ready for CW_AC</t>
  </si>
  <si>
    <t xml:space="preserve"> Ready for Power On BL to Ready for Power On AC</t>
  </si>
  <si>
    <t xml:space="preserve"> Ready for TX BL to Ready for TX AC</t>
  </si>
  <si>
    <t xml:space="preserve"> Ready for Install BL to Ready for Install AC</t>
  </si>
  <si>
    <t xml:space="preserve"> Ready for Integration BL to Ready for Integration AC</t>
  </si>
  <si>
    <t xml:space="preserve"> SiteOnAir_BL to SiteOnAir_AC</t>
  </si>
  <si>
    <t xml:space="preserve"> Site Accepted BL to Site Accepted AC</t>
  </si>
  <si>
    <t xml:space="preserve"> Site In Operations BL to Site In Operations AC</t>
  </si>
  <si>
    <t xml:space="preserve"> SiteDesignStarted_BL to SiteDesignReady_BL</t>
  </si>
  <si>
    <t xml:space="preserve"> SiteDesignStarted_AC to SiteDesignReady_AC</t>
  </si>
  <si>
    <t xml:space="preserve"> Site Design Ready to Site Ready for CW (BL)</t>
  </si>
  <si>
    <t xml:space="preserve"> Site Design Ready to Site Ready for CW (AC)</t>
  </si>
  <si>
    <t xml:space="preserve"> Ready for CW to Ready to Power-On (BL)</t>
  </si>
  <si>
    <t xml:space="preserve"> Ready for CW to Ready to Power-On (AC)</t>
  </si>
  <si>
    <t xml:space="preserve"> Ready for Power-On to TX Ready (BL)</t>
  </si>
  <si>
    <t xml:space="preserve"> Ready for Power-On to TX Ready (AC)</t>
  </si>
  <si>
    <t xml:space="preserve"> TX Ready to Site Ready for Installation (BL)</t>
  </si>
  <si>
    <t xml:space="preserve"> TX Ready to Site Ready for Installation (AC)</t>
  </si>
  <si>
    <t xml:space="preserve"> Site Ready for Installation to Ready for Integration (BL)</t>
  </si>
  <si>
    <t xml:space="preserve"> Site Ready for Installation to Ready for Integration (AC)</t>
  </si>
  <si>
    <t xml:space="preserve"> Ready for Integration to Site on Air (BL)</t>
  </si>
  <si>
    <t xml:space="preserve"> Ready for Integration to Site on Air (AC)</t>
  </si>
  <si>
    <t xml:space="preserve"> Site on Air to Site Accepted (BL)</t>
  </si>
  <si>
    <t xml:space="preserve"> Site on Air to Site Accepted (AC)</t>
  </si>
  <si>
    <t xml:space="preserve"> Site Accepted to Site in Operations (BL)</t>
  </si>
  <si>
    <t xml:space="preserve"> Site Accepted to Site in Operations (AC)</t>
  </si>
  <si>
    <t xml:space="preserve"> Site Design Ready BL to Site in Operations BL</t>
  </si>
  <si>
    <t xml:space="preserve"> Site Design Ready AC to Site in Operations AC</t>
  </si>
  <si>
    <t>E2E BL to E2E AC</t>
  </si>
  <si>
    <t>Design Started on Time</t>
  </si>
  <si>
    <t>Design Started with Delay</t>
  </si>
  <si>
    <t>Design Ready on Time</t>
  </si>
  <si>
    <t>Design Ready with Delay</t>
  </si>
  <si>
    <t>Site Surveys on Time</t>
  </si>
  <si>
    <t>Sites Surveys with Delay</t>
  </si>
  <si>
    <t>Sites Acquired on Time</t>
  </si>
  <si>
    <t>Sites Acquired with Dealy</t>
  </si>
  <si>
    <t>Sites Ready for CW on Time</t>
  </si>
  <si>
    <t>Sites Ready for CW with Delay</t>
  </si>
  <si>
    <t>Sites Ready for PWR on Time</t>
  </si>
  <si>
    <t>Sites Ready for PWR with Delay</t>
  </si>
  <si>
    <t>TX Ready on Time</t>
  </si>
  <si>
    <t>TX Ready with Delay</t>
  </si>
  <si>
    <t>Site Ready for Installation on Time</t>
  </si>
  <si>
    <t>Site Ready for Installation with Delay</t>
  </si>
  <si>
    <t>Site Ready for Integration on Time</t>
  </si>
  <si>
    <t>Site Ready for Integration with Delay</t>
  </si>
  <si>
    <t>Site on Air on Time</t>
  </si>
  <si>
    <t>Site on Air with Delay</t>
  </si>
  <si>
    <t>Site Accepted on Time</t>
  </si>
  <si>
    <t>Site Accepted with Delay</t>
  </si>
  <si>
    <t>Sites in Operations on Time</t>
  </si>
  <si>
    <t>Sites in Operations with Delay</t>
  </si>
  <si>
    <t>Delta_SiteDesignStarted_BL_SiteDesignStarted_AC</t>
  </si>
  <si>
    <t>Delta_SiteDesignReady_AC_SiteDesignReady_BL</t>
  </si>
  <si>
    <t>Delta_SiteAcquired_AC_SiteAcquired_BL</t>
  </si>
  <si>
    <t>Delta_SiRdyCW_BL_SiRdyCW_AC</t>
  </si>
  <si>
    <t>Delta_SiRdyPwr_AC_SiRdyPwr_BL</t>
  </si>
  <si>
    <t>Delta_TXRdy_AC_TXRdy_BL</t>
  </si>
  <si>
    <t>Delta_SiteReadyForInstallation_AC_SiteRdyFrInstall_BL</t>
  </si>
  <si>
    <t>Delta_SiteReadyForIntegration_AC_SiRdyInteg_BL</t>
  </si>
  <si>
    <t>Delta_SiteOnAir_AC_SiteOnAir_BL</t>
  </si>
  <si>
    <t>Delta_SiteAccepted_AC_SiAccept_BL</t>
  </si>
  <si>
    <t>Phase to Phase KPIs</t>
  </si>
  <si>
    <t>Delta_SiteInOperations_AC_SiteInOperations_BL</t>
  </si>
  <si>
    <t xml:space="preserve"> milestones on time</t>
  </si>
  <si>
    <t>milestones with a delay</t>
  </si>
  <si>
    <t>TTP= (TO+4*TML+TP)/6</t>
  </si>
  <si>
    <t>CTP= (CO+4*CML+CP)/6</t>
  </si>
  <si>
    <r>
      <t>CTP= (CO+4*CML+CP)/7</t>
    </r>
    <r>
      <rPr>
        <sz val="11"/>
        <color theme="1"/>
        <rFont val="Calibri"/>
        <family val="2"/>
        <scheme val="minor"/>
      </rPr>
      <t/>
    </r>
  </si>
  <si>
    <t>Sites Delivered</t>
  </si>
  <si>
    <t>BL TO AC KPIs</t>
  </si>
  <si>
    <t>Column3</t>
  </si>
  <si>
    <t>Delta_ReadyFor_CW_SiteDesign_Ready</t>
  </si>
  <si>
    <t>Delta_TXRdy_AC_SiteReadyForPower_AC</t>
  </si>
  <si>
    <t>Delta_SiteReadyForInstallation_AC_TXReady_AC</t>
  </si>
  <si>
    <t>Delta_SiteReadyForIntegration_AC_SiteReadyForInstallation_AC</t>
  </si>
  <si>
    <t>Delta_SiteOnAir_AC_SiteReadyForIntegration_AC</t>
  </si>
  <si>
    <t>Delta_SiteAccepted_AC_SiteOnAir_AC</t>
  </si>
  <si>
    <t>Total Number of Sites in Tracking Sheets</t>
  </si>
  <si>
    <t>Average Design Timr from Design Start to Design Ready</t>
  </si>
  <si>
    <t>Degree at which the Cost Baseline (and Budget) was close to actual costs.</t>
  </si>
  <si>
    <t>Degree at which the Schedule Baseline (Gantt Chart) was close to actual Schedule.</t>
  </si>
  <si>
    <t>Time dedicated to transfer the integrated site to operations, with the associated documentation.</t>
  </si>
  <si>
    <t>Total time dedicated for the deployment of that single site.</t>
  </si>
  <si>
    <t>Time spent in the Site Survey if it has not yet been carried out, plus last details of Site Acquisition.</t>
  </si>
  <si>
    <t>Time spent in civil works (construction) measured in days</t>
  </si>
  <si>
    <t>Time allocated for the Mains Power company to connect power to the site, or for an energy partner to implement an off-grid power solution.</t>
  </si>
  <si>
    <t>Time estimated for a TX service provider to integrate the selected transport solution (e.g. fiber, xDSL, microwave).</t>
  </si>
  <si>
    <t>Time allocated for equipment installation and basic commissioning.</t>
  </si>
  <si>
    <t>Time spent in integrating the site to the network.</t>
  </si>
  <si>
    <t>Time spent for acceptance (technical report delivery, review and approval) and potential closure of punch-list.</t>
  </si>
  <si>
    <t>Number of Sites that his current Milestones was reached according BL</t>
  </si>
  <si>
    <t>% Sites that his current Milestones was reached according BL</t>
  </si>
  <si>
    <t>Number of Sites that his current Milestones was reached with Delay</t>
  </si>
  <si>
    <t>% Sites that his current Milestones was reached with Delay</t>
  </si>
  <si>
    <t>Number of Sites that has reached "Site in Operation" Milestones</t>
  </si>
  <si>
    <t>Calculated through Earned Value Management (EVM)</t>
  </si>
  <si>
    <t>Delta_SiteSurveyCompleted_AC_SiteDesignReady_AC</t>
  </si>
  <si>
    <t>Delta_SiteAcquired_AC_SiteSurveyCompleted_AC</t>
  </si>
  <si>
    <t>For cases where the LLD has to be revised due to changes in TowerCo, transmission solution, or particular site configuration, this is considered a rework event</t>
  </si>
  <si>
    <t>Week-by-week KPIs</t>
  </si>
  <si>
    <t>Previous Task</t>
  </si>
  <si>
    <t>Current Task</t>
  </si>
  <si>
    <t>Delta_SiteReadyForPower_AC_SiteReadyForCW_AC</t>
  </si>
  <si>
    <t>Instructions</t>
  </si>
  <si>
    <t>This Worksheet is categorized in Input &amp; Output Sheets:</t>
  </si>
  <si>
    <t>Input Sheets</t>
  </si>
  <si>
    <t>Input Sheets:</t>
  </si>
  <si>
    <t>Input</t>
  </si>
  <si>
    <t>Record the required input in Cells Mared with following Format:</t>
  </si>
  <si>
    <t>Outcome will be showed in Cells with Following Format:</t>
  </si>
  <si>
    <t>Output</t>
  </si>
  <si>
    <t>Input Description is Showed in Column Header :</t>
  </si>
  <si>
    <t>Output Sheets:</t>
  </si>
  <si>
    <t>Input Description is Showed in the Column Header :</t>
  </si>
  <si>
    <t>KPI</t>
  </si>
  <si>
    <t>Baseline Cost</t>
  </si>
  <si>
    <t>BaseLine Milestones Date</t>
  </si>
  <si>
    <t>Actual Milstone Date</t>
  </si>
  <si>
    <t>The Cells in this Sheet shows information based on following Format:</t>
  </si>
  <si>
    <r>
      <t xml:space="preserve">1.      Site Design Started: </t>
    </r>
    <r>
      <rPr>
        <sz val="20"/>
        <color rgb="FF000000"/>
        <rFont val="Segoe UI"/>
        <family val="2"/>
      </rPr>
      <t>This is a site’s initial milestone, when the particular site’s characteristics and site selection have been confirmed (technical and logistical feasibility), and the network LLD and infrastructure/facility designs have been started.</t>
    </r>
  </si>
  <si>
    <r>
      <t>3.      Site Ready for CW (Civil Works)</t>
    </r>
    <r>
      <rPr>
        <sz val="20"/>
        <color rgb="FF000000"/>
        <rFont val="Segoe UI"/>
        <family val="2"/>
      </rPr>
      <t>. Once all permits, resources, teams, and tools are ready, the site enters this milestone. Now it can be visited by the construction teams or contractors to begin work.</t>
    </r>
  </si>
  <si>
    <r>
      <t xml:space="preserve">4.      Site Ready for Power On. </t>
    </r>
    <r>
      <rPr>
        <sz val="20"/>
        <color rgb="FF000000"/>
        <rFont val="Segoe UI"/>
        <family val="2"/>
      </rPr>
      <t>After the site construction or adaptations have been completed, validated and certified according to quality standards established by the project team, it is ready for power connection, or adequation of current power supply.</t>
    </r>
  </si>
  <si>
    <r>
      <t xml:space="preserve">5.      TX Ready. </t>
    </r>
    <r>
      <rPr>
        <sz val="20"/>
        <color rgb="FF000000"/>
        <rFont val="Segoe UI"/>
        <family val="2"/>
      </rPr>
      <t>This milestone is reached when the transport provider provisions the transport service whether it starts at the RAN Site or at a transport node, and its connectivity has been tested and certified.</t>
    </r>
  </si>
  <si>
    <r>
      <t xml:space="preserve">8.      Site on Air. </t>
    </r>
    <r>
      <rPr>
        <sz val="20"/>
        <color rgb="FF000000"/>
        <rFont val="Segoe UI"/>
        <family val="2"/>
      </rPr>
      <t>Once the site has been integrated to the network, and starts driving traffic, it enters this stage.</t>
    </r>
  </si>
  <si>
    <r>
      <rPr>
        <b/>
        <sz val="20"/>
        <color theme="1"/>
        <rFont val="Segoe UI"/>
        <family val="2"/>
      </rPr>
      <t>6.  </t>
    </r>
    <r>
      <rPr>
        <sz val="20"/>
        <color theme="1"/>
        <rFont val="Segoe UI"/>
        <family val="2"/>
      </rPr>
      <t xml:space="preserve">    </t>
    </r>
    <r>
      <rPr>
        <b/>
        <sz val="20"/>
        <color rgb="FF000000"/>
        <rFont val="Segoe UI"/>
        <family val="2"/>
      </rPr>
      <t xml:space="preserve">Site Ready for Installation. </t>
    </r>
    <r>
      <rPr>
        <sz val="20"/>
        <color rgb="FF000000"/>
        <rFont val="Segoe UI"/>
        <family val="2"/>
      </rPr>
      <t>Once all activities related to power on, the contract with the main power company is executed, and all Network equipment is available at the final warehouse. The installation activities can start.</t>
    </r>
  </si>
  <si>
    <r>
      <rPr>
        <b/>
        <sz val="20"/>
        <color theme="1"/>
        <rFont val="Segoe UI"/>
        <family val="2"/>
      </rPr>
      <t>3. Design Tracking</t>
    </r>
    <r>
      <rPr>
        <sz val="20"/>
        <color theme="1"/>
        <rFont val="Segoe UI"/>
        <family val="2"/>
      </rPr>
      <t xml:space="preserve"> - Use it to Record Sites Designs Progress, Iterations and Changes.</t>
    </r>
  </si>
  <si>
    <r>
      <rPr>
        <b/>
        <sz val="20"/>
        <color theme="1"/>
        <rFont val="Segoe UI"/>
        <family val="2"/>
      </rPr>
      <t>4. Design Tracking Summary</t>
    </r>
    <r>
      <rPr>
        <sz val="20"/>
        <color theme="1"/>
        <rFont val="Segoe UI"/>
        <family val="2"/>
      </rPr>
      <t xml:space="preserve"> - Use it to Review  Sites Designs Progress. Shows the Required Iterations to finish the design, completion date of last Iteration, Total Days Required to finish all teh Iterations</t>
    </r>
  </si>
  <si>
    <r>
      <rPr>
        <b/>
        <sz val="20"/>
        <color theme="1"/>
        <rFont val="Segoe UI"/>
        <family val="2"/>
      </rPr>
      <t>5. Site Tracking Sheet</t>
    </r>
    <r>
      <rPr>
        <sz val="20"/>
        <color theme="1"/>
        <rFont val="Segoe UI"/>
        <family val="2"/>
      </rPr>
      <t xml:space="preserve"> - Used to Analyze the Deployment Progress and Performance based on Milestones, It shows planned dates of each Site Milestone , record actual completion dates and review the progress of all Sites.Also shows the Cost Baseline of all Sites and allows to record the Actual Cost </t>
    </r>
  </si>
  <si>
    <r>
      <rPr>
        <b/>
        <sz val="20"/>
        <color theme="1"/>
        <rFont val="Segoe UI"/>
        <family val="2"/>
      </rPr>
      <t>1. Duration Estimating</t>
    </r>
    <r>
      <rPr>
        <sz val="20"/>
        <color theme="1"/>
        <rFont val="Segoe UI"/>
        <family val="2"/>
      </rPr>
      <t xml:space="preserve"> - Use three different Techniques to Forecast duration of a Task.</t>
    </r>
  </si>
  <si>
    <r>
      <rPr>
        <b/>
        <sz val="20"/>
        <color theme="1"/>
        <rFont val="Segoe UI"/>
        <family val="2"/>
      </rPr>
      <t>1.1 Parametric Estimating:</t>
    </r>
    <r>
      <rPr>
        <sz val="20"/>
        <color theme="1"/>
        <rFont val="Segoe UI"/>
        <family val="2"/>
      </rPr>
      <t xml:space="preserve"> Uses an algorithm to calculate cost or duration based on historical data and project parameters (e.g. weight, distance, volume). It uses a statistical relationship between historical data and other variables (e.g. number of sites, kilometers of fiber) to calculate and estimate for activity parameters.</t>
    </r>
  </si>
  <si>
    <r>
      <rPr>
        <b/>
        <sz val="20"/>
        <color theme="1"/>
        <rFont val="Segoe UI"/>
        <family val="2"/>
      </rPr>
      <t>1.2 Analogous Estimating:</t>
    </r>
    <r>
      <rPr>
        <sz val="20"/>
        <color theme="1"/>
        <rFont val="Segoe UI"/>
        <family val="2"/>
      </rPr>
      <t xml:space="preserve"> Estimate duration or cost using historical data from a similar activity or project. It is a gross value estimating approach, sometimes adjusted for known differences in project complexity.</t>
    </r>
  </si>
  <si>
    <r>
      <rPr>
        <b/>
        <sz val="20"/>
        <color theme="1"/>
        <rFont val="Segoe UI"/>
        <family val="2"/>
      </rPr>
      <t>1.3 Three-Point Estimating.</t>
    </r>
    <r>
      <rPr>
        <sz val="20"/>
        <color theme="1"/>
        <rFont val="Segoe UI"/>
        <family val="2"/>
      </rPr>
      <t xml:space="preserve"> A step deeper than Parametric Estimating. Increases the accuracy of single-point estimates by considering estimation uncertainty and risk.</t>
    </r>
  </si>
  <si>
    <t>Calculated with Three Point Estimate</t>
  </si>
  <si>
    <t>Milestones:</t>
  </si>
  <si>
    <t>All sheets have relations and references between them, as a Deployment Project, is expected to firstly forecast the Duration and Cost using Duration Estimating and Cost Estimating Sheets.</t>
  </si>
  <si>
    <r>
      <rPr>
        <b/>
        <sz val="20"/>
        <color theme="1"/>
        <rFont val="Segoe UI"/>
        <family val="2"/>
      </rPr>
      <t>2. Cost Estimating</t>
    </r>
    <r>
      <rPr>
        <sz val="20"/>
        <color theme="1"/>
        <rFont val="Segoe UI"/>
        <family val="2"/>
      </rPr>
      <t xml:space="preserve"> - Use same Techniques as Duration Estimating but now used to forecast Task Cost with Three Point Estimates, or Calculate Precisely Task Cost with Parametric Estimate. </t>
    </r>
  </si>
  <si>
    <r>
      <t xml:space="preserve">It shows </t>
    </r>
    <r>
      <rPr>
        <b/>
        <sz val="20"/>
        <color rgb="FF000000"/>
        <rFont val="Segoe UI"/>
        <family val="2"/>
      </rPr>
      <t>Actual</t>
    </r>
    <r>
      <rPr>
        <sz val="20"/>
        <color rgb="FF000000"/>
        <rFont val="Segoe UI"/>
        <family val="2"/>
      </rPr>
      <t xml:space="preserve"> number of sites that  Reach respective Milestone</t>
    </r>
  </si>
  <si>
    <r>
      <t>It shows the</t>
    </r>
    <r>
      <rPr>
        <b/>
        <sz val="20"/>
        <color rgb="FF000000"/>
        <rFont val="Segoe UI"/>
        <family val="2"/>
      </rPr>
      <t xml:space="preserve"> Accumulated planned</t>
    </r>
    <r>
      <rPr>
        <sz val="20"/>
        <color rgb="FF000000"/>
        <rFont val="Segoe UI"/>
        <family val="2"/>
      </rPr>
      <t xml:space="preserve"> number of sites of previous weeks</t>
    </r>
  </si>
  <si>
    <r>
      <t xml:space="preserve">It shows the </t>
    </r>
    <r>
      <rPr>
        <b/>
        <sz val="20"/>
        <color rgb="FF000000"/>
        <rFont val="Segoe UI"/>
        <family val="2"/>
      </rPr>
      <t>Accumulated Actual</t>
    </r>
    <r>
      <rPr>
        <sz val="20"/>
        <color rgb="FF000000"/>
        <rFont val="Segoe UI"/>
        <family val="2"/>
      </rPr>
      <t xml:space="preserve"> number of sites of previous weeks</t>
    </r>
  </si>
  <si>
    <t>It shows the Earned Value (EV) of specific week</t>
  </si>
  <si>
    <r>
      <t xml:space="preserve">It shows the </t>
    </r>
    <r>
      <rPr>
        <b/>
        <sz val="20"/>
        <color rgb="FF000000"/>
        <rFont val="Segoe UI"/>
        <family val="2"/>
      </rPr>
      <t>baseline cost</t>
    </r>
    <r>
      <rPr>
        <sz val="20"/>
        <color rgb="FF000000"/>
        <rFont val="Segoe UI"/>
        <family val="2"/>
      </rPr>
      <t xml:space="preserve"> of respective milestone in specific week</t>
    </r>
  </si>
  <si>
    <r>
      <t xml:space="preserve">It shows the </t>
    </r>
    <r>
      <rPr>
        <b/>
        <sz val="20"/>
        <color rgb="FF000000"/>
        <rFont val="Segoe UI"/>
        <family val="2"/>
      </rPr>
      <t>Accumulated</t>
    </r>
    <r>
      <rPr>
        <sz val="20"/>
        <color rgb="FF000000"/>
        <rFont val="Segoe UI"/>
        <family val="2"/>
      </rPr>
      <t xml:space="preserve"> baseline cost of previous weeks</t>
    </r>
  </si>
  <si>
    <r>
      <t xml:space="preserve">It shows the </t>
    </r>
    <r>
      <rPr>
        <b/>
        <sz val="20"/>
        <color rgb="FF000000"/>
        <rFont val="Segoe UI"/>
        <family val="2"/>
      </rPr>
      <t>Actual Cost</t>
    </r>
    <r>
      <rPr>
        <sz val="20"/>
        <color rgb="FF000000"/>
        <rFont val="Segoe UI"/>
        <family val="2"/>
      </rPr>
      <t xml:space="preserve"> of each Site in respective Milestone for  specific week</t>
    </r>
  </si>
  <si>
    <r>
      <t xml:space="preserve">It showsthe </t>
    </r>
    <r>
      <rPr>
        <b/>
        <sz val="20"/>
        <color rgb="FF000000"/>
        <rFont val="Segoe UI"/>
        <family val="2"/>
      </rPr>
      <t>Accumulated Actual Cos</t>
    </r>
    <r>
      <rPr>
        <sz val="20"/>
        <color rgb="FF000000"/>
        <rFont val="Segoe UI"/>
        <family val="2"/>
      </rPr>
      <t>t of each Site in respective Milestone for previous weeks</t>
    </r>
  </si>
  <si>
    <r>
      <t>It shows the</t>
    </r>
    <r>
      <rPr>
        <b/>
        <sz val="20"/>
        <color rgb="FF000000"/>
        <rFont val="Segoe UI"/>
        <family val="2"/>
      </rPr>
      <t xml:space="preserve"> Accumulated</t>
    </r>
    <r>
      <rPr>
        <sz val="20"/>
        <color rgb="FF000000"/>
        <rFont val="Segoe UI"/>
        <family val="2"/>
      </rPr>
      <t xml:space="preserve"> Earned Value (EV) of previous weeks</t>
    </r>
  </si>
  <si>
    <t>Milestone_BL</t>
  </si>
  <si>
    <t>Milestone_BL(SUM)</t>
  </si>
  <si>
    <t>Milestone_AC</t>
  </si>
  <si>
    <t>Milestone_AC(SUM)</t>
  </si>
  <si>
    <t>Milestone EV</t>
  </si>
  <si>
    <t>MilestoneEV(SUM)</t>
  </si>
  <si>
    <t>MilestoneCostBL</t>
  </si>
  <si>
    <t>MilestoneCostBL(SUM)</t>
  </si>
  <si>
    <t>MilestoneCostAC</t>
  </si>
  <si>
    <t>MilestonetAC(SUM)</t>
  </si>
  <si>
    <r>
      <t xml:space="preserve">Record Costs Below  </t>
    </r>
    <r>
      <rPr>
        <sz val="20"/>
        <color theme="0"/>
        <rFont val="Calibri"/>
        <family val="2"/>
        <scheme val="minor"/>
      </rPr>
      <t>↓</t>
    </r>
  </si>
  <si>
    <r>
      <t xml:space="preserve">It shows </t>
    </r>
    <r>
      <rPr>
        <b/>
        <sz val="20"/>
        <color rgb="FF000000"/>
        <rFont val="Segoe UI"/>
        <family val="2"/>
      </rPr>
      <t>planned</t>
    </r>
    <r>
      <rPr>
        <sz val="20"/>
        <color rgb="FF000000"/>
        <rFont val="Segoe UI"/>
        <family val="2"/>
      </rPr>
      <t xml:space="preserve"> number of sites that must Reach each Milestone by week</t>
    </r>
  </si>
  <si>
    <r>
      <rPr>
        <b/>
        <sz val="20"/>
        <color theme="1"/>
        <rFont val="Segoe UI"/>
        <family val="2"/>
      </rPr>
      <t>6. Summary Tracking Sheet</t>
    </r>
    <r>
      <rPr>
        <sz val="20"/>
        <color theme="1"/>
        <rFont val="Segoe UI"/>
        <family val="2"/>
      </rPr>
      <t xml:space="preserve"> - Used to Review and Track Each Milestone Week By Week</t>
    </r>
  </si>
  <si>
    <t>Output  Sheets</t>
  </si>
  <si>
    <t>. Each “S-curve” represents the planned (baseline) or observed (actual) progress for each milestone. Once sites pass each milestone, they move to the next one, thus starting to contribute to the “S-Curve” of that next Milestone.</t>
  </si>
  <si>
    <t>. The distance between the starting point of each “S-Curve” and another, is the Activity Duration of the task involved in shifting the site from one Milestone to the next one. The farther apart one S-Curve is to another, the longer is the associated task.</t>
  </si>
  <si>
    <r>
      <t>Earned Value (EV).</t>
    </r>
    <r>
      <rPr>
        <sz val="20"/>
        <color rgb="FF000000"/>
        <rFont val="Segoe UI"/>
        <family val="2"/>
      </rPr>
      <t xml:space="preserve"> Defined as the monetary value of the work achieved so far by the project.</t>
    </r>
  </si>
  <si>
    <r>
      <t xml:space="preserve">Planned Value (PV). </t>
    </r>
    <r>
      <rPr>
        <sz val="20"/>
        <color rgb="FF000000"/>
        <rFont val="Segoe UI"/>
        <family val="2"/>
      </rPr>
      <t>Defined as the monetary value of the work planned to have been delivered by the project in a moment in time.</t>
    </r>
  </si>
  <si>
    <r>
      <rPr>
        <b/>
        <sz val="20"/>
        <color rgb="FF000000"/>
        <rFont val="Segoe UI"/>
        <family val="2"/>
      </rPr>
      <t>Actual Cost (AC)</t>
    </r>
    <r>
      <rPr>
        <sz val="20"/>
        <color rgb="FF000000"/>
        <rFont val="Segoe UI"/>
        <family val="2"/>
      </rPr>
      <t>. Defined as the accumulated costs incurred to deliver the work carried out by the project so far.</t>
    </r>
  </si>
  <si>
    <r>
      <rPr>
        <b/>
        <sz val="20"/>
        <color theme="1"/>
        <rFont val="Segoe UI"/>
        <family val="2"/>
      </rPr>
      <t>Cost Variance (CV).</t>
    </r>
    <r>
      <rPr>
        <sz val="20"/>
        <color theme="1"/>
        <rFont val="Segoe UI"/>
        <family val="2"/>
      </rPr>
      <t xml:space="preserve"> Defined as the difference between the Earned Value (EV) minus the Actual Costs (AC)</t>
    </r>
  </si>
  <si>
    <r>
      <rPr>
        <b/>
        <sz val="20"/>
        <color rgb="FF000000"/>
        <rFont val="Segoe UI"/>
        <family val="2"/>
      </rPr>
      <t>Schedule Variance (SV)</t>
    </r>
    <r>
      <rPr>
        <sz val="20"/>
        <color rgb="FF000000"/>
        <rFont val="Segoe UI"/>
        <family val="2"/>
      </rPr>
      <t>. Defined as the difference between the Earned Value (EV) minus the Planned Value (PV)</t>
    </r>
  </si>
  <si>
    <t>Considerations:</t>
  </si>
  <si>
    <r>
      <t xml:space="preserve">Cost &amp; Variance Visuals : </t>
    </r>
    <r>
      <rPr>
        <sz val="20"/>
        <color rgb="FF000000"/>
        <rFont val="Segoe UI"/>
        <family val="2"/>
      </rPr>
      <t>Shows Visual project progress, and compare it against the  Cost Baseline based on following Concepts:</t>
    </r>
  </si>
  <si>
    <r>
      <t>Schedule Visuals :</t>
    </r>
    <r>
      <rPr>
        <sz val="20"/>
        <color rgb="FF000000"/>
        <rFont val="Segoe UI"/>
        <family val="2"/>
      </rPr>
      <t>Shows track performance through visual interpretation with S-Curve charts, in order to quantitatively forecast future project performance.</t>
    </r>
  </si>
  <si>
    <t>Percentage of  sites that has reached Site Acceptance Milestone after planned dates.</t>
  </si>
  <si>
    <t>Percentage of  sites that has reached Delivered to Operations  Milestone in the Planned after planned date.</t>
  </si>
  <si>
    <t>Percentage of  sites that has reached Delivered to Operations  Milestone in the Planned Dates or before.</t>
  </si>
  <si>
    <t>Percentage of  sites that has reached Site Acceptance  Milestone in the Planned Dates or before.</t>
  </si>
  <si>
    <t>Percentage of total sites that reached Handover to operation Milestone at week 40</t>
  </si>
  <si>
    <t xml:space="preserve">Percentage of total Sites that has not reached teh final Milestone </t>
  </si>
  <si>
    <r>
      <t xml:space="preserve">Deployment KPIs: </t>
    </r>
    <r>
      <rPr>
        <sz val="16"/>
        <color theme="1"/>
        <rFont val="Segoe UI"/>
        <family val="2"/>
      </rPr>
      <t>Key Performace Indicators Organized by Deployment Phases,  Analyze the Dates and Cost Obtained from the Site Tracking Sheet , Remarks shows additional Information of each KPI:</t>
    </r>
  </si>
  <si>
    <r>
      <t xml:space="preserve">Dashboard: </t>
    </r>
    <r>
      <rPr>
        <sz val="20"/>
        <color rgb="FF000000"/>
        <rFont val="Segoe UI"/>
        <family val="2"/>
      </rPr>
      <t>Graphic Representations of KPI's Process Useful Information based on Deployment KPIs and Shows Critical Sites that have the highest Delay in their respective current Milestone.</t>
    </r>
  </si>
  <si>
    <r>
      <t xml:space="preserve">2.      Site Design Ready: </t>
    </r>
    <r>
      <rPr>
        <sz val="20"/>
        <color rgb="FF000000"/>
        <rFont val="Segoe UI"/>
        <family val="2"/>
      </rPr>
      <t xml:space="preserve">A given site reaches this milestone once its LLD is finished, including its Radio Network Design (RND), and Infrastructure/Facility Design has been completed, validated and approved.
                                      Next stage is to obtain all necessary permits and </t>
    </r>
    <r>
      <rPr>
        <sz val="20"/>
        <color theme="1"/>
        <rFont val="Segoe UI"/>
        <family val="2"/>
      </rPr>
      <t>prepare</t>
    </r>
    <r>
      <rPr>
        <sz val="20"/>
        <color rgb="FF000000"/>
        <rFont val="Segoe UI"/>
        <family val="2"/>
      </rPr>
      <t xml:space="preserve"> all necessary materials, resources and tools.</t>
    </r>
  </si>
  <si>
    <r>
      <t xml:space="preserve">7.      Site Ready for Integration. </t>
    </r>
    <r>
      <rPr>
        <sz val="20"/>
        <color rgb="FF000000"/>
        <rFont val="Segoe UI"/>
        <family val="2"/>
      </rPr>
      <t>Once the site is powered on, the TX connectivity is ready, and the equipment has been installed and configured on-site, the Network Integration can start;
                                                           afterwards, the Acceptance Test Protocols are executed as agreed with the NaaS Operator. If there are any faults detected during this stage, they must be corrected before qualifying to the next milestone.</t>
    </r>
  </si>
  <si>
    <t>&lt;</t>
  </si>
  <si>
    <t>Earned Value accumulated at end of Required week</t>
  </si>
  <si>
    <t>Number of  sites Delivered to operations in Required Week</t>
  </si>
  <si>
    <t>Percentage of Total sites Delivered to operations in Required Week</t>
  </si>
  <si>
    <t>Actual Percentage of sites Delivered in Required Week</t>
  </si>
  <si>
    <t>Actual Cost Calculated as the Required Week</t>
  </si>
  <si>
    <t>Baseline Value at Required Week</t>
  </si>
  <si>
    <t>Schedule Variance at the required Week</t>
  </si>
  <si>
    <t>Cost Variance at the required Week</t>
  </si>
  <si>
    <t>Forecast cost at completion according to CPI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</si>
</sst>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44" formatCode="_(&quot;$&quot;* #,##0.00_);_(&quot;$&quot;* \(#,##0.00\);_(&quot;$&quot;* &quot;-&quot;??_);_(@_)"/>
    <numFmt numFmtId="43" formatCode="_(* #,##0.00_);_(* \(#,##0.00\);_(* &quot;-&quot;??_);_(@_)"/>
    <numFmt numFmtId="164" formatCode="_(* #,##0_);_(* \(#,##0\);_(* &quot;-&quot;??_);_(@_)"/>
    <numFmt numFmtId="165" formatCode="_(&quot;$&quot;* #,##0_);_(&quot;$&quot;* \(#,##0\);_(&quot;$&quot;* &quot;-&quot;??_);_(@_)"/>
    <numFmt numFmtId="166" formatCode="0.0"/>
    <numFmt numFmtId="167" formatCode="0;\-0;\-;@"/>
    <numFmt numFmtId="168" formatCode="0.000"/>
    <numFmt numFmtId="169" formatCode="0.0%"/>
  </numFmts>
  <fonts count="38" x14ac:knownFonts="1">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b/>
      <sz val="12"/>
      <color theme="0"/>
      <name val="Calibri"/>
      <family val="2"/>
      <scheme val="minor"/>
    </font>
    <font>
      <b/>
      <sz val="14"/>
      <color theme="0"/>
      <name val="Calibri"/>
      <family val="2"/>
      <scheme val="minor"/>
    </font>
    <font>
      <b/>
      <sz val="16"/>
      <color theme="0"/>
      <name val="Calibri"/>
      <family val="2"/>
      <scheme val="minor"/>
    </font>
    <font>
      <b/>
      <sz val="11"/>
      <name val="Calibri"/>
      <family val="2"/>
      <scheme val="minor"/>
    </font>
    <font>
      <sz val="8"/>
      <name val="Calibri"/>
      <family val="2"/>
      <scheme val="minor"/>
    </font>
    <font>
      <sz val="11"/>
      <color theme="0"/>
      <name val="Calibri"/>
      <family val="2"/>
      <scheme val="minor"/>
    </font>
    <font>
      <b/>
      <sz val="16"/>
      <color theme="1"/>
      <name val="Calibri"/>
      <family val="2"/>
      <scheme val="minor"/>
    </font>
    <font>
      <sz val="11"/>
      <color theme="0"/>
      <name val="Calibri"/>
      <family val="2"/>
    </font>
    <font>
      <sz val="11"/>
      <color rgb="FFFF0000"/>
      <name val="Calibri"/>
      <family val="2"/>
      <scheme val="minor"/>
    </font>
    <font>
      <sz val="9"/>
      <color indexed="81"/>
      <name val="Tahoma"/>
      <family val="2"/>
    </font>
    <font>
      <b/>
      <sz val="9"/>
      <color indexed="81"/>
      <name val="Tahoma"/>
      <family val="2"/>
    </font>
    <font>
      <b/>
      <sz val="16"/>
      <name val="Calibri"/>
      <family val="2"/>
      <scheme val="minor"/>
    </font>
    <font>
      <b/>
      <sz val="12"/>
      <name val="Calibri"/>
      <family val="2"/>
      <scheme val="minor"/>
    </font>
    <font>
      <sz val="11"/>
      <name val="Calibri"/>
      <family val="2"/>
      <scheme val="minor"/>
    </font>
    <font>
      <b/>
      <sz val="11"/>
      <color rgb="FF3F3F3F"/>
      <name val="Calibri"/>
      <family val="2"/>
      <scheme val="minor"/>
    </font>
    <font>
      <b/>
      <sz val="26"/>
      <color theme="0"/>
      <name val="Calibri"/>
      <family val="2"/>
      <scheme val="minor"/>
    </font>
    <font>
      <sz val="11"/>
      <color rgb="FF3F3F76"/>
      <name val="Calibri"/>
      <family val="2"/>
      <scheme val="minor"/>
    </font>
    <font>
      <b/>
      <sz val="11"/>
      <color rgb="FFFA7D00"/>
      <name val="Calibri"/>
      <family val="2"/>
      <scheme val="minor"/>
    </font>
    <font>
      <b/>
      <sz val="9"/>
      <color indexed="81"/>
      <name val="Tahoma"/>
      <charset val="1"/>
    </font>
    <font>
      <b/>
      <sz val="8"/>
      <color indexed="81"/>
      <name val="Tahoma"/>
      <family val="2"/>
    </font>
    <font>
      <sz val="12"/>
      <color rgb="FF000000"/>
      <name val="Calibri"/>
      <family val="2"/>
    </font>
    <font>
      <sz val="16"/>
      <color theme="1"/>
      <name val="Segoe UI"/>
      <family val="2"/>
    </font>
    <font>
      <b/>
      <sz val="16"/>
      <color theme="1"/>
      <name val="Segoe UI"/>
      <family val="2"/>
    </font>
    <font>
      <b/>
      <sz val="20"/>
      <color theme="0"/>
      <name val="Calibri"/>
      <family val="2"/>
      <scheme val="minor"/>
    </font>
    <font>
      <b/>
      <sz val="20"/>
      <color rgb="FF000000"/>
      <name val="Segoe UI"/>
      <family val="2"/>
    </font>
    <font>
      <sz val="20"/>
      <color rgb="FF000000"/>
      <name val="Segoe UI"/>
      <family val="2"/>
    </font>
    <font>
      <sz val="20"/>
      <color theme="1"/>
      <name val="Segoe UI"/>
      <family val="2"/>
    </font>
    <font>
      <b/>
      <sz val="20"/>
      <color theme="1"/>
      <name val="Segoe UI"/>
      <family val="2"/>
    </font>
    <font>
      <b/>
      <sz val="20"/>
      <color theme="3"/>
      <name val="Segoe UI"/>
      <family val="2"/>
    </font>
    <font>
      <b/>
      <sz val="20"/>
      <color rgb="FF3F3F3F"/>
      <name val="Segoe UI"/>
      <family val="2"/>
    </font>
    <font>
      <b/>
      <sz val="36"/>
      <color theme="3"/>
      <name val="Segoe UI"/>
      <family val="2"/>
    </font>
    <font>
      <sz val="20"/>
      <color theme="0"/>
      <name val="Calibri"/>
      <family val="2"/>
      <scheme val="minor"/>
    </font>
    <font>
      <b/>
      <sz val="48"/>
      <color theme="3"/>
      <name val="Segoe UI"/>
      <family val="2"/>
    </font>
    <font>
      <sz val="16"/>
      <color theme="1"/>
      <name val="Symbol"/>
      <family val="1"/>
      <charset val="2"/>
    </font>
  </fonts>
  <fills count="34">
    <fill>
      <patternFill patternType="none"/>
    </fill>
    <fill>
      <patternFill patternType="gray125"/>
    </fill>
    <fill>
      <patternFill patternType="solid">
        <fgColor rgb="FF0070C0"/>
        <bgColor indexed="64"/>
      </patternFill>
    </fill>
    <fill>
      <patternFill patternType="solid">
        <fgColor rgb="FFFFFF00"/>
        <bgColor indexed="64"/>
      </patternFill>
    </fill>
    <fill>
      <patternFill patternType="solid">
        <fgColor theme="4"/>
        <bgColor theme="4"/>
      </patternFill>
    </fill>
    <fill>
      <patternFill patternType="solid">
        <fgColor rgb="FF00B050"/>
        <bgColor indexed="64"/>
      </patternFill>
    </fill>
    <fill>
      <patternFill patternType="solid">
        <fgColor theme="7" tint="-0.249977111117893"/>
        <bgColor indexed="64"/>
      </patternFill>
    </fill>
    <fill>
      <patternFill patternType="solid">
        <fgColor theme="9" tint="-0.249977111117893"/>
        <bgColor indexed="64"/>
      </patternFill>
    </fill>
    <fill>
      <patternFill patternType="solid">
        <fgColor theme="5" tint="-0.249977111117893"/>
        <bgColor indexed="64"/>
      </patternFill>
    </fill>
    <fill>
      <patternFill patternType="solid">
        <fgColor rgb="FFFF0000"/>
        <bgColor indexed="64"/>
      </patternFill>
    </fill>
    <fill>
      <patternFill patternType="solid">
        <fgColor rgb="FF00B0F0"/>
        <bgColor indexed="64"/>
      </patternFill>
    </fill>
    <fill>
      <patternFill patternType="solid">
        <fgColor theme="1" tint="0.34998626667073579"/>
        <bgColor indexed="64"/>
      </patternFill>
    </fill>
    <fill>
      <patternFill patternType="solid">
        <fgColor rgb="FF7030A0"/>
        <bgColor theme="4"/>
      </patternFill>
    </fill>
    <fill>
      <patternFill patternType="solid">
        <fgColor rgb="FF7030A0"/>
        <bgColor indexed="64"/>
      </patternFill>
    </fill>
    <fill>
      <patternFill patternType="solid">
        <fgColor rgb="FF002060"/>
        <bgColor indexed="64"/>
      </patternFill>
    </fill>
    <fill>
      <patternFill patternType="solid">
        <fgColor rgb="FFF2F2F2"/>
      </patternFill>
    </fill>
    <fill>
      <patternFill patternType="solid">
        <fgColor rgb="FFCCFF99"/>
        <bgColor indexed="64"/>
      </patternFill>
    </fill>
    <fill>
      <patternFill patternType="solid">
        <fgColor rgb="FF0070C0"/>
        <bgColor theme="4"/>
      </patternFill>
    </fill>
    <fill>
      <patternFill patternType="solid">
        <fgColor theme="8" tint="-0.499984740745262"/>
        <bgColor indexed="64"/>
      </patternFill>
    </fill>
    <fill>
      <patternFill patternType="solid">
        <fgColor theme="8" tint="-0.249977111117893"/>
        <bgColor indexed="64"/>
      </patternFill>
    </fill>
    <fill>
      <patternFill patternType="solid">
        <fgColor theme="4" tint="-0.499984740745262"/>
        <bgColor indexed="64"/>
      </patternFill>
    </fill>
    <fill>
      <patternFill patternType="solid">
        <fgColor theme="4" tint="-0.249977111117893"/>
        <bgColor indexed="64"/>
      </patternFill>
    </fill>
    <fill>
      <patternFill patternType="solid">
        <fgColor theme="4" tint="0.39997558519241921"/>
        <bgColor indexed="64"/>
      </patternFill>
    </fill>
    <fill>
      <patternFill patternType="solid">
        <fgColor theme="8" tint="0.39997558519241921"/>
        <bgColor indexed="64"/>
      </patternFill>
    </fill>
    <fill>
      <patternFill patternType="solid">
        <fgColor theme="4" tint="0.59999389629810485"/>
        <bgColor indexed="64"/>
      </patternFill>
    </fill>
    <fill>
      <patternFill patternType="solid">
        <fgColor theme="8" tint="0.59999389629810485"/>
        <bgColor indexed="64"/>
      </patternFill>
    </fill>
    <fill>
      <patternFill patternType="solid">
        <fgColor rgb="FFFFCC99"/>
      </patternFill>
    </fill>
    <fill>
      <patternFill patternType="solid">
        <fgColor rgb="FFA5A5A5"/>
      </patternFill>
    </fill>
    <fill>
      <patternFill patternType="solid">
        <fgColor theme="4" tint="0.79998168889431442"/>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0"/>
        <bgColor indexed="64"/>
      </patternFill>
    </fill>
    <fill>
      <patternFill patternType="solid">
        <fgColor theme="4" tint="0.79998168889431442"/>
        <bgColor indexed="64"/>
      </patternFill>
    </fill>
    <fill>
      <patternFill patternType="solid">
        <fgColor rgb="FF00B050"/>
        <bgColor theme="4"/>
      </patternFill>
    </fill>
  </fills>
  <borders count="28">
    <border>
      <left/>
      <right/>
      <top/>
      <bottom/>
      <diagonal/>
    </border>
    <border>
      <left/>
      <right/>
      <top style="medium">
        <color indexed="64"/>
      </top>
      <bottom style="medium">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style="medium">
        <color indexed="64"/>
      </bottom>
      <diagonal/>
    </border>
    <border>
      <left/>
      <right/>
      <top style="thin">
        <color theme="4" tint="0.39997558519241921"/>
      </top>
      <bottom style="thin">
        <color theme="4" tint="0.39997558519241921"/>
      </bottom>
      <diagonal/>
    </border>
    <border>
      <left style="thin">
        <color rgb="FF3F3F3F"/>
      </left>
      <right style="thin">
        <color rgb="FF3F3F3F"/>
      </right>
      <top style="thin">
        <color rgb="FF3F3F3F"/>
      </top>
      <bottom style="thin">
        <color rgb="FF3F3F3F"/>
      </bottom>
      <diagonal/>
    </border>
    <border>
      <left/>
      <right/>
      <top/>
      <bottom style="thin">
        <color theme="4" tint="0.39997558519241921"/>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thin">
        <color indexed="64"/>
      </left>
      <right/>
      <top style="medium">
        <color indexed="64"/>
      </top>
      <bottom/>
      <diagonal/>
    </border>
    <border>
      <left/>
      <right style="thin">
        <color indexed="64"/>
      </right>
      <top style="medium">
        <color indexed="64"/>
      </top>
      <bottom/>
      <diagonal/>
    </border>
    <border>
      <left style="medium">
        <color indexed="64"/>
      </left>
      <right style="medium">
        <color indexed="64"/>
      </right>
      <top style="medium">
        <color indexed="64"/>
      </top>
      <bottom style="medium">
        <color indexed="64"/>
      </bottom>
      <diagonal/>
    </border>
  </borders>
  <cellStyleXfs count="11">
    <xf numFmtId="0" fontId="0" fillId="0" borderId="0"/>
    <xf numFmtId="44" fontId="1" fillId="0" borderId="0" applyFont="0" applyFill="0" applyBorder="0" applyAlignment="0" applyProtection="0"/>
    <xf numFmtId="9" fontId="1" fillId="0" borderId="0" applyFont="0" applyFill="0" applyBorder="0" applyAlignment="0" applyProtection="0"/>
    <xf numFmtId="0" fontId="18" fillId="15" borderId="16" applyNumberFormat="0" applyAlignment="0" applyProtection="0"/>
    <xf numFmtId="0" fontId="20" fillId="26" borderId="23" applyNumberFormat="0" applyAlignment="0" applyProtection="0"/>
    <xf numFmtId="0" fontId="21" fillId="15" borderId="23" applyNumberFormat="0" applyAlignment="0" applyProtection="0"/>
    <xf numFmtId="0" fontId="2" fillId="27" borderId="24" applyNumberFormat="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24" fillId="0" borderId="0"/>
  </cellStyleXfs>
  <cellXfs count="256">
    <xf numFmtId="0" fontId="0" fillId="0" borderId="0" xfId="0"/>
    <xf numFmtId="0" fontId="3" fillId="0" borderId="0" xfId="0" applyFont="1"/>
    <xf numFmtId="0" fontId="0" fillId="0" borderId="4" xfId="0" applyBorder="1"/>
    <xf numFmtId="0" fontId="0" fillId="0" borderId="0" xfId="0" applyAlignment="1">
      <alignment wrapText="1"/>
    </xf>
    <xf numFmtId="0" fontId="0" fillId="0" borderId="0" xfId="0" applyBorder="1"/>
    <xf numFmtId="0" fontId="0" fillId="0" borderId="5" xfId="0" applyBorder="1"/>
    <xf numFmtId="0" fontId="0" fillId="0" borderId="11" xfId="0" applyBorder="1"/>
    <xf numFmtId="0" fontId="0" fillId="0" borderId="13" xfId="0" applyBorder="1"/>
    <xf numFmtId="0" fontId="0" fillId="0" borderId="2" xfId="0" applyBorder="1"/>
    <xf numFmtId="0" fontId="0" fillId="0" borderId="3" xfId="0" applyBorder="1"/>
    <xf numFmtId="0" fontId="0" fillId="0" borderId="14" xfId="0" applyBorder="1"/>
    <xf numFmtId="2" fontId="0" fillId="0" borderId="0" xfId="0" applyNumberFormat="1" applyBorder="1"/>
    <xf numFmtId="165" fontId="0" fillId="0" borderId="0" xfId="1" applyNumberFormat="1" applyFont="1" applyBorder="1"/>
    <xf numFmtId="9" fontId="0" fillId="0" borderId="0" xfId="2" applyFont="1" applyBorder="1"/>
    <xf numFmtId="0" fontId="0" fillId="2" borderId="0" xfId="0" applyFill="1"/>
    <xf numFmtId="0" fontId="6" fillId="2" borderId="0" xfId="0" applyFont="1" applyFill="1" applyAlignment="1">
      <alignment vertical="center"/>
    </xf>
    <xf numFmtId="0" fontId="9" fillId="2" borderId="10" xfId="0" applyFont="1" applyFill="1" applyBorder="1"/>
    <xf numFmtId="0" fontId="6" fillId="2" borderId="11" xfId="0" applyFont="1" applyFill="1" applyBorder="1" applyAlignment="1">
      <alignment vertical="center"/>
    </xf>
    <xf numFmtId="0" fontId="9" fillId="2" borderId="11" xfId="0" applyFont="1" applyFill="1" applyBorder="1"/>
    <xf numFmtId="0" fontId="9" fillId="2" borderId="12" xfId="0" applyFont="1" applyFill="1" applyBorder="1"/>
    <xf numFmtId="0" fontId="10" fillId="0" borderId="0" xfId="0" applyFont="1" applyBorder="1"/>
    <xf numFmtId="0" fontId="6" fillId="2" borderId="0" xfId="0" applyFont="1" applyFill="1"/>
    <xf numFmtId="0" fontId="2" fillId="2" borderId="0" xfId="0" applyFont="1" applyFill="1"/>
    <xf numFmtId="0" fontId="0" fillId="0" borderId="0" xfId="0" applyBorder="1" applyAlignment="1">
      <alignment wrapText="1"/>
    </xf>
    <xf numFmtId="0" fontId="2" fillId="0" borderId="0" xfId="0" applyFont="1" applyFill="1"/>
    <xf numFmtId="0" fontId="0" fillId="5" borderId="0" xfId="0" applyFill="1"/>
    <xf numFmtId="0" fontId="0" fillId="6" borderId="0" xfId="0" applyFill="1"/>
    <xf numFmtId="0" fontId="0" fillId="8" borderId="0" xfId="0" applyFill="1"/>
    <xf numFmtId="0" fontId="7" fillId="0" borderId="0" xfId="0" applyFont="1" applyFill="1"/>
    <xf numFmtId="0" fontId="0" fillId="9" borderId="0" xfId="0" applyFill="1"/>
    <xf numFmtId="0" fontId="0" fillId="3" borderId="0" xfId="0" applyFill="1"/>
    <xf numFmtId="0" fontId="0" fillId="0" borderId="0" xfId="0" applyFill="1"/>
    <xf numFmtId="0" fontId="0" fillId="0" borderId="0" xfId="0" applyBorder="1" applyAlignment="1">
      <alignment horizontal="left" indent="2"/>
    </xf>
    <xf numFmtId="0" fontId="0" fillId="0" borderId="0" xfId="0" applyFill="1" applyBorder="1" applyAlignment="1">
      <alignment horizontal="left" indent="2"/>
    </xf>
    <xf numFmtId="0" fontId="0" fillId="0" borderId="0" xfId="0" applyFont="1"/>
    <xf numFmtId="0" fontId="3" fillId="0" borderId="0" xfId="0" applyFont="1" applyFill="1"/>
    <xf numFmtId="0" fontId="6" fillId="2" borderId="11" xfId="0" applyFont="1" applyFill="1" applyBorder="1" applyAlignment="1">
      <alignment horizontal="right" vertical="center"/>
    </xf>
    <xf numFmtId="14" fontId="2" fillId="2" borderId="0" xfId="0" applyNumberFormat="1" applyFont="1" applyFill="1"/>
    <xf numFmtId="0" fontId="6" fillId="0" borderId="0" xfId="0" applyFont="1" applyFill="1"/>
    <xf numFmtId="0" fontId="16" fillId="10" borderId="0" xfId="0" applyFont="1" applyFill="1"/>
    <xf numFmtId="0" fontId="15" fillId="10" borderId="0" xfId="0" applyFont="1" applyFill="1"/>
    <xf numFmtId="14" fontId="2" fillId="11" borderId="0" xfId="0" applyNumberFormat="1" applyFont="1" applyFill="1"/>
    <xf numFmtId="0" fontId="2" fillId="11" borderId="0" xfId="0" applyFont="1" applyFill="1"/>
    <xf numFmtId="0" fontId="2" fillId="5" borderId="15" xfId="0" applyFont="1" applyFill="1" applyBorder="1"/>
    <xf numFmtId="0" fontId="2" fillId="9" borderId="15" xfId="0" applyFont="1" applyFill="1" applyBorder="1"/>
    <xf numFmtId="0" fontId="2" fillId="8" borderId="15" xfId="0" applyFont="1" applyFill="1" applyBorder="1"/>
    <xf numFmtId="0" fontId="4" fillId="14" borderId="8" xfId="0" applyFont="1" applyFill="1" applyBorder="1"/>
    <xf numFmtId="0" fontId="9" fillId="14" borderId="8" xfId="0" applyFont="1" applyFill="1" applyBorder="1"/>
    <xf numFmtId="0" fontId="9" fillId="14" borderId="0" xfId="0" applyFont="1" applyFill="1"/>
    <xf numFmtId="0" fontId="4" fillId="14" borderId="9" xfId="0" applyFont="1" applyFill="1" applyBorder="1"/>
    <xf numFmtId="0" fontId="9" fillId="14" borderId="9" xfId="0" applyFont="1" applyFill="1" applyBorder="1"/>
    <xf numFmtId="0" fontId="2" fillId="14" borderId="0" xfId="0" applyFont="1" applyFill="1"/>
    <xf numFmtId="0" fontId="6" fillId="2" borderId="0" xfId="0" applyFont="1" applyFill="1" applyAlignment="1">
      <alignment horizontal="left" vertical="center"/>
    </xf>
    <xf numFmtId="0" fontId="0" fillId="0" borderId="7" xfId="0" applyBorder="1"/>
    <xf numFmtId="1" fontId="0" fillId="0" borderId="7" xfId="0" applyNumberFormat="1" applyBorder="1"/>
    <xf numFmtId="9" fontId="0" fillId="0" borderId="7" xfId="2" applyFont="1" applyBorder="1"/>
    <xf numFmtId="165" fontId="0" fillId="0" borderId="7" xfId="1" applyNumberFormat="1" applyFont="1" applyBorder="1"/>
    <xf numFmtId="43" fontId="0" fillId="0" borderId="7" xfId="0" applyNumberFormat="1" applyBorder="1"/>
    <xf numFmtId="0" fontId="18" fillId="15" borderId="16" xfId="3"/>
    <xf numFmtId="164" fontId="18" fillId="15" borderId="16" xfId="3" applyNumberFormat="1"/>
    <xf numFmtId="0" fontId="18" fillId="15" borderId="16" xfId="3" applyProtection="1"/>
    <xf numFmtId="164" fontId="18" fillId="15" borderId="16" xfId="3" applyNumberFormat="1" applyProtection="1"/>
    <xf numFmtId="1" fontId="18" fillId="15" borderId="16" xfId="3" applyNumberFormat="1" applyProtection="1"/>
    <xf numFmtId="14" fontId="18" fillId="15" borderId="16" xfId="3" applyNumberFormat="1" applyProtection="1"/>
    <xf numFmtId="0" fontId="18" fillId="15" borderId="16" xfId="3" applyNumberFormat="1" applyProtection="1"/>
    <xf numFmtId="166" fontId="18" fillId="15" borderId="16" xfId="3" applyNumberFormat="1" applyProtection="1"/>
    <xf numFmtId="2" fontId="18" fillId="15" borderId="16" xfId="3" applyNumberFormat="1" applyProtection="1"/>
    <xf numFmtId="0" fontId="2" fillId="12" borderId="19" xfId="0" applyFont="1" applyFill="1" applyBorder="1" applyProtection="1">
      <protection locked="0"/>
    </xf>
    <xf numFmtId="0" fontId="2" fillId="13" borderId="19" xfId="0" applyFont="1" applyFill="1" applyBorder="1" applyProtection="1">
      <protection locked="0"/>
    </xf>
    <xf numFmtId="0" fontId="2" fillId="13" borderId="20" xfId="0" applyFont="1" applyFill="1" applyBorder="1" applyProtection="1">
      <protection locked="0"/>
    </xf>
    <xf numFmtId="0" fontId="0" fillId="0" borderId="0" xfId="0" applyProtection="1">
      <protection locked="0"/>
    </xf>
    <xf numFmtId="0" fontId="12" fillId="3" borderId="0" xfId="0" applyFont="1" applyFill="1" applyProtection="1">
      <protection locked="0"/>
    </xf>
    <xf numFmtId="0" fontId="0" fillId="7" borderId="0" xfId="0" applyFill="1" applyProtection="1">
      <protection locked="0"/>
    </xf>
    <xf numFmtId="0" fontId="0" fillId="8" borderId="0" xfId="0" applyFill="1" applyProtection="1">
      <protection locked="0"/>
    </xf>
    <xf numFmtId="0" fontId="0" fillId="5" borderId="0" xfId="0" applyFill="1" applyProtection="1">
      <protection locked="0"/>
    </xf>
    <xf numFmtId="0" fontId="0" fillId="14" borderId="0" xfId="0" applyFill="1" applyProtection="1">
      <protection locked="0"/>
    </xf>
    <xf numFmtId="0" fontId="9" fillId="13" borderId="0" xfId="0" applyFont="1" applyFill="1" applyProtection="1">
      <protection locked="0"/>
    </xf>
    <xf numFmtId="0" fontId="2" fillId="12" borderId="17" xfId="0" applyFont="1" applyFill="1" applyBorder="1" applyProtection="1">
      <protection locked="0"/>
    </xf>
    <xf numFmtId="0" fontId="0" fillId="13" borderId="0" xfId="0" applyFill="1" applyProtection="1">
      <protection locked="0"/>
    </xf>
    <xf numFmtId="0" fontId="0" fillId="16" borderId="0" xfId="0" applyFill="1" applyProtection="1">
      <protection locked="0"/>
    </xf>
    <xf numFmtId="0" fontId="9" fillId="6" borderId="19" xfId="0" applyFont="1" applyFill="1" applyBorder="1" applyProtection="1">
      <protection locked="0"/>
    </xf>
    <xf numFmtId="0" fontId="0" fillId="6" borderId="0" xfId="0" applyFill="1" applyProtection="1">
      <protection locked="0"/>
    </xf>
    <xf numFmtId="0" fontId="0" fillId="16" borderId="0" xfId="0" applyNumberFormat="1" applyFill="1" applyProtection="1">
      <protection locked="0"/>
    </xf>
    <xf numFmtId="0" fontId="2" fillId="14" borderId="19" xfId="0" applyFont="1" applyFill="1" applyBorder="1" applyProtection="1">
      <protection locked="0"/>
    </xf>
    <xf numFmtId="14" fontId="0" fillId="16" borderId="0" xfId="0" applyNumberFormat="1" applyFill="1" applyProtection="1">
      <protection locked="0"/>
    </xf>
    <xf numFmtId="14" fontId="17" fillId="16" borderId="0" xfId="0" applyNumberFormat="1" applyFont="1" applyFill="1" applyProtection="1">
      <protection locked="0"/>
    </xf>
    <xf numFmtId="0" fontId="2" fillId="6" borderId="19" xfId="0" applyFont="1" applyFill="1" applyBorder="1" applyProtection="1">
      <protection locked="0"/>
    </xf>
    <xf numFmtId="1" fontId="0" fillId="16" borderId="0" xfId="0" applyNumberFormat="1" applyFill="1" applyProtection="1">
      <protection locked="0"/>
    </xf>
    <xf numFmtId="0" fontId="2" fillId="4" borderId="18" xfId="0" applyFont="1" applyFill="1" applyBorder="1" applyProtection="1">
      <protection locked="0"/>
    </xf>
    <xf numFmtId="0" fontId="0" fillId="0" borderId="0" xfId="0" applyFill="1" applyProtection="1">
      <protection locked="0"/>
    </xf>
    <xf numFmtId="0" fontId="6" fillId="2" borderId="0" xfId="0" applyFont="1" applyFill="1" applyProtection="1">
      <protection locked="0"/>
    </xf>
    <xf numFmtId="0" fontId="2" fillId="17" borderId="19" xfId="0" applyFont="1" applyFill="1" applyBorder="1" applyProtection="1">
      <protection locked="0"/>
    </xf>
    <xf numFmtId="0" fontId="2" fillId="4" borderId="19" xfId="0" applyFont="1" applyFill="1" applyBorder="1" applyProtection="1">
      <protection locked="0"/>
    </xf>
    <xf numFmtId="0" fontId="6" fillId="0" borderId="0" xfId="0" applyFont="1" applyFill="1" applyProtection="1">
      <protection locked="0"/>
    </xf>
    <xf numFmtId="0" fontId="0" fillId="0" borderId="0" xfId="0" applyFont="1" applyFill="1" applyProtection="1">
      <protection locked="0"/>
    </xf>
    <xf numFmtId="14" fontId="18" fillId="15" borderId="16" xfId="3" applyNumberFormat="1" applyAlignment="1">
      <alignment wrapText="1"/>
    </xf>
    <xf numFmtId="167" fontId="18" fillId="15" borderId="16" xfId="3" applyNumberFormat="1" applyAlignment="1">
      <alignment wrapText="1"/>
    </xf>
    <xf numFmtId="164" fontId="18" fillId="15" borderId="16" xfId="3" applyNumberFormat="1" applyAlignment="1">
      <alignment wrapText="1"/>
    </xf>
    <xf numFmtId="0" fontId="18" fillId="15" borderId="16" xfId="3" applyAlignment="1">
      <alignment wrapText="1"/>
    </xf>
    <xf numFmtId="168" fontId="18" fillId="15" borderId="16" xfId="3" applyNumberFormat="1" applyAlignment="1">
      <alignment wrapText="1"/>
    </xf>
    <xf numFmtId="167" fontId="18" fillId="15" borderId="16" xfId="3" applyNumberFormat="1"/>
    <xf numFmtId="168" fontId="18" fillId="15" borderId="16" xfId="3" applyNumberFormat="1"/>
    <xf numFmtId="0" fontId="0" fillId="0" borderId="0" xfId="0" applyProtection="1"/>
    <xf numFmtId="168" fontId="0" fillId="0" borderId="0" xfId="0" applyNumberFormat="1" applyProtection="1"/>
    <xf numFmtId="14" fontId="0" fillId="3" borderId="0" xfId="0" applyNumberFormat="1" applyFill="1" applyProtection="1">
      <protection locked="0"/>
    </xf>
    <xf numFmtId="0" fontId="2" fillId="4" borderId="15" xfId="0" applyFont="1" applyFill="1" applyBorder="1" applyProtection="1">
      <protection locked="0"/>
    </xf>
    <xf numFmtId="0" fontId="0" fillId="16" borderId="0" xfId="0" applyFill="1" applyBorder="1" applyProtection="1">
      <protection locked="0"/>
    </xf>
    <xf numFmtId="14" fontId="0" fillId="0" borderId="0" xfId="0" applyNumberFormat="1"/>
    <xf numFmtId="2" fontId="18" fillId="15" borderId="16" xfId="3" applyNumberFormat="1"/>
    <xf numFmtId="9" fontId="18" fillId="15" borderId="16" xfId="3" applyNumberFormat="1"/>
    <xf numFmtId="0" fontId="2" fillId="27" borderId="24" xfId="6"/>
    <xf numFmtId="0" fontId="2" fillId="27" borderId="24" xfId="6" applyAlignment="1">
      <alignment horizontal="right"/>
    </xf>
    <xf numFmtId="0" fontId="2" fillId="27" borderId="24" xfId="6" applyAlignment="1">
      <alignment horizontal="left"/>
    </xf>
    <xf numFmtId="1" fontId="20" fillId="26" borderId="23" xfId="4" applyNumberFormat="1" applyAlignment="1">
      <alignment horizontal="right" vertical="center"/>
    </xf>
    <xf numFmtId="0" fontId="20" fillId="26" borderId="23" xfId="4"/>
    <xf numFmtId="0" fontId="1" fillId="29" borderId="0" xfId="8"/>
    <xf numFmtId="0" fontId="1" fillId="29" borderId="0" xfId="8" applyAlignment="1">
      <alignment horizontal="left"/>
    </xf>
    <xf numFmtId="0" fontId="1" fillId="29" borderId="0" xfId="8" applyAlignment="1">
      <alignment horizontal="left" vertical="center" indent="2"/>
    </xf>
    <xf numFmtId="0" fontId="1" fillId="29" borderId="0" xfId="8" applyAlignment="1">
      <alignment horizontal="left" vertical="center"/>
    </xf>
    <xf numFmtId="0" fontId="3" fillId="29" borderId="0" xfId="8" applyFont="1"/>
    <xf numFmtId="0" fontId="1" fillId="30" borderId="0" xfId="9"/>
    <xf numFmtId="169" fontId="18" fillId="15" borderId="16" xfId="3" applyNumberFormat="1" applyProtection="1"/>
    <xf numFmtId="9" fontId="18" fillId="15" borderId="16" xfId="3" applyNumberFormat="1" applyProtection="1"/>
    <xf numFmtId="9" fontId="21" fillId="15" borderId="23" xfId="5" applyNumberFormat="1" applyProtection="1"/>
    <xf numFmtId="0" fontId="1" fillId="29" borderId="0" xfId="8" applyProtection="1"/>
    <xf numFmtId="43" fontId="18" fillId="15" borderId="16" xfId="3" applyNumberFormat="1" applyProtection="1"/>
    <xf numFmtId="1" fontId="2" fillId="27" borderId="24" xfId="6" applyNumberFormat="1" applyProtection="1"/>
    <xf numFmtId="0" fontId="2" fillId="27" borderId="24" xfId="6" applyProtection="1"/>
    <xf numFmtId="0" fontId="16" fillId="10" borderId="0" xfId="0" applyFont="1" applyFill="1" applyProtection="1">
      <protection locked="0"/>
    </xf>
    <xf numFmtId="0" fontId="16" fillId="0" borderId="0" xfId="0" applyFont="1" applyFill="1" applyProtection="1">
      <protection locked="0"/>
    </xf>
    <xf numFmtId="0" fontId="2" fillId="4" borderId="0" xfId="0" applyFont="1" applyFill="1" applyBorder="1" applyProtection="1">
      <protection locked="0"/>
    </xf>
    <xf numFmtId="165" fontId="18" fillId="15" borderId="16" xfId="3" applyNumberFormat="1"/>
    <xf numFmtId="0" fontId="18" fillId="15" borderId="16" xfId="3" applyNumberFormat="1"/>
    <xf numFmtId="166" fontId="18" fillId="15" borderId="16" xfId="3" applyNumberFormat="1" applyAlignment="1">
      <alignment wrapText="1"/>
    </xf>
    <xf numFmtId="0" fontId="0" fillId="16" borderId="0" xfId="0" applyFill="1" applyAlignment="1" applyProtection="1">
      <alignment wrapText="1"/>
      <protection locked="0"/>
    </xf>
    <xf numFmtId="0" fontId="9" fillId="31" borderId="10" xfId="0" applyFont="1" applyFill="1" applyBorder="1"/>
    <xf numFmtId="0" fontId="0" fillId="31" borderId="0" xfId="0" applyFill="1"/>
    <xf numFmtId="0" fontId="9" fillId="31" borderId="0" xfId="0" applyFont="1" applyFill="1" applyBorder="1"/>
    <xf numFmtId="0" fontId="0" fillId="31" borderId="0" xfId="0" applyFill="1" applyBorder="1"/>
    <xf numFmtId="0" fontId="1" fillId="16" borderId="0" xfId="7" applyFill="1" applyBorder="1" applyProtection="1">
      <protection locked="0"/>
    </xf>
    <xf numFmtId="9" fontId="1" fillId="16" borderId="0" xfId="7" applyNumberFormat="1" applyFill="1" applyBorder="1" applyProtection="1">
      <protection locked="0"/>
    </xf>
    <xf numFmtId="0" fontId="1" fillId="16" borderId="0" xfId="7" applyFill="1" applyBorder="1" applyAlignment="1" applyProtection="1">
      <alignment wrapText="1"/>
      <protection locked="0"/>
    </xf>
    <xf numFmtId="0" fontId="1" fillId="16" borderId="0" xfId="7" quotePrefix="1" applyFill="1" applyBorder="1" applyProtection="1">
      <protection locked="0"/>
    </xf>
    <xf numFmtId="0" fontId="1" fillId="31" borderId="0" xfId="7" applyFill="1" applyBorder="1"/>
    <xf numFmtId="0" fontId="0" fillId="31" borderId="10" xfId="0" applyFill="1" applyBorder="1"/>
    <xf numFmtId="0" fontId="0" fillId="31" borderId="13" xfId="0" applyFill="1" applyBorder="1"/>
    <xf numFmtId="0" fontId="0" fillId="31" borderId="2" xfId="0" applyFill="1" applyBorder="1"/>
    <xf numFmtId="0" fontId="0" fillId="31" borderId="11" xfId="0" applyFill="1" applyBorder="1"/>
    <xf numFmtId="0" fontId="0" fillId="31" borderId="12" xfId="0" applyFill="1" applyBorder="1"/>
    <xf numFmtId="0" fontId="0" fillId="31" borderId="4" xfId="0" applyFill="1" applyBorder="1"/>
    <xf numFmtId="0" fontId="18" fillId="31" borderId="16" xfId="3" applyFill="1"/>
    <xf numFmtId="164" fontId="1" fillId="16" borderId="0" xfId="7" applyNumberFormat="1" applyFill="1" applyBorder="1" applyProtection="1">
      <protection locked="0"/>
    </xf>
    <xf numFmtId="0" fontId="1" fillId="16" borderId="0" xfId="7" applyNumberFormat="1" applyFill="1" applyBorder="1" applyProtection="1">
      <protection locked="0"/>
    </xf>
    <xf numFmtId="44" fontId="0" fillId="16" borderId="0" xfId="1" applyFont="1" applyFill="1" applyBorder="1" applyProtection="1">
      <protection locked="0"/>
    </xf>
    <xf numFmtId="49" fontId="18" fillId="15" borderId="16" xfId="3" applyNumberFormat="1" applyProtection="1">
      <protection locked="0"/>
    </xf>
    <xf numFmtId="0" fontId="21" fillId="15" borderId="23" xfId="5" quotePrefix="1" applyProtection="1">
      <protection locked="0"/>
    </xf>
    <xf numFmtId="0" fontId="16" fillId="24" borderId="11" xfId="0" applyFont="1" applyFill="1" applyBorder="1" applyAlignment="1" applyProtection="1">
      <alignment horizontal="center" vertical="top"/>
      <protection locked="0"/>
    </xf>
    <xf numFmtId="9" fontId="18" fillId="15" borderId="16" xfId="2" applyFont="1" applyFill="1" applyBorder="1" applyProtection="1"/>
    <xf numFmtId="0" fontId="1" fillId="29" borderId="0" xfId="8" applyAlignment="1">
      <alignment wrapText="1"/>
    </xf>
    <xf numFmtId="0" fontId="0" fillId="31" borderId="0" xfId="0" applyFill="1" applyProtection="1"/>
    <xf numFmtId="168" fontId="0" fillId="31" borderId="0" xfId="0" applyNumberFormat="1" applyFill="1" applyProtection="1"/>
    <xf numFmtId="43" fontId="0" fillId="0" borderId="0" xfId="0" applyNumberFormat="1"/>
    <xf numFmtId="1" fontId="0" fillId="0" borderId="0" xfId="0" applyNumberFormat="1"/>
    <xf numFmtId="0" fontId="9" fillId="0" borderId="0" xfId="0" applyFont="1"/>
    <xf numFmtId="0" fontId="4" fillId="20" borderId="22" xfId="0" applyFont="1" applyFill="1" applyBorder="1" applyAlignment="1" applyProtection="1">
      <alignment horizontal="center"/>
      <protection locked="0"/>
    </xf>
    <xf numFmtId="0" fontId="5" fillId="2" borderId="0" xfId="0" applyFont="1" applyFill="1" applyBorder="1" applyAlignment="1">
      <alignment horizontal="center"/>
    </xf>
    <xf numFmtId="0" fontId="4" fillId="2" borderId="0" xfId="0" applyFont="1" applyFill="1" applyBorder="1" applyAlignment="1">
      <alignment horizontal="center"/>
    </xf>
    <xf numFmtId="0" fontId="6" fillId="2" borderId="0" xfId="0" applyFont="1" applyFill="1" applyAlignment="1">
      <alignment horizontal="center"/>
    </xf>
    <xf numFmtId="0" fontId="16" fillId="25" borderId="22" xfId="0" applyFont="1" applyFill="1" applyBorder="1" applyAlignment="1" applyProtection="1">
      <alignment horizontal="center"/>
      <protection locked="0"/>
    </xf>
    <xf numFmtId="0" fontId="19" fillId="2" borderId="0" xfId="0" applyFont="1" applyFill="1" applyAlignment="1" applyProtection="1">
      <alignment horizontal="center"/>
      <protection locked="0"/>
    </xf>
    <xf numFmtId="0" fontId="6" fillId="2" borderId="8" xfId="0" applyFont="1" applyFill="1" applyBorder="1" applyAlignment="1" applyProtection="1">
      <alignment horizontal="center" vertical="top" wrapText="1"/>
      <protection locked="0"/>
    </xf>
    <xf numFmtId="0" fontId="6" fillId="2" borderId="6" xfId="0" applyFont="1" applyFill="1" applyBorder="1" applyAlignment="1" applyProtection="1">
      <alignment horizontal="center" vertical="top" wrapText="1"/>
      <protection locked="0"/>
    </xf>
    <xf numFmtId="0" fontId="16" fillId="24" borderId="1" xfId="0" applyFont="1" applyFill="1" applyBorder="1" applyAlignment="1" applyProtection="1">
      <alignment horizontal="center" vertical="top"/>
      <protection locked="0"/>
    </xf>
    <xf numFmtId="0" fontId="4" fillId="20" borderId="21" xfId="0" applyFont="1" applyFill="1" applyBorder="1" applyAlignment="1" applyProtection="1">
      <alignment horizontal="center"/>
      <protection locked="0"/>
    </xf>
    <xf numFmtId="0" fontId="4" fillId="20" borderId="22" xfId="0" applyFont="1" applyFill="1" applyBorder="1" applyAlignment="1" applyProtection="1">
      <alignment horizontal="center"/>
      <protection locked="0"/>
    </xf>
    <xf numFmtId="0" fontId="4" fillId="18" borderId="22" xfId="0" applyFont="1" applyFill="1" applyBorder="1" applyAlignment="1" applyProtection="1">
      <alignment horizontal="center"/>
      <protection locked="0"/>
    </xf>
    <xf numFmtId="0" fontId="4" fillId="21" borderId="25" xfId="0" applyFont="1" applyFill="1" applyBorder="1" applyAlignment="1" applyProtection="1">
      <alignment horizontal="center"/>
      <protection locked="0"/>
    </xf>
    <xf numFmtId="0" fontId="4" fillId="21" borderId="11" xfId="0" applyFont="1" applyFill="1" applyBorder="1" applyAlignment="1" applyProtection="1">
      <alignment horizontal="center"/>
      <protection locked="0"/>
    </xf>
    <xf numFmtId="0" fontId="4" fillId="21" borderId="26" xfId="0" applyFont="1" applyFill="1" applyBorder="1" applyAlignment="1" applyProtection="1">
      <alignment horizontal="center"/>
      <protection locked="0"/>
    </xf>
    <xf numFmtId="0" fontId="4" fillId="19" borderId="25" xfId="0" applyFont="1" applyFill="1" applyBorder="1" applyAlignment="1" applyProtection="1">
      <alignment horizontal="center"/>
      <protection locked="0"/>
    </xf>
    <xf numFmtId="0" fontId="4" fillId="19" borderId="11" xfId="0" applyFont="1" applyFill="1" applyBorder="1" applyAlignment="1" applyProtection="1">
      <alignment horizontal="center"/>
      <protection locked="0"/>
    </xf>
    <xf numFmtId="0" fontId="16" fillId="22" borderId="11" xfId="0" applyFont="1" applyFill="1" applyBorder="1" applyAlignment="1" applyProtection="1">
      <alignment horizontal="center"/>
      <protection locked="0"/>
    </xf>
    <xf numFmtId="0" fontId="16" fillId="22" borderId="26" xfId="0" applyFont="1" applyFill="1" applyBorder="1" applyAlignment="1" applyProtection="1">
      <alignment horizontal="center"/>
      <protection locked="0"/>
    </xf>
    <xf numFmtId="0" fontId="16" fillId="23" borderId="25" xfId="0" applyFont="1" applyFill="1" applyBorder="1" applyAlignment="1" applyProtection="1">
      <alignment horizontal="center"/>
      <protection locked="0"/>
    </xf>
    <xf numFmtId="0" fontId="16" fillId="23" borderId="11" xfId="0" applyFont="1" applyFill="1" applyBorder="1" applyAlignment="1" applyProtection="1">
      <alignment horizontal="center"/>
      <protection locked="0"/>
    </xf>
    <xf numFmtId="0" fontId="16" fillId="32" borderId="1" xfId="0" applyFont="1" applyFill="1" applyBorder="1" applyAlignment="1" applyProtection="1">
      <alignment horizontal="center" vertical="top"/>
      <protection locked="0"/>
    </xf>
    <xf numFmtId="0" fontId="24" fillId="0" borderId="0" xfId="10"/>
    <xf numFmtId="0" fontId="27" fillId="14" borderId="19" xfId="0" applyFont="1" applyFill="1" applyBorder="1" applyProtection="1">
      <protection locked="0"/>
    </xf>
    <xf numFmtId="0" fontId="27" fillId="13" borderId="0" xfId="0" applyFont="1" applyFill="1" applyBorder="1"/>
    <xf numFmtId="0" fontId="27" fillId="6" borderId="19" xfId="0" applyFont="1" applyFill="1" applyBorder="1" applyProtection="1">
      <protection locked="0"/>
    </xf>
    <xf numFmtId="0" fontId="29" fillId="0" borderId="0" xfId="10" applyFont="1"/>
    <xf numFmtId="0" fontId="31" fillId="16" borderId="27" xfId="7" applyFont="1" applyFill="1" applyBorder="1" applyAlignment="1">
      <alignment horizontal="center" vertical="center"/>
    </xf>
    <xf numFmtId="2" fontId="33" fillId="15" borderId="27" xfId="3" applyNumberFormat="1" applyFont="1" applyBorder="1"/>
    <xf numFmtId="0" fontId="6" fillId="4" borderId="15" xfId="0" applyFont="1" applyFill="1" applyBorder="1"/>
    <xf numFmtId="0" fontId="6" fillId="9" borderId="15" xfId="0" applyFont="1" applyFill="1" applyBorder="1"/>
    <xf numFmtId="0" fontId="6" fillId="5" borderId="15" xfId="0" applyFont="1" applyFill="1" applyBorder="1"/>
    <xf numFmtId="0" fontId="6" fillId="6" borderId="15" xfId="0" applyFont="1" applyFill="1" applyBorder="1"/>
    <xf numFmtId="0" fontId="27" fillId="4" borderId="15" xfId="0" applyFont="1" applyFill="1" applyBorder="1"/>
    <xf numFmtId="0" fontId="27" fillId="14" borderId="15" xfId="0" applyFont="1" applyFill="1" applyBorder="1"/>
    <xf numFmtId="0" fontId="27" fillId="13" borderId="15" xfId="0" applyFont="1" applyFill="1" applyBorder="1"/>
    <xf numFmtId="0" fontId="27" fillId="5" borderId="15" xfId="0" applyFont="1" applyFill="1" applyBorder="1"/>
    <xf numFmtId="0" fontId="27" fillId="6" borderId="15" xfId="0" applyFont="1" applyFill="1" applyBorder="1"/>
    <xf numFmtId="0" fontId="5" fillId="4" borderId="0" xfId="0" applyFont="1" applyFill="1" applyBorder="1" applyAlignment="1">
      <alignment vertical="top" wrapText="1"/>
    </xf>
    <xf numFmtId="0" fontId="5" fillId="33" borderId="0" xfId="0" applyFont="1" applyFill="1" applyBorder="1" applyAlignment="1">
      <alignment vertical="top" wrapText="1"/>
    </xf>
    <xf numFmtId="0" fontId="1" fillId="29" borderId="0" xfId="8" applyAlignment="1">
      <alignment vertical="top" wrapText="1"/>
    </xf>
    <xf numFmtId="2" fontId="33" fillId="15" borderId="27" xfId="3" applyNumberFormat="1" applyFont="1" applyBorder="1" applyAlignment="1">
      <alignment horizontal="center"/>
    </xf>
    <xf numFmtId="0" fontId="24" fillId="31" borderId="13" xfId="10" applyFill="1" applyBorder="1"/>
    <xf numFmtId="0" fontId="24" fillId="31" borderId="0" xfId="10" applyFill="1" applyBorder="1"/>
    <xf numFmtId="0" fontId="24" fillId="31" borderId="4" xfId="10" applyFill="1" applyBorder="1"/>
    <xf numFmtId="0" fontId="24" fillId="31" borderId="2" xfId="10" applyFill="1" applyBorder="1"/>
    <xf numFmtId="0" fontId="24" fillId="31" borderId="3" xfId="10" applyFill="1" applyBorder="1"/>
    <xf numFmtId="0" fontId="24" fillId="31" borderId="14" xfId="10" applyFill="1" applyBorder="1"/>
    <xf numFmtId="0" fontId="24" fillId="31" borderId="10" xfId="10" applyFill="1" applyBorder="1" applyAlignment="1"/>
    <xf numFmtId="0" fontId="24" fillId="31" borderId="11" xfId="10" applyFill="1" applyBorder="1" applyAlignment="1"/>
    <xf numFmtId="0" fontId="24" fillId="31" borderId="12" xfId="10" applyFill="1" applyBorder="1" applyAlignment="1"/>
    <xf numFmtId="0" fontId="24" fillId="31" borderId="13" xfId="10" applyFill="1" applyBorder="1" applyAlignment="1"/>
    <xf numFmtId="0" fontId="24" fillId="31" borderId="0" xfId="10" applyFill="1" applyBorder="1" applyAlignment="1"/>
    <xf numFmtId="0" fontId="24" fillId="31" borderId="4" xfId="10" applyFill="1" applyBorder="1" applyAlignment="1"/>
    <xf numFmtId="0" fontId="24" fillId="0" borderId="0" xfId="10" applyFill="1" applyBorder="1" applyAlignment="1"/>
    <xf numFmtId="0" fontId="24" fillId="0" borderId="0" xfId="10" applyFill="1" applyBorder="1"/>
    <xf numFmtId="0" fontId="24" fillId="0" borderId="0" xfId="10" applyFill="1"/>
    <xf numFmtId="0" fontId="29" fillId="0" borderId="10" xfId="10" applyFont="1" applyBorder="1" applyAlignment="1">
      <alignment horizontal="center"/>
    </xf>
    <xf numFmtId="0" fontId="29" fillId="0" borderId="11" xfId="10" applyFont="1" applyBorder="1" applyAlignment="1">
      <alignment horizontal="center"/>
    </xf>
    <xf numFmtId="0" fontId="29" fillId="0" borderId="12" xfId="10" applyFont="1" applyBorder="1" applyAlignment="1">
      <alignment horizontal="center"/>
    </xf>
    <xf numFmtId="0" fontId="29" fillId="0" borderId="13" xfId="10" applyFont="1" applyBorder="1" applyAlignment="1">
      <alignment horizontal="center"/>
    </xf>
    <xf numFmtId="0" fontId="29" fillId="0" borderId="0" xfId="10" applyFont="1" applyBorder="1" applyAlignment="1">
      <alignment horizontal="center"/>
    </xf>
    <xf numFmtId="0" fontId="29" fillId="0" borderId="4" xfId="10" applyFont="1" applyBorder="1" applyAlignment="1">
      <alignment horizontal="center"/>
    </xf>
    <xf numFmtId="0" fontId="29" fillId="0" borderId="13" xfId="10" applyFont="1" applyBorder="1"/>
    <xf numFmtId="0" fontId="32" fillId="0" borderId="0" xfId="10" applyFont="1" applyBorder="1" applyAlignment="1">
      <alignment vertical="center"/>
    </xf>
    <xf numFmtId="0" fontId="32" fillId="0" borderId="4" xfId="10" applyFont="1" applyBorder="1" applyAlignment="1">
      <alignment vertical="center"/>
    </xf>
    <xf numFmtId="0" fontId="32" fillId="0" borderId="13" xfId="10" applyFont="1" applyBorder="1" applyAlignment="1">
      <alignment vertical="center"/>
    </xf>
    <xf numFmtId="0" fontId="36" fillId="0" borderId="0" xfId="10" applyFont="1" applyBorder="1" applyAlignment="1">
      <alignment vertical="center"/>
    </xf>
    <xf numFmtId="0" fontId="30" fillId="0" borderId="0" xfId="10" applyFont="1" applyBorder="1" applyAlignment="1">
      <alignment horizontal="left" vertical="top" wrapText="1"/>
    </xf>
    <xf numFmtId="0" fontId="30" fillId="0" borderId="0" xfId="10" applyFont="1" applyBorder="1" applyAlignment="1">
      <alignment vertical="center"/>
    </xf>
    <xf numFmtId="0" fontId="28" fillId="0" borderId="0" xfId="10" applyFont="1" applyBorder="1"/>
    <xf numFmtId="0" fontId="29" fillId="0" borderId="0" xfId="10" applyFont="1" applyBorder="1"/>
    <xf numFmtId="0" fontId="34" fillId="0" borderId="0" xfId="10" applyFont="1" applyBorder="1" applyAlignment="1">
      <alignment vertical="center"/>
    </xf>
    <xf numFmtId="0" fontId="29" fillId="0" borderId="4" xfId="10" applyFont="1" applyBorder="1"/>
    <xf numFmtId="0" fontId="28" fillId="0" borderId="0" xfId="0" applyFont="1" applyBorder="1" applyAlignment="1">
      <alignment horizontal="left" vertical="top"/>
    </xf>
    <xf numFmtId="0" fontId="28" fillId="0" borderId="0" xfId="0" applyFont="1" applyBorder="1" applyAlignment="1">
      <alignment vertical="top"/>
    </xf>
    <xf numFmtId="0" fontId="28" fillId="0" borderId="0" xfId="0" applyFont="1" applyBorder="1" applyAlignment="1">
      <alignment horizontal="left" vertical="top" wrapText="1"/>
    </xf>
    <xf numFmtId="0" fontId="29" fillId="0" borderId="0" xfId="10" applyFont="1" applyBorder="1" applyAlignment="1"/>
    <xf numFmtId="0" fontId="30" fillId="0" borderId="0" xfId="0" applyFont="1" applyBorder="1" applyAlignment="1">
      <alignment horizontal="left" vertical="top"/>
    </xf>
    <xf numFmtId="0" fontId="28" fillId="0" borderId="0" xfId="0" applyFont="1" applyBorder="1" applyAlignment="1">
      <alignment horizontal="left" vertical="top"/>
    </xf>
    <xf numFmtId="0" fontId="30" fillId="0" borderId="0" xfId="10" applyFont="1" applyBorder="1" applyAlignment="1">
      <alignment horizontal="left" vertical="top"/>
    </xf>
    <xf numFmtId="0" fontId="30" fillId="0" borderId="0" xfId="10" applyFont="1" applyBorder="1" applyAlignment="1">
      <alignment horizontal="left" vertical="top"/>
    </xf>
    <xf numFmtId="0" fontId="30" fillId="0" borderId="0" xfId="0" applyFont="1" applyBorder="1" applyAlignment="1">
      <alignment vertical="top"/>
    </xf>
    <xf numFmtId="0" fontId="28" fillId="0" borderId="0" xfId="10" applyFont="1" applyBorder="1" applyAlignment="1">
      <alignment horizontal="left" vertical="top"/>
    </xf>
    <xf numFmtId="0" fontId="29" fillId="0" borderId="0" xfId="10" applyFont="1" applyBorder="1" applyAlignment="1">
      <alignment horizontal="left" vertical="top"/>
    </xf>
    <xf numFmtId="0" fontId="30" fillId="0" borderId="0" xfId="0" applyFont="1" applyBorder="1" applyAlignment="1">
      <alignment horizontal="left" vertical="top"/>
    </xf>
    <xf numFmtId="0" fontId="37" fillId="0" borderId="0" xfId="0" applyFont="1" applyBorder="1" applyAlignment="1">
      <alignment horizontal="left" vertical="top"/>
    </xf>
    <xf numFmtId="0" fontId="26" fillId="0" borderId="0" xfId="0" applyFont="1" applyBorder="1" applyAlignment="1">
      <alignment vertical="top"/>
    </xf>
    <xf numFmtId="0" fontId="37" fillId="0" borderId="0" xfId="0" applyFont="1" applyBorder="1" applyAlignment="1">
      <alignment vertical="top"/>
    </xf>
    <xf numFmtId="0" fontId="29" fillId="0" borderId="2" xfId="10" applyFont="1" applyBorder="1"/>
    <xf numFmtId="0" fontId="29" fillId="0" borderId="3" xfId="10" applyFont="1" applyBorder="1"/>
    <xf numFmtId="0" fontId="29" fillId="0" borderId="14" xfId="10" applyFont="1" applyBorder="1"/>
  </cellXfs>
  <cellStyles count="11">
    <cellStyle name="20% - Accent1" xfId="7" builtinId="30"/>
    <cellStyle name="20% - Accent3" xfId="8" builtinId="38"/>
    <cellStyle name="40% - Accent3" xfId="9" builtinId="39"/>
    <cellStyle name="Calculation" xfId="5" builtinId="22"/>
    <cellStyle name="Check Cell" xfId="6" builtinId="23"/>
    <cellStyle name="Currency" xfId="1" builtinId="4"/>
    <cellStyle name="Input" xfId="4" builtinId="20"/>
    <cellStyle name="Normal" xfId="0" builtinId="0"/>
    <cellStyle name="Normal 2" xfId="10" xr:uid="{3DF3AC51-C3DB-4285-91F9-740B1E21DD66}"/>
    <cellStyle name="Output" xfId="3" builtinId="21"/>
    <cellStyle name="Percent" xfId="2" builtinId="5"/>
  </cellStyles>
  <dxfs count="262">
    <dxf>
      <numFmt numFmtId="0" formatCode="General"/>
      <fill>
        <patternFill patternType="solid">
          <fgColor indexed="64"/>
          <bgColor rgb="FFCCFF99"/>
        </patternFill>
      </fill>
    </dxf>
    <dxf>
      <numFmt numFmtId="0" formatCode="General"/>
      <protection locked="1" hidden="0"/>
    </dxf>
    <dxf>
      <numFmt numFmtId="0" formatCode="General"/>
      <protection locked="1" hidden="0"/>
    </dxf>
    <dxf>
      <numFmt numFmtId="0" formatCode="General"/>
      <protection locked="1" hidden="0"/>
    </dxf>
    <dxf>
      <numFmt numFmtId="0" formatCode="General"/>
      <protection locked="1" hidden="0"/>
    </dxf>
    <dxf>
      <numFmt numFmtId="0" formatCode="General"/>
      <fill>
        <patternFill patternType="solid">
          <fgColor indexed="64"/>
          <bgColor rgb="FFCCFF99"/>
        </patternFill>
      </fill>
      <protection locked="1" hidden="0"/>
    </dxf>
    <dxf>
      <numFmt numFmtId="168" formatCode="0.000"/>
    </dxf>
    <dxf>
      <font>
        <b val="0"/>
        <i val="0"/>
        <strike val="0"/>
        <condense val="0"/>
        <extend val="0"/>
        <outline val="0"/>
        <shadow val="0"/>
        <u val="none"/>
        <vertAlign val="baseline"/>
        <sz val="11"/>
        <color theme="1"/>
        <name val="Calibri"/>
        <family val="2"/>
        <scheme val="minor"/>
      </font>
      <numFmt numFmtId="0" formatCode="General"/>
    </dxf>
    <dxf>
      <font>
        <b val="0"/>
        <i val="0"/>
        <strike val="0"/>
        <condense val="0"/>
        <extend val="0"/>
        <outline val="0"/>
        <shadow val="0"/>
        <u val="none"/>
        <vertAlign val="baseline"/>
        <sz val="11"/>
        <color theme="1"/>
        <name val="Calibri"/>
        <family val="2"/>
        <scheme val="minor"/>
      </font>
      <numFmt numFmtId="164" formatCode="_(* #,##0_);_(* \(#,##0\);_(* &quot;-&quot;??_);_(@_)"/>
    </dxf>
    <dxf>
      <font>
        <b val="0"/>
        <i val="0"/>
        <strike val="0"/>
        <condense val="0"/>
        <extend val="0"/>
        <outline val="0"/>
        <shadow val="0"/>
        <u val="none"/>
        <vertAlign val="baseline"/>
        <sz val="11"/>
        <color theme="1"/>
        <name val="Calibri"/>
        <family val="2"/>
        <scheme val="minor"/>
      </font>
      <numFmt numFmtId="164" formatCode="_(* #,##0_);_(* \(#,##0\);_(* &quot;-&quot;??_);_(@_)"/>
    </dxf>
    <dxf>
      <numFmt numFmtId="164" formatCode="_(* #,##0_);_(* \(#,##0\);_(* &quot;-&quot;??_);_(@_)"/>
    </dxf>
    <dxf>
      <numFmt numFmtId="164" formatCode="_(* #,##0_);_(* \(#,##0\);_(* &quot;-&quot;??_);_(@_)"/>
    </dxf>
    <dxf>
      <numFmt numFmtId="164" formatCode="_(* #,##0_);_(* \(#,##0\);_(* &quot;-&quot;??_);_(@_)"/>
    </dxf>
    <dxf>
      <numFmt numFmtId="167" formatCode="0;\-0;\-;@"/>
    </dxf>
    <dxf>
      <numFmt numFmtId="167" formatCode="0;\-0;\-;@"/>
    </dxf>
    <dxf>
      <numFmt numFmtId="167" formatCode="0;\-0;\-;@"/>
    </dxf>
    <dxf>
      <numFmt numFmtId="167" formatCode="0;\-0;\-;@"/>
    </dxf>
    <dxf>
      <numFmt numFmtId="167" formatCode="0;\-0;\-;@"/>
    </dxf>
    <dxf>
      <numFmt numFmtId="167" formatCode="0;\-0;\-;@"/>
    </dxf>
    <dxf>
      <numFmt numFmtId="167" formatCode="0;\-0;\-;@"/>
    </dxf>
    <dxf>
      <numFmt numFmtId="167" formatCode="0;\-0;\-;@"/>
    </dxf>
    <dxf>
      <numFmt numFmtId="167" formatCode="0;\-0;\-;@"/>
    </dxf>
    <dxf>
      <numFmt numFmtId="0" formatCode="General"/>
    </dxf>
    <dxf>
      <numFmt numFmtId="167" formatCode="0;\-0;\-;@"/>
    </dxf>
    <dxf>
      <numFmt numFmtId="167" formatCode="0;\-0;\-;@"/>
    </dxf>
    <dxf>
      <numFmt numFmtId="167" formatCode="0;\-0;\-;@"/>
    </dxf>
    <dxf>
      <numFmt numFmtId="167" formatCode="0;\-0;\-;@"/>
    </dxf>
    <dxf>
      <numFmt numFmtId="167" formatCode="0;\-0;\-;@"/>
    </dxf>
    <dxf>
      <numFmt numFmtId="167" formatCode="0;\-0;\-;@"/>
    </dxf>
    <dxf>
      <numFmt numFmtId="167" formatCode="0;\-0;\-;@"/>
    </dxf>
    <dxf>
      <numFmt numFmtId="0" formatCode="General"/>
    </dxf>
    <dxf>
      <numFmt numFmtId="167" formatCode="0;\-0;\-;@"/>
    </dxf>
    <dxf>
      <numFmt numFmtId="0" formatCode="General"/>
    </dxf>
    <dxf>
      <numFmt numFmtId="167" formatCode="0;\-0;\-;@"/>
    </dxf>
    <dxf>
      <numFmt numFmtId="167" formatCode="0;\-0;\-;@"/>
    </dxf>
    <dxf>
      <numFmt numFmtId="167" formatCode="0;\-0;\-;@"/>
    </dxf>
    <dxf>
      <numFmt numFmtId="167" formatCode="0;\-0;\-;@"/>
    </dxf>
    <dxf>
      <numFmt numFmtId="167" formatCode="0;\-0;\-;@"/>
    </dxf>
    <dxf>
      <numFmt numFmtId="167" formatCode="0;\-0;\-;@"/>
    </dxf>
    <dxf>
      <numFmt numFmtId="167" formatCode="0;\-0;\-;@"/>
    </dxf>
    <dxf>
      <numFmt numFmtId="0" formatCode="General"/>
    </dxf>
    <dxf>
      <numFmt numFmtId="167" formatCode="0;\-0;\-;@"/>
    </dxf>
    <dxf>
      <numFmt numFmtId="0" formatCode="General"/>
    </dxf>
    <dxf>
      <numFmt numFmtId="167" formatCode="0;\-0;\-;@"/>
    </dxf>
    <dxf>
      <numFmt numFmtId="167" formatCode="0;\-0;\-;@"/>
    </dxf>
    <dxf>
      <numFmt numFmtId="167" formatCode="0;\-0;\-;@"/>
    </dxf>
    <dxf>
      <numFmt numFmtId="167" formatCode="0;\-0;\-;@"/>
    </dxf>
    <dxf>
      <numFmt numFmtId="167" formatCode="0;\-0;\-;@"/>
    </dxf>
    <dxf>
      <numFmt numFmtId="167" formatCode="0;\-0;\-;@"/>
    </dxf>
    <dxf>
      <numFmt numFmtId="167" formatCode="0;\-0;\-;@"/>
    </dxf>
    <dxf>
      <numFmt numFmtId="0" formatCode="General"/>
    </dxf>
    <dxf>
      <numFmt numFmtId="167" formatCode="0;\-0;\-;@"/>
    </dxf>
    <dxf>
      <numFmt numFmtId="0" formatCode="General"/>
    </dxf>
    <dxf>
      <numFmt numFmtId="167" formatCode="0;\-0;\-;@"/>
    </dxf>
    <dxf>
      <numFmt numFmtId="167" formatCode="0;\-0;\-;@"/>
    </dxf>
    <dxf>
      <numFmt numFmtId="167" formatCode="0;\-0;\-;@"/>
    </dxf>
    <dxf>
      <numFmt numFmtId="167" formatCode="0;\-0;\-;@"/>
    </dxf>
    <dxf>
      <numFmt numFmtId="167" formatCode="0;\-0;\-;@"/>
    </dxf>
    <dxf>
      <numFmt numFmtId="167" formatCode="0;\-0;\-;@"/>
    </dxf>
    <dxf>
      <numFmt numFmtId="167" formatCode="0;\-0;\-;@"/>
    </dxf>
    <dxf>
      <numFmt numFmtId="0" formatCode="General"/>
    </dxf>
    <dxf>
      <numFmt numFmtId="167" formatCode="0;\-0;\-;@"/>
    </dxf>
    <dxf>
      <numFmt numFmtId="0" formatCode="General"/>
    </dxf>
    <dxf>
      <numFmt numFmtId="167" formatCode="0;\-0;\-;@"/>
    </dxf>
    <dxf>
      <numFmt numFmtId="167" formatCode="0;\-0;\-;@"/>
    </dxf>
    <dxf>
      <numFmt numFmtId="167" formatCode="0;\-0;\-;@"/>
    </dxf>
    <dxf>
      <numFmt numFmtId="167" formatCode="0;\-0;\-;@"/>
    </dxf>
    <dxf>
      <numFmt numFmtId="167" formatCode="0;\-0;\-;@"/>
    </dxf>
    <dxf>
      <numFmt numFmtId="167" formatCode="0;\-0;\-;@"/>
    </dxf>
    <dxf>
      <numFmt numFmtId="167" formatCode="0;\-0;\-;@"/>
    </dxf>
    <dxf>
      <numFmt numFmtId="0" formatCode="General"/>
    </dxf>
    <dxf>
      <numFmt numFmtId="167" formatCode="0;\-0;\-;@"/>
    </dxf>
    <dxf>
      <numFmt numFmtId="0" formatCode="General"/>
    </dxf>
    <dxf>
      <numFmt numFmtId="167" formatCode="0;\-0;\-;@"/>
    </dxf>
    <dxf>
      <numFmt numFmtId="167" formatCode="0;\-0;\-;@"/>
    </dxf>
    <dxf>
      <numFmt numFmtId="167" formatCode="0;\-0;\-;@"/>
    </dxf>
    <dxf>
      <numFmt numFmtId="167" formatCode="0;\-0;\-;@"/>
    </dxf>
    <dxf>
      <numFmt numFmtId="167" formatCode="0;\-0;\-;@"/>
    </dxf>
    <dxf>
      <numFmt numFmtId="167" formatCode="0;\-0;\-;@"/>
    </dxf>
    <dxf>
      <numFmt numFmtId="167" formatCode="0;\-0;\-;@"/>
    </dxf>
    <dxf>
      <numFmt numFmtId="0" formatCode="General"/>
    </dxf>
    <dxf>
      <numFmt numFmtId="167" formatCode="0;\-0;\-;@"/>
    </dxf>
    <dxf>
      <numFmt numFmtId="0" formatCode="General"/>
    </dxf>
    <dxf>
      <numFmt numFmtId="167" formatCode="0;\-0;\-;@"/>
    </dxf>
    <dxf>
      <numFmt numFmtId="167" formatCode="0;\-0;\-;@"/>
    </dxf>
    <dxf>
      <numFmt numFmtId="167" formatCode="0;\-0;\-;@"/>
    </dxf>
    <dxf>
      <numFmt numFmtId="167" formatCode="0;\-0;\-;@"/>
    </dxf>
    <dxf>
      <numFmt numFmtId="167" formatCode="0;\-0;\-;@"/>
    </dxf>
    <dxf>
      <numFmt numFmtId="167" formatCode="0;\-0;\-;@"/>
    </dxf>
    <dxf>
      <numFmt numFmtId="167" formatCode="0;\-0;\-;@"/>
    </dxf>
    <dxf>
      <numFmt numFmtId="167" formatCode="0;\-0;\-;@"/>
    </dxf>
    <dxf>
      <numFmt numFmtId="167" formatCode="0;\-0;\-;@"/>
    </dxf>
    <dxf>
      <numFmt numFmtId="167" formatCode="0;\-0;\-;@"/>
    </dxf>
    <dxf>
      <numFmt numFmtId="167" formatCode="0;\-0;\-;@"/>
    </dxf>
    <dxf>
      <numFmt numFmtId="167" formatCode="0;\-0;\-;@"/>
    </dxf>
    <dxf>
      <numFmt numFmtId="167" formatCode="0;\-0;\-;@"/>
    </dxf>
    <dxf>
      <numFmt numFmtId="167" formatCode="0;\-0;\-;@"/>
    </dxf>
    <dxf>
      <numFmt numFmtId="167" formatCode="0;\-0;\-;@"/>
    </dxf>
    <dxf>
      <numFmt numFmtId="167" formatCode="0;\-0;\-;@"/>
    </dxf>
    <dxf>
      <numFmt numFmtId="167" formatCode="0;\-0;\-;@"/>
    </dxf>
    <dxf>
      <numFmt numFmtId="167" formatCode="0;\-0;\-;@"/>
    </dxf>
    <dxf>
      <numFmt numFmtId="167" formatCode="0;\-0;\-;@"/>
    </dxf>
    <dxf>
      <numFmt numFmtId="167" formatCode="0;\-0;\-;@"/>
    </dxf>
    <dxf>
      <numFmt numFmtId="167" formatCode="0;\-0;\-;@"/>
    </dxf>
    <dxf>
      <numFmt numFmtId="167" formatCode="0;\-0;\-;@"/>
    </dxf>
    <dxf>
      <numFmt numFmtId="167" formatCode="0;\-0;\-;@"/>
    </dxf>
    <dxf>
      <numFmt numFmtId="167" formatCode="0;\-0;\-;@"/>
    </dxf>
    <dxf>
      <numFmt numFmtId="167" formatCode="0;\-0;\-;@"/>
    </dxf>
    <dxf>
      <numFmt numFmtId="167" formatCode="0;\-0;\-;@"/>
    </dxf>
    <dxf>
      <numFmt numFmtId="167" formatCode="0;\-0;\-;@"/>
    </dxf>
    <dxf>
      <numFmt numFmtId="0" formatCode="General"/>
    </dxf>
    <dxf>
      <numFmt numFmtId="167" formatCode="0;\-0;\-;@"/>
    </dxf>
    <dxf>
      <numFmt numFmtId="0" formatCode="General"/>
    </dxf>
    <dxf>
      <numFmt numFmtId="167" formatCode="0;\-0;\-;@"/>
    </dxf>
    <dxf>
      <numFmt numFmtId="164" formatCode="_(* #,##0_);_(* \(#,##0\);_(* &quot;-&quot;??_);_(@_)"/>
    </dxf>
    <dxf>
      <numFmt numFmtId="164" formatCode="_(* #,##0_);_(* \(#,##0\);_(* &quot;-&quot;??_);_(@_)"/>
    </dxf>
    <dxf>
      <numFmt numFmtId="167" formatCode="0;\-0;\-;@"/>
    </dxf>
    <dxf>
      <numFmt numFmtId="164" formatCode="_(* #,##0_);_(* \(#,##0\);_(* &quot;-&quot;??_);_(@_)"/>
    </dxf>
    <dxf>
      <numFmt numFmtId="167" formatCode="0;\-0;\-;@"/>
    </dxf>
    <dxf>
      <numFmt numFmtId="167" formatCode="0;\-0;\-;@"/>
    </dxf>
    <dxf>
      <numFmt numFmtId="19" formatCode="m/d/yyyy"/>
    </dxf>
    <dxf>
      <numFmt numFmtId="167" formatCode="0;\-0;\-;@"/>
    </dxf>
    <dxf>
      <numFmt numFmtId="19" formatCode="m/d/yyyy"/>
    </dxf>
    <dxf>
      <numFmt numFmtId="167" formatCode="0;\-0;\-;@"/>
    </dxf>
    <dxf>
      <numFmt numFmtId="19" formatCode="m/d/yyyy"/>
    </dxf>
    <dxf>
      <numFmt numFmtId="19" formatCode="m/d/yyyy"/>
    </dxf>
    <dxf>
      <protection locked="0" hidden="0"/>
    </dxf>
    <dxf>
      <protection locked="0" hidden="0"/>
    </dxf>
    <dxf>
      <fill>
        <patternFill>
          <bgColor rgb="FFCCFF99"/>
        </patternFill>
      </fill>
      <protection locked="0" hidden="0"/>
    </dxf>
    <dxf>
      <numFmt numFmtId="2" formatCode="0.00"/>
      <protection locked="1" hidden="0"/>
    </dxf>
    <dxf>
      <numFmt numFmtId="2" formatCode="0.00"/>
      <protection locked="1" hidden="0"/>
    </dxf>
    <dxf>
      <numFmt numFmtId="2" formatCode="0.00"/>
      <protection locked="1" hidden="0"/>
    </dxf>
    <dxf>
      <numFmt numFmtId="2" formatCode="0.00"/>
      <protection locked="1" hidden="0"/>
    </dxf>
    <dxf>
      <numFmt numFmtId="0" formatCode="General"/>
      <protection locked="1" hidden="0"/>
    </dxf>
    <dxf>
      <numFmt numFmtId="19" formatCode="m/d/yyyy"/>
      <fill>
        <patternFill patternType="solid">
          <fgColor indexed="64"/>
          <bgColor rgb="FFCCFF99"/>
        </patternFill>
      </fill>
      <border outline="0">
        <right style="thin">
          <color rgb="FF3F3F3F"/>
        </right>
      </border>
    </dxf>
    <dxf>
      <numFmt numFmtId="19" formatCode="m/d/yyyy"/>
      <protection locked="1" hidden="0"/>
    </dxf>
    <dxf>
      <numFmt numFmtId="0" formatCode="General"/>
      <fill>
        <patternFill patternType="solid">
          <fgColor indexed="64"/>
          <bgColor rgb="FFCCFF99"/>
        </patternFill>
      </fill>
    </dxf>
    <dxf>
      <numFmt numFmtId="19" formatCode="m/d/yyyy"/>
      <protection locked="1" hidden="0"/>
    </dxf>
    <dxf>
      <numFmt numFmtId="0" formatCode="General"/>
      <protection locked="1" hidden="0"/>
    </dxf>
    <dxf>
      <numFmt numFmtId="0" formatCode="General"/>
      <protection locked="1" hidden="0"/>
    </dxf>
    <dxf>
      <numFmt numFmtId="19" formatCode="m/d/yyyy"/>
      <fill>
        <patternFill patternType="solid">
          <fgColor indexed="64"/>
          <bgColor rgb="FFCCFF99"/>
        </patternFill>
      </fill>
    </dxf>
    <dxf>
      <numFmt numFmtId="19" formatCode="m/d/yyyy"/>
      <protection locked="1" hidden="0"/>
    </dxf>
    <dxf>
      <numFmt numFmtId="0" formatCode="General"/>
      <fill>
        <patternFill patternType="solid">
          <fgColor indexed="64"/>
          <bgColor rgb="FFCCFF99"/>
        </patternFill>
      </fill>
    </dxf>
    <dxf>
      <numFmt numFmtId="19" formatCode="m/d/yyyy"/>
      <protection locked="1" hidden="0"/>
    </dxf>
    <dxf>
      <numFmt numFmtId="0" formatCode="General"/>
      <protection locked="1" hidden="0"/>
    </dxf>
    <dxf>
      <numFmt numFmtId="0" formatCode="General"/>
      <protection locked="1" hidden="0"/>
    </dxf>
    <dxf>
      <numFmt numFmtId="19" formatCode="m/d/yyyy"/>
      <fill>
        <patternFill patternType="solid">
          <fgColor indexed="64"/>
          <bgColor rgb="FFCCFF99"/>
        </patternFill>
      </fill>
    </dxf>
    <dxf>
      <numFmt numFmtId="19" formatCode="m/d/yyyy"/>
      <protection locked="1" hidden="0"/>
    </dxf>
    <dxf>
      <numFmt numFmtId="0" formatCode="General"/>
      <fill>
        <patternFill patternType="solid">
          <fgColor indexed="64"/>
          <bgColor rgb="FFCCFF99"/>
        </patternFill>
      </fill>
    </dxf>
    <dxf>
      <numFmt numFmtId="0" formatCode="General"/>
      <protection locked="1" hidden="0"/>
    </dxf>
    <dxf>
      <numFmt numFmtId="0" formatCode="General"/>
      <protection locked="1" hidden="0"/>
    </dxf>
    <dxf>
      <numFmt numFmtId="0" formatCode="General"/>
      <protection locked="1" hidden="0"/>
    </dxf>
    <dxf>
      <numFmt numFmtId="19" formatCode="m/d/yyyy"/>
      <fill>
        <patternFill patternType="solid">
          <fgColor indexed="64"/>
          <bgColor rgb="FFCCFF99"/>
        </patternFill>
      </fill>
    </dxf>
    <dxf>
      <numFmt numFmtId="19" formatCode="m/d/yyyy"/>
      <protection locked="1" hidden="0"/>
    </dxf>
    <dxf>
      <numFmt numFmtId="0" formatCode="General"/>
      <fill>
        <patternFill patternType="solid">
          <fgColor indexed="64"/>
          <bgColor rgb="FFCCFF99"/>
        </patternFill>
      </fill>
    </dxf>
    <dxf>
      <numFmt numFmtId="0" formatCode="General"/>
      <protection locked="1" hidden="0"/>
    </dxf>
    <dxf>
      <numFmt numFmtId="0" formatCode="General"/>
      <protection locked="1" hidden="0"/>
    </dxf>
    <dxf>
      <numFmt numFmtId="0" formatCode="General"/>
      <protection locked="1" hidden="0"/>
    </dxf>
    <dxf>
      <numFmt numFmtId="19" formatCode="m/d/yyyy"/>
      <fill>
        <patternFill patternType="solid">
          <fgColor indexed="64"/>
          <bgColor rgb="FFCCFF99"/>
        </patternFill>
      </fill>
    </dxf>
    <dxf>
      <numFmt numFmtId="19" formatCode="m/d/yyyy"/>
      <protection locked="1" hidden="0"/>
    </dxf>
    <dxf>
      <numFmt numFmtId="0" formatCode="General"/>
      <fill>
        <patternFill patternType="solid">
          <fgColor indexed="64"/>
          <bgColor rgb="FFCCFF99"/>
        </patternFill>
      </fill>
    </dxf>
    <dxf>
      <numFmt numFmtId="0" formatCode="General"/>
      <protection locked="1" hidden="0"/>
    </dxf>
    <dxf>
      <numFmt numFmtId="0" formatCode="General"/>
      <protection locked="1" hidden="0"/>
    </dxf>
    <dxf>
      <numFmt numFmtId="0" formatCode="General"/>
      <protection locked="1" hidden="0"/>
    </dxf>
    <dxf>
      <numFmt numFmtId="19" formatCode="m/d/yyyy"/>
      <fill>
        <patternFill patternType="solid">
          <fgColor indexed="64"/>
          <bgColor rgb="FFCCFF99"/>
        </patternFill>
      </fill>
    </dxf>
    <dxf>
      <numFmt numFmtId="19" formatCode="m/d/yyyy"/>
      <protection locked="1" hidden="0"/>
    </dxf>
    <dxf>
      <numFmt numFmtId="0" formatCode="General"/>
      <fill>
        <patternFill patternType="solid">
          <fgColor indexed="64"/>
          <bgColor rgb="FFCCFF99"/>
        </patternFill>
      </fill>
    </dxf>
    <dxf>
      <numFmt numFmtId="0" formatCode="General"/>
      <protection locked="1" hidden="0"/>
    </dxf>
    <dxf>
      <numFmt numFmtId="0" formatCode="General"/>
      <protection locked="1" hidden="0"/>
    </dxf>
    <dxf>
      <numFmt numFmtId="19" formatCode="m/d/yyyy"/>
      <fill>
        <patternFill patternType="solid">
          <fgColor indexed="64"/>
          <bgColor rgb="FFCCFF99"/>
        </patternFill>
      </fill>
    </dxf>
    <dxf>
      <numFmt numFmtId="19" formatCode="m/d/yyyy"/>
      <protection locked="1" hidden="0"/>
    </dxf>
    <dxf>
      <numFmt numFmtId="0" formatCode="General"/>
      <fill>
        <patternFill patternType="solid">
          <fgColor indexed="64"/>
          <bgColor rgb="FFCCFF99"/>
        </patternFill>
      </fill>
    </dxf>
    <dxf>
      <numFmt numFmtId="2" formatCode="0.00"/>
      <protection locked="1" hidden="0"/>
    </dxf>
    <dxf>
      <numFmt numFmtId="2" formatCode="0.00"/>
      <protection locked="1" hidden="0"/>
    </dxf>
    <dxf>
      <numFmt numFmtId="19" formatCode="m/d/yyyy"/>
      <fill>
        <patternFill patternType="solid">
          <fgColor indexed="64"/>
          <bgColor rgb="FFCCFF99"/>
        </patternFill>
      </fill>
    </dxf>
    <dxf>
      <numFmt numFmtId="19" formatCode="m/d/yyyy"/>
      <protection locked="1" hidden="0"/>
    </dxf>
    <dxf>
      <numFmt numFmtId="0" formatCode="General"/>
      <fill>
        <patternFill patternType="solid">
          <fgColor indexed="64"/>
          <bgColor rgb="FFCCFF99"/>
        </patternFill>
      </fill>
    </dxf>
    <dxf>
      <numFmt numFmtId="166" formatCode="0.0"/>
      <protection locked="1" hidden="0"/>
    </dxf>
    <dxf>
      <numFmt numFmtId="166" formatCode="0.0"/>
      <protection locked="1" hidden="0"/>
    </dxf>
    <dxf>
      <numFmt numFmtId="19" formatCode="m/d/yyyy"/>
      <fill>
        <patternFill patternType="solid">
          <fgColor indexed="64"/>
          <bgColor rgb="FFCCFF99"/>
        </patternFill>
      </fill>
    </dxf>
    <dxf>
      <numFmt numFmtId="19" formatCode="m/d/yyyy"/>
      <protection locked="1" hidden="0"/>
    </dxf>
    <dxf>
      <numFmt numFmtId="0" formatCode="General"/>
      <fill>
        <patternFill patternType="solid">
          <fgColor indexed="64"/>
          <bgColor rgb="FFCCFF99"/>
        </patternFill>
      </fill>
    </dxf>
    <dxf>
      <numFmt numFmtId="0" formatCode="General"/>
      <protection locked="1" hidden="0"/>
    </dxf>
    <dxf>
      <numFmt numFmtId="19" formatCode="m/d/yyyy"/>
      <fill>
        <patternFill patternType="solid">
          <fgColor indexed="64"/>
          <bgColor rgb="FFCCFF99"/>
        </patternFill>
      </fill>
    </dxf>
    <dxf>
      <numFmt numFmtId="19" formatCode="m/d/yyyy"/>
      <protection locked="1" hidden="0"/>
    </dxf>
    <dxf>
      <numFmt numFmtId="0" formatCode="General"/>
      <fill>
        <patternFill patternType="solid">
          <fgColor indexed="64"/>
          <bgColor rgb="FFCCFF99"/>
        </patternFill>
      </fill>
    </dxf>
    <dxf>
      <numFmt numFmtId="19" formatCode="m/d/yyyy"/>
      <protection locked="1" hidden="0"/>
    </dxf>
    <dxf>
      <font>
        <b val="0"/>
      </font>
      <numFmt numFmtId="19" formatCode="m/d/yyyy"/>
      <fill>
        <patternFill patternType="solid">
          <fgColor indexed="64"/>
          <bgColor rgb="FFCCFF99"/>
        </patternFill>
      </fill>
      <protection locked="0" hidden="0"/>
    </dxf>
    <dxf>
      <numFmt numFmtId="19" formatCode="m/d/yyyy"/>
      <protection locked="1" hidden="0"/>
    </dxf>
    <dxf>
      <numFmt numFmtId="1" formatCode="0"/>
      <fill>
        <patternFill patternType="solid">
          <fgColor indexed="64"/>
          <bgColor rgb="FFCCFF99"/>
        </patternFill>
      </fill>
    </dxf>
    <dxf>
      <numFmt numFmtId="0" formatCode="General"/>
      <protection locked="1" hidden="0"/>
    </dxf>
    <dxf>
      <numFmt numFmtId="0" formatCode="General"/>
      <protection locked="0" hidden="0"/>
    </dxf>
    <dxf>
      <numFmt numFmtId="19" formatCode="m/d/yyyy"/>
      <fill>
        <patternFill patternType="solid">
          <fgColor indexed="64"/>
          <bgColor rgb="FFCCFF99"/>
        </patternFill>
      </fill>
      <protection locked="0" hidden="0"/>
    </dxf>
    <dxf>
      <numFmt numFmtId="19" formatCode="m/d/yyyy"/>
      <fill>
        <patternFill>
          <fgColor indexed="64"/>
          <bgColor rgb="FFCCFF99"/>
        </patternFill>
      </fill>
      <protection locked="0" hidden="0"/>
    </dxf>
    <dxf>
      <numFmt numFmtId="1" formatCode="0"/>
      <protection locked="1" hidden="0"/>
    </dxf>
    <dxf>
      <numFmt numFmtId="164" formatCode="_(* #,##0_);_(* \(#,##0\);_(* &quot;-&quot;??_);_(@_)"/>
      <protection locked="1" hidden="0"/>
    </dxf>
    <dxf>
      <numFmt numFmtId="0" formatCode="General"/>
      <protection locked="1" hidden="0"/>
    </dxf>
    <dxf>
      <fill>
        <patternFill patternType="solid">
          <fgColor indexed="64"/>
          <bgColor rgb="FFCCFF99"/>
        </patternFill>
      </fill>
    </dxf>
    <dxf>
      <fill>
        <patternFill patternType="solid">
          <fgColor indexed="64"/>
          <bgColor rgb="FFCCFF99"/>
        </patternFill>
      </fill>
    </dxf>
    <dxf>
      <fill>
        <patternFill patternType="solid">
          <fgColor indexed="64"/>
          <bgColor rgb="FFCCFF99"/>
        </patternFill>
      </fill>
    </dxf>
    <dxf>
      <fill>
        <patternFill patternType="solid">
          <fgColor indexed="64"/>
          <bgColor rgb="FFCCFF99"/>
        </patternFill>
      </fill>
    </dxf>
    <dxf>
      <fill>
        <patternFill patternType="solid">
          <fgColor indexed="64"/>
          <bgColor rgb="FFCCFF99"/>
        </patternFill>
      </fill>
    </dxf>
    <dxf>
      <protection locked="1" hidden="0"/>
    </dxf>
    <dxf>
      <protection locked="1" hidden="0"/>
    </dxf>
    <dxf>
      <protection locked="1" hidden="0"/>
    </dxf>
    <dxf>
      <protection locked="1" hidden="0"/>
    </dxf>
    <dxf>
      <numFmt numFmtId="19" formatCode="m/d/yyyy"/>
      <protection locked="1" hidden="0"/>
    </dxf>
    <dxf>
      <fill>
        <patternFill patternType="solid">
          <fgColor indexed="64"/>
          <bgColor rgb="FFCCFF99"/>
        </patternFill>
      </fill>
      <protection locked="0" hidden="0"/>
    </dxf>
    <dxf>
      <fill>
        <patternFill patternType="solid">
          <fgColor indexed="64"/>
          <bgColor rgb="FFCCFF99"/>
        </patternFill>
      </fill>
      <protection locked="0" hidden="0"/>
    </dxf>
    <dxf>
      <fill>
        <patternFill patternType="solid">
          <fgColor indexed="64"/>
          <bgColor rgb="FFCCFF99"/>
        </patternFill>
      </fill>
      <protection locked="0" hidden="0"/>
    </dxf>
    <dxf>
      <fill>
        <patternFill patternType="solid">
          <fgColor indexed="64"/>
          <bgColor rgb="FFCCFF99"/>
        </patternFill>
      </fill>
      <protection locked="0" hidden="0"/>
    </dxf>
    <dxf>
      <fill>
        <patternFill patternType="solid">
          <fgColor indexed="64"/>
          <bgColor rgb="FFCCFF99"/>
        </patternFill>
      </fill>
      <protection locked="0" hidden="0"/>
    </dxf>
    <dxf>
      <fill>
        <patternFill patternType="solid">
          <fgColor indexed="64"/>
          <bgColor rgb="FFCCFF99"/>
        </patternFill>
      </fill>
      <protection locked="0" hidden="0"/>
    </dxf>
    <dxf>
      <numFmt numFmtId="19" formatCode="m/d/yyyy"/>
      <fill>
        <patternFill patternType="solid">
          <fgColor indexed="64"/>
          <bgColor rgb="FFCCFF99"/>
        </patternFill>
      </fill>
      <protection locked="0" hidden="0"/>
    </dxf>
    <dxf>
      <fill>
        <patternFill patternType="solid">
          <fgColor indexed="64"/>
          <bgColor rgb="FFCCFF99"/>
        </patternFill>
      </fill>
      <protection locked="0" hidden="0"/>
    </dxf>
    <dxf>
      <fill>
        <patternFill patternType="solid">
          <fgColor indexed="64"/>
          <bgColor rgb="FFCCFF99"/>
        </patternFill>
      </fill>
      <protection locked="0" hidden="0"/>
    </dxf>
    <dxf>
      <fill>
        <patternFill patternType="solid">
          <fgColor indexed="64"/>
          <bgColor rgb="FFCCFF99"/>
        </patternFill>
      </fill>
      <protection locked="0" hidden="0"/>
    </dxf>
    <dxf>
      <fill>
        <patternFill patternType="solid">
          <fgColor indexed="64"/>
          <bgColor rgb="FFCCFF99"/>
        </patternFill>
      </fill>
      <protection locked="0" hidden="0"/>
    </dxf>
    <dxf>
      <fill>
        <patternFill patternType="solid">
          <fgColor indexed="64"/>
          <bgColor rgb="FFCCFF99"/>
        </patternFill>
      </fill>
      <protection locked="0" hidden="0"/>
    </dxf>
    <dxf>
      <border outline="0">
        <left style="thin">
          <color theme="4" tint="0.39997558519241921"/>
        </left>
      </border>
    </dxf>
    <dxf>
      <font>
        <b/>
        <i val="0"/>
        <strike val="0"/>
        <condense val="0"/>
        <extend val="0"/>
        <outline val="0"/>
        <shadow val="0"/>
        <u val="none"/>
        <vertAlign val="baseline"/>
        <sz val="11"/>
        <color theme="0"/>
        <name val="Calibri"/>
        <family val="2"/>
        <scheme val="minor"/>
      </font>
      <fill>
        <patternFill patternType="solid">
          <fgColor theme="4"/>
          <bgColor theme="4"/>
        </patternFill>
      </fill>
    </dxf>
    <dxf>
      <numFmt numFmtId="0" formatCode="General"/>
      <border diagonalUp="0" diagonalDown="0" outline="0">
        <left/>
        <right/>
        <top/>
        <bottom/>
      </border>
    </dxf>
    <dxf>
      <numFmt numFmtId="0" formatCode="General"/>
    </dxf>
    <dxf>
      <border diagonalUp="0" diagonalDown="0" outline="0">
        <left/>
        <right/>
        <top/>
        <bottom/>
      </border>
    </dxf>
    <dxf>
      <protection locked="0" hidden="0"/>
    </dxf>
    <dxf>
      <border diagonalUp="0" diagonalDown="0" outline="0">
        <left/>
        <right/>
        <top/>
        <bottom/>
      </border>
    </dxf>
    <dxf>
      <fill>
        <patternFill patternType="solid">
          <fgColor indexed="64"/>
          <bgColor rgb="FFCCFF99"/>
        </patternFill>
      </fill>
      <protection locked="0" hidden="0"/>
    </dxf>
    <dxf>
      <border diagonalUp="0" diagonalDown="0" outline="0">
        <left/>
        <right/>
        <top/>
        <bottom/>
      </border>
    </dxf>
    <dxf>
      <fill>
        <patternFill patternType="solid">
          <fgColor indexed="64"/>
          <bgColor rgb="FFCCFF99"/>
        </patternFill>
      </fill>
      <protection locked="0" hidden="0"/>
    </dxf>
    <dxf>
      <border diagonalUp="0" diagonalDown="0" outline="0">
        <left/>
        <right/>
        <top/>
        <bottom/>
      </border>
    </dxf>
    <dxf>
      <fill>
        <patternFill patternType="solid">
          <fgColor indexed="64"/>
          <bgColor rgb="FFCCFF99"/>
        </patternFill>
      </fill>
      <protection locked="0" hidden="0"/>
    </dxf>
    <dxf>
      <border diagonalUp="0" diagonalDown="0" outline="0">
        <left/>
        <right/>
        <top/>
        <bottom/>
      </border>
    </dxf>
    <dxf>
      <numFmt numFmtId="30" formatCode="@"/>
      <protection locked="0" hidden="0"/>
    </dxf>
    <dxf>
      <numFmt numFmtId="0" formatCode="General"/>
    </dxf>
    <dxf>
      <fill>
        <patternFill patternType="solid">
          <fgColor indexed="64"/>
          <bgColor rgb="FFCCFF99"/>
        </patternFill>
      </fill>
      <protection locked="0" hidden="0"/>
    </dxf>
    <dxf>
      <fill>
        <patternFill patternType="solid">
          <fgColor indexed="64"/>
          <bgColor rgb="FFCCFF99"/>
        </patternFill>
      </fill>
      <protection locked="0" hidden="0"/>
    </dxf>
    <dxf>
      <fill>
        <patternFill patternType="solid">
          <fgColor indexed="64"/>
          <bgColor rgb="FFCCFF99"/>
        </patternFill>
      </fill>
      <protection locked="0" hidden="0"/>
    </dxf>
    <dxf>
      <fill>
        <patternFill patternType="solid">
          <fgColor indexed="64"/>
          <bgColor rgb="FFCCFF99"/>
        </patternFill>
      </fill>
      <protection locked="0" hidden="0"/>
    </dxf>
    <dxf>
      <fill>
        <patternFill patternType="solid">
          <fgColor indexed="64"/>
          <bgColor rgb="FFCCFF99"/>
        </patternFill>
      </fill>
      <protection locked="0" hidden="0"/>
    </dxf>
    <dxf>
      <numFmt numFmtId="13" formatCode="0%"/>
    </dxf>
    <dxf>
      <fill>
        <patternFill patternType="solid">
          <fgColor indexed="64"/>
          <bgColor rgb="FFCCFF99"/>
        </patternFill>
      </fill>
      <protection locked="0" hidden="0"/>
    </dxf>
    <dxf>
      <fill>
        <patternFill patternType="solid">
          <fgColor indexed="64"/>
          <bgColor rgb="FFCCFF99"/>
        </patternFill>
      </fill>
      <protection locked="0" hidden="0"/>
    </dxf>
    <dxf>
      <fill>
        <patternFill patternType="solid">
          <fgColor indexed="64"/>
          <bgColor rgb="FFCCFF99"/>
        </patternFill>
      </fill>
      <protection locked="0" hidden="0"/>
    </dxf>
    <dxf>
      <fill>
        <patternFill patternType="solid">
          <fgColor indexed="64"/>
          <bgColor rgb="FFCCFF99"/>
        </patternFill>
      </fill>
      <protection locked="0" hidden="0"/>
    </dxf>
    <dxf>
      <numFmt numFmtId="0" formatCode="General"/>
    </dxf>
    <dxf>
      <protection locked="0" hidden="0"/>
    </dxf>
    <dxf>
      <protection locked="0" hidden="0"/>
    </dxf>
    <dxf>
      <protection locked="0" hidden="0"/>
    </dxf>
    <dxf>
      <protection locked="0" hidden="0"/>
    </dxf>
    <dxf>
      <protection locked="0" hidden="0"/>
    </dxf>
    <dxf>
      <numFmt numFmtId="0" formatCode="General"/>
    </dxf>
    <dxf>
      <fill>
        <patternFill patternType="solid">
          <fgColor indexed="64"/>
          <bgColor rgb="FFCCFF99"/>
        </patternFill>
      </fill>
      <protection locked="0" hidden="0"/>
    </dxf>
    <dxf>
      <fill>
        <patternFill patternType="solid">
          <fgColor indexed="64"/>
          <bgColor rgb="FFCCFF99"/>
        </patternFill>
      </fill>
      <protection locked="0" hidden="0"/>
    </dxf>
    <dxf>
      <fill>
        <patternFill patternType="solid">
          <fgColor indexed="64"/>
          <bgColor rgb="FFCCFF99"/>
        </patternFill>
      </fill>
      <protection locked="0" hidden="0"/>
    </dxf>
    <dxf>
      <fill>
        <patternFill patternType="solid">
          <fgColor indexed="64"/>
          <bgColor rgb="FFCCFF99"/>
        </patternFill>
      </fill>
      <protection locked="0" hidden="0"/>
    </dxf>
    <dxf>
      <fill>
        <patternFill patternType="solid">
          <fgColor indexed="64"/>
          <bgColor rgb="FFCCFF99"/>
        </patternFill>
      </fill>
      <protection locked="0" hidden="0"/>
    </dxf>
    <dxf>
      <numFmt numFmtId="0" formatCode="General"/>
    </dxf>
    <dxf>
      <fill>
        <patternFill patternType="solid">
          <fgColor indexed="64"/>
          <bgColor rgb="FFCCFF99"/>
        </patternFill>
      </fill>
      <protection locked="0" hidden="0"/>
    </dxf>
    <dxf>
      <fill>
        <patternFill patternType="solid">
          <fgColor indexed="64"/>
          <bgColor rgb="FFCCFF99"/>
        </patternFill>
      </fill>
      <protection locked="0" hidden="0"/>
    </dxf>
    <dxf>
      <fill>
        <patternFill patternType="solid">
          <fgColor indexed="64"/>
          <bgColor rgb="FFCCFF99"/>
        </patternFill>
      </fill>
      <protection locked="0" hidden="0"/>
    </dxf>
    <dxf>
      <fill>
        <patternFill patternType="solid">
          <fgColor indexed="64"/>
          <bgColor rgb="FFCCFF99"/>
        </patternFill>
      </fill>
      <protection locked="0" hidden="0"/>
    </dxf>
    <dxf>
      <fill>
        <patternFill patternType="solid">
          <fgColor indexed="64"/>
          <bgColor rgb="FFCCFF99"/>
        </patternFill>
      </fill>
      <protection locked="0" hidden="0"/>
    </dxf>
  </dxfs>
  <tableStyles count="0" defaultTableStyle="TableStyleMedium2" defaultPivotStyle="PivotStyleLight16"/>
  <colors>
    <mruColors>
      <color rgb="FF009900"/>
      <color rgb="FF33CC33"/>
      <color rgb="FFCCFF99"/>
      <color rgb="FF00FF00"/>
      <color rgb="FF00CC00"/>
      <color rgb="FF008000"/>
      <color rgb="FF336600"/>
      <color rgb="FF339933"/>
      <color rgb="FF006600"/>
      <color rgb="FF0033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styles" Target="styles.xml"/><Relationship Id="rId26" Type="http://schemas.openxmlformats.org/officeDocument/2006/relationships/customXml" Target="../customXml/item3.xml"/><Relationship Id="rId39" Type="http://schemas.openxmlformats.org/officeDocument/2006/relationships/customXml" Target="../customXml/item16.xml"/><Relationship Id="rId21" Type="http://schemas.openxmlformats.org/officeDocument/2006/relationships/powerPivotData" Target="model/item.data"/><Relationship Id="rId34" Type="http://schemas.openxmlformats.org/officeDocument/2006/relationships/customXml" Target="../customXml/item1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onnections" Target="connections.xml"/><Relationship Id="rId25" Type="http://schemas.openxmlformats.org/officeDocument/2006/relationships/customXml" Target="../customXml/item2.xml"/><Relationship Id="rId33" Type="http://schemas.openxmlformats.org/officeDocument/2006/relationships/customXml" Target="../customXml/item10.xml"/><Relationship Id="rId38" Type="http://schemas.openxmlformats.org/officeDocument/2006/relationships/customXml" Target="../customXml/item15.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sheetMetadata" Target="metadata.xml"/><Relationship Id="rId29" Type="http://schemas.openxmlformats.org/officeDocument/2006/relationships/customXml" Target="../customXml/item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1.xml"/><Relationship Id="rId32" Type="http://schemas.openxmlformats.org/officeDocument/2006/relationships/customXml" Target="../customXml/item9.xml"/><Relationship Id="rId37" Type="http://schemas.openxmlformats.org/officeDocument/2006/relationships/customXml" Target="../customXml/item14.xml"/><Relationship Id="rId5" Type="http://schemas.openxmlformats.org/officeDocument/2006/relationships/worksheet" Target="worksheets/sheet5.xml"/><Relationship Id="rId15" Type="http://schemas.openxmlformats.org/officeDocument/2006/relationships/externalLink" Target="externalLinks/externalLink2.xml"/><Relationship Id="rId23" Type="http://schemas.openxmlformats.org/officeDocument/2006/relationships/calcChain" Target="calcChain.xml"/><Relationship Id="rId28" Type="http://schemas.openxmlformats.org/officeDocument/2006/relationships/customXml" Target="../customXml/item5.xml"/><Relationship Id="rId36" Type="http://schemas.openxmlformats.org/officeDocument/2006/relationships/customXml" Target="../customXml/item13.xml"/><Relationship Id="rId10" Type="http://schemas.openxmlformats.org/officeDocument/2006/relationships/worksheet" Target="worksheets/sheet10.xml"/><Relationship Id="rId19" Type="http://schemas.openxmlformats.org/officeDocument/2006/relationships/sharedStrings" Target="sharedStrings.xml"/><Relationship Id="rId31" Type="http://schemas.openxmlformats.org/officeDocument/2006/relationships/customXml" Target="../customXml/item8.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1.xml"/><Relationship Id="rId22" Type="http://schemas.microsoft.com/office/2017/10/relationships/person" Target="persons/person.xml"/><Relationship Id="rId27" Type="http://schemas.openxmlformats.org/officeDocument/2006/relationships/customXml" Target="../customXml/item4.xml"/><Relationship Id="rId30" Type="http://schemas.openxmlformats.org/officeDocument/2006/relationships/customXml" Target="../customXml/item7.xml"/><Relationship Id="rId35" Type="http://schemas.openxmlformats.org/officeDocument/2006/relationships/customXml" Target="../customXml/item12.xml"/><Relationship Id="rId8" Type="http://schemas.openxmlformats.org/officeDocument/2006/relationships/worksheet" Target="worksheets/sheet8.xml"/><Relationship Id="rId3" Type="http://schemas.openxmlformats.org/officeDocument/2006/relationships/worksheet" Target="worksheets/sheet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19.xml.rels><?xml version="1.0" encoding="UTF-8" standalone="yes"?>
<Relationships xmlns="http://schemas.openxmlformats.org/package/2006/relationships"><Relationship Id="rId2" Type="http://schemas.microsoft.com/office/2011/relationships/chartColorStyle" Target="colors19.xml"/><Relationship Id="rId1" Type="http://schemas.microsoft.com/office/2011/relationships/chartStyle" Target="style19.xml"/></Relationships>
</file>

<file path=xl/charts/_rels/chart20.xml.rels><?xml version="1.0" encoding="UTF-8" standalone="yes"?>
<Relationships xmlns="http://schemas.openxmlformats.org/package/2006/relationships"><Relationship Id="rId2" Type="http://schemas.microsoft.com/office/2011/relationships/chartColorStyle" Target="colors20.xml"/><Relationship Id="rId1" Type="http://schemas.microsoft.com/office/2011/relationships/chartStyle" Target="style2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1"/>
          <c:order val="0"/>
          <c:tx>
            <c:strRef>
              <c:f>'6. Summary Tracking Sheet'!$P$3</c:f>
              <c:strCache>
                <c:ptCount val="1"/>
                <c:pt idx="0">
                  <c:v>SiteDesignReady_BL(SUM)</c:v>
                </c:pt>
              </c:strCache>
              <c:extLst xmlns:c15="http://schemas.microsoft.com/office/drawing/2012/chart"/>
            </c:strRef>
          </c:tx>
          <c:spPr>
            <a:ln w="22225" cap="rnd">
              <a:solidFill>
                <a:schemeClr val="accent2"/>
              </a:solidFill>
              <a:round/>
            </a:ln>
            <a:effectLst/>
          </c:spPr>
          <c:marker>
            <c:symbol val="none"/>
          </c:marker>
          <c:cat>
            <c:strLit>
              <c:ptCount val="18"/>
              <c:pt idx="0">
                <c:v>20</c:v>
              </c:pt>
              <c:pt idx="1">
                <c:v>21</c:v>
              </c:pt>
              <c:pt idx="2">
                <c:v>22</c:v>
              </c:pt>
              <c:pt idx="3">
                <c:v>23</c:v>
              </c:pt>
              <c:pt idx="4">
                <c:v>24</c:v>
              </c:pt>
              <c:pt idx="5">
                <c:v>25</c:v>
              </c:pt>
              <c:pt idx="6">
                <c:v>26</c:v>
              </c:pt>
              <c:pt idx="7">
                <c:v>27</c:v>
              </c:pt>
              <c:pt idx="8">
                <c:v>28</c:v>
              </c:pt>
              <c:pt idx="9">
                <c:v>29</c:v>
              </c:pt>
              <c:pt idx="10">
                <c:v>30</c:v>
              </c:pt>
              <c:pt idx="11">
                <c:v>31</c:v>
              </c:pt>
              <c:pt idx="12">
                <c:v>32</c:v>
              </c:pt>
              <c:pt idx="13">
                <c:v>33</c:v>
              </c:pt>
              <c:pt idx="14">
                <c:v>34</c:v>
              </c:pt>
              <c:pt idx="15">
                <c:v>35</c:v>
              </c:pt>
              <c:pt idx="16">
                <c:v>36</c:v>
              </c:pt>
              <c:pt idx="17">
                <c:v>37</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'6. Summary Tracking Sheet'!$P$4:$P$44</c15:sqref>
                  </c15:fullRef>
                </c:ext>
              </c:extLst>
              <c:f>'6. Summary Tracking Sheet'!$P$23:$P$40</c:f>
              <c:numCache>
                <c:formatCode>0;\-0;\-;@</c:formatCode>
                <c:ptCount val="18"/>
                <c:pt idx="0">
                  <c:v>0</c:v>
                </c:pt>
                <c:pt idx="1">
                  <c:v>0</c:v>
                </c:pt>
                <c:pt idx="2">
                  <c:v>1</c:v>
                </c:pt>
                <c:pt idx="3">
                  <c:v>7</c:v>
                </c:pt>
                <c:pt idx="4">
                  <c:v>16</c:v>
                </c:pt>
                <c:pt idx="5">
                  <c:v>38</c:v>
                </c:pt>
                <c:pt idx="6">
                  <c:v>51</c:v>
                </c:pt>
                <c:pt idx="7">
                  <c:v>67</c:v>
                </c:pt>
                <c:pt idx="8">
                  <c:v>86</c:v>
                </c:pt>
                <c:pt idx="9">
                  <c:v>100</c:v>
                </c:pt>
                <c:pt idx="10">
                  <c:v>100</c:v>
                </c:pt>
                <c:pt idx="11">
                  <c:v>100</c:v>
                </c:pt>
                <c:pt idx="12">
                  <c:v>100</c:v>
                </c:pt>
                <c:pt idx="13">
                  <c:v>100</c:v>
                </c:pt>
                <c:pt idx="14">
                  <c:v>100</c:v>
                </c:pt>
                <c:pt idx="15">
                  <c:v>100</c:v>
                </c:pt>
                <c:pt idx="16">
                  <c:v>100</c:v>
                </c:pt>
                <c:pt idx="17">
                  <c:v>100</c:v>
                </c:pt>
              </c:numCache>
            </c:numRef>
          </c:val>
          <c:smooth val="0"/>
          <c:extLst xmlns:c15="http://schemas.microsoft.com/office/drawing/2012/chart">
            <c:ext xmlns:c16="http://schemas.microsoft.com/office/drawing/2014/chart" uri="{C3380CC4-5D6E-409C-BE32-E72D297353CC}">
              <c16:uniqueId val="{00000000-44E9-4450-9DE5-8F75B9AED852}"/>
            </c:ext>
          </c:extLst>
        </c:ser>
        <c:ser>
          <c:idx val="0"/>
          <c:order val="1"/>
          <c:tx>
            <c:strRef>
              <c:f>'6. Summary Tracking Sheet'!$R$3</c:f>
              <c:strCache>
                <c:ptCount val="1"/>
                <c:pt idx="0">
                  <c:v>SiteDesignReady_AC(SUM)</c:v>
                </c:pt>
              </c:strCache>
              <c:extLst xmlns:c15="http://schemas.microsoft.com/office/drawing/2012/chart"/>
            </c:strRef>
          </c:tx>
          <c:spPr>
            <a:ln w="22225" cap="rnd">
              <a:solidFill>
                <a:schemeClr val="accent1"/>
              </a:solidFill>
              <a:round/>
            </a:ln>
            <a:effectLst/>
          </c:spPr>
          <c:marker>
            <c:symbol val="none"/>
          </c:marker>
          <c:cat>
            <c:strLit>
              <c:ptCount val="18"/>
              <c:pt idx="0">
                <c:v>20</c:v>
              </c:pt>
              <c:pt idx="1">
                <c:v>21</c:v>
              </c:pt>
              <c:pt idx="2">
                <c:v>22</c:v>
              </c:pt>
              <c:pt idx="3">
                <c:v>23</c:v>
              </c:pt>
              <c:pt idx="4">
                <c:v>24</c:v>
              </c:pt>
              <c:pt idx="5">
                <c:v>25</c:v>
              </c:pt>
              <c:pt idx="6">
                <c:v>26</c:v>
              </c:pt>
              <c:pt idx="7">
                <c:v>27</c:v>
              </c:pt>
              <c:pt idx="8">
                <c:v>28</c:v>
              </c:pt>
              <c:pt idx="9">
                <c:v>29</c:v>
              </c:pt>
              <c:pt idx="10">
                <c:v>30</c:v>
              </c:pt>
              <c:pt idx="11">
                <c:v>31</c:v>
              </c:pt>
              <c:pt idx="12">
                <c:v>32</c:v>
              </c:pt>
              <c:pt idx="13">
                <c:v>33</c:v>
              </c:pt>
              <c:pt idx="14">
                <c:v>34</c:v>
              </c:pt>
              <c:pt idx="15">
                <c:v>35</c:v>
              </c:pt>
              <c:pt idx="16">
                <c:v>36</c:v>
              </c:pt>
              <c:pt idx="17">
                <c:v>37</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'6. Summary Tracking Sheet'!$R$4:$R$44</c15:sqref>
                  </c15:fullRef>
                </c:ext>
              </c:extLst>
              <c:f>'6. Summary Tracking Sheet'!$R$23:$R$40</c:f>
              <c:numCache>
                <c:formatCode>0;\-0;\-;@</c:formatCode>
                <c:ptCount val="18"/>
                <c:pt idx="0">
                  <c:v>0</c:v>
                </c:pt>
                <c:pt idx="1">
                  <c:v>0</c:v>
                </c:pt>
                <c:pt idx="2">
                  <c:v>1</c:v>
                </c:pt>
                <c:pt idx="3">
                  <c:v>7</c:v>
                </c:pt>
                <c:pt idx="4">
                  <c:v>16</c:v>
                </c:pt>
                <c:pt idx="5">
                  <c:v>27</c:v>
                </c:pt>
                <c:pt idx="6">
                  <c:v>40</c:v>
                </c:pt>
                <c:pt idx="7">
                  <c:v>66</c:v>
                </c:pt>
                <c:pt idx="8">
                  <c:v>85</c:v>
                </c:pt>
                <c:pt idx="9">
                  <c:v>90</c:v>
                </c:pt>
                <c:pt idx="10">
                  <c:v>90</c:v>
                </c:pt>
                <c:pt idx="11">
                  <c:v>90</c:v>
                </c:pt>
                <c:pt idx="12">
                  <c:v>90</c:v>
                </c:pt>
                <c:pt idx="13">
                  <c:v>90</c:v>
                </c:pt>
                <c:pt idx="14">
                  <c:v>90</c:v>
                </c:pt>
                <c:pt idx="15">
                  <c:v>90</c:v>
                </c:pt>
                <c:pt idx="16">
                  <c:v>90</c:v>
                </c:pt>
                <c:pt idx="17">
                  <c:v>90</c:v>
                </c:pt>
              </c:numCache>
            </c:numRef>
          </c:val>
          <c:smooth val="0"/>
          <c:extLst xmlns:c15="http://schemas.microsoft.com/office/drawing/2012/chart">
            <c:ext xmlns:c16="http://schemas.microsoft.com/office/drawing/2014/chart" uri="{C3380CC4-5D6E-409C-BE32-E72D297353CC}">
              <c16:uniqueId val="{00000001-44E9-4450-9DE5-8F75B9AED852}"/>
            </c:ext>
          </c:extLst>
        </c:ser>
        <c:dLbls>
          <c:showLegendKey val="0"/>
          <c:showVal val="0"/>
          <c:showCatName val="0"/>
          <c:showSerName val="0"/>
          <c:showPercent val="0"/>
          <c:showBubbleSize val="0"/>
        </c:dLbls>
        <c:smooth val="0"/>
        <c:axId val="550300207"/>
        <c:axId val="506817855"/>
        <c:extLst>
          <c:ext xmlns:c15="http://schemas.microsoft.com/office/drawing/2012/chart" uri="{02D57815-91ED-43cb-92C2-25804820EDAC}">
            <c15:filteredLineSeries>
              <c15:ser>
                <c:idx val="2"/>
                <c:order val="2"/>
                <c:tx>
                  <c:strRef>
                    <c:extLst>
                      <c:ext uri="{02D57815-91ED-43cb-92C2-25804820EDAC}">
                        <c15:formulaRef>
                          <c15:sqref>'6. Summary Tracking Sheet'!$AT$3</c15:sqref>
                        </c15:formulaRef>
                      </c:ext>
                    </c:extLst>
                    <c:strCache>
                      <c:ptCount val="1"/>
                      <c:pt idx="0">
                        <c:v>ReadyForCW_BL(SUM)</c:v>
                      </c:pt>
                    </c:strCache>
                  </c:strRef>
                </c:tx>
                <c:spPr>
                  <a:ln w="22225" cap="rnd">
                    <a:solidFill>
                      <a:schemeClr val="accent3"/>
                    </a:solidFill>
                    <a:round/>
                  </a:ln>
                  <a:effectLst/>
                </c:spPr>
                <c:marker>
                  <c:symbol val="none"/>
                </c:marker>
                <c:val>
                  <c:numRef>
                    <c:extLst>
                      <c:ext uri="{02D57815-91ED-43cb-92C2-25804820EDAC}">
                        <c15:fullRef>
                          <c15:sqref>'6. Summary Tracking Sheet'!$AV$4:$AV$44</c15:sqref>
                        </c15:fullRef>
                        <c15:formulaRef>
                          <c15:sqref>'6. Summary Tracking Sheet'!$AV$23:$AV$40</c15:sqref>
                        </c15:formulaRef>
                      </c:ext>
                    </c:extLst>
                    <c:numCache>
                      <c:formatCode>0;\-0;\-;@</c:formatCode>
                      <c:ptCount val="18"/>
                      <c:pt idx="0">
                        <c:v>0</c:v>
                      </c:pt>
                      <c:pt idx="1">
                        <c:v>0</c:v>
                      </c:pt>
                      <c:pt idx="2">
                        <c:v>0</c:v>
                      </c:pt>
                      <c:pt idx="3">
                        <c:v>0</c:v>
                      </c:pt>
                      <c:pt idx="4">
                        <c:v>1</c:v>
                      </c:pt>
                      <c:pt idx="5">
                        <c:v>5</c:v>
                      </c:pt>
                      <c:pt idx="6">
                        <c:v>15</c:v>
                      </c:pt>
                      <c:pt idx="7">
                        <c:v>25</c:v>
                      </c:pt>
                      <c:pt idx="8">
                        <c:v>38</c:v>
                      </c:pt>
                      <c:pt idx="9">
                        <c:v>61</c:v>
                      </c:pt>
                      <c:pt idx="10">
                        <c:v>71</c:v>
                      </c:pt>
                      <c:pt idx="11">
                        <c:v>80</c:v>
                      </c:pt>
                      <c:pt idx="12">
                        <c:v>80</c:v>
                      </c:pt>
                      <c:pt idx="13">
                        <c:v>80</c:v>
                      </c:pt>
                      <c:pt idx="14">
                        <c:v>80</c:v>
                      </c:pt>
                      <c:pt idx="15">
                        <c:v>80</c:v>
                      </c:pt>
                      <c:pt idx="16">
                        <c:v>80</c:v>
                      </c:pt>
                      <c:pt idx="17">
                        <c:v>80</c:v>
                      </c:pt>
                    </c:numCache>
                  </c:numRef>
                </c:val>
                <c:smooth val="0"/>
                <c:extLst>
                  <c:ext xmlns:c16="http://schemas.microsoft.com/office/drawing/2014/chart" uri="{C3380CC4-5D6E-409C-BE32-E72D297353CC}">
                    <c16:uniqueId val="{00000002-44E9-4450-9DE5-8F75B9AED852}"/>
                  </c:ext>
                </c:extLst>
              </c15:ser>
            </c15:filteredLineSeries>
            <c15:filteredLineSeries>
              <c15:ser>
                <c:idx val="3"/>
                <c:order val="3"/>
                <c:tx>
                  <c:strRef>
                    <c:extLst xmlns:c15="http://schemas.microsoft.com/office/drawing/2012/chart">
                      <c:ext xmlns:c15="http://schemas.microsoft.com/office/drawing/2012/chart" uri="{02D57815-91ED-43cb-92C2-25804820EDAC}">
                        <c15:formulaRef>
                          <c15:sqref>'6. Summary Tracking Sheet'!$AV$3</c15:sqref>
                        </c15:formulaRef>
                      </c:ext>
                    </c:extLst>
                    <c:strCache>
                      <c:ptCount val="1"/>
                      <c:pt idx="0">
                        <c:v>ReadyForCW_AC(SUM)</c:v>
                      </c:pt>
                    </c:strCache>
                  </c:strRef>
                </c:tx>
                <c:spPr>
                  <a:ln w="22225" cap="rnd">
                    <a:solidFill>
                      <a:schemeClr val="accent4"/>
                    </a:solidFill>
                    <a:round/>
                  </a:ln>
                  <a:effectLst/>
                </c:spPr>
                <c:marker>
                  <c:symbol val="none"/>
                </c:marker>
                <c:val>
                  <c:numRef>
                    <c:extLst>
                      <c:ext xmlns:c15="http://schemas.microsoft.com/office/drawing/2012/chart" uri="{02D57815-91ED-43cb-92C2-25804820EDAC}">
                        <c15:fullRef>
                          <c15:sqref>'6. Summary Tracking Sheet'!$AX$4:$AX$44</c15:sqref>
                        </c15:fullRef>
                        <c15:formulaRef>
                          <c15:sqref>'6. Summary Tracking Sheet'!$AX$23:$AX$40</c15:sqref>
                        </c15:formulaRef>
                      </c:ext>
                    </c:extLst>
                    <c:numCache>
                      <c:formatCode>0;\-0;\-;@</c:formatCode>
                      <c:ptCount val="18"/>
                      <c:pt idx="0">
                        <c:v>0</c:v>
                      </c:pt>
                      <c:pt idx="1">
                        <c:v>0</c:v>
                      </c:pt>
                      <c:pt idx="2">
                        <c:v>0</c:v>
                      </c:pt>
                      <c:pt idx="3">
                        <c:v>0</c:v>
                      </c:pt>
                      <c:pt idx="4">
                        <c:v>0</c:v>
                      </c:pt>
                      <c:pt idx="5">
                        <c:v>1500</c:v>
                      </c:pt>
                      <c:pt idx="6">
                        <c:v>9000</c:v>
                      </c:pt>
                      <c:pt idx="7">
                        <c:v>15000</c:v>
                      </c:pt>
                      <c:pt idx="8">
                        <c:v>33000</c:v>
                      </c:pt>
                      <c:pt idx="9">
                        <c:v>52500</c:v>
                      </c:pt>
                      <c:pt idx="10">
                        <c:v>78000</c:v>
                      </c:pt>
                      <c:pt idx="11">
                        <c:v>100500</c:v>
                      </c:pt>
                      <c:pt idx="12">
                        <c:v>105000</c:v>
                      </c:pt>
                      <c:pt idx="13">
                        <c:v>105000</c:v>
                      </c:pt>
                      <c:pt idx="14">
                        <c:v>105000</c:v>
                      </c:pt>
                      <c:pt idx="15">
                        <c:v>105000</c:v>
                      </c:pt>
                      <c:pt idx="16">
                        <c:v>105000</c:v>
                      </c:pt>
                      <c:pt idx="17">
                        <c:v>105000</c:v>
                      </c:pt>
                    </c:numCache>
                  </c:numRef>
                </c:val>
                <c:smooth val="0"/>
                <c:extLst xmlns:c15="http://schemas.microsoft.com/office/drawing/2012/chart">
                  <c:ext xmlns:c16="http://schemas.microsoft.com/office/drawing/2014/chart" uri="{C3380CC4-5D6E-409C-BE32-E72D297353CC}">
                    <c16:uniqueId val="{00000003-44E9-4450-9DE5-8F75B9AED852}"/>
                  </c:ext>
                </c:extLst>
              </c15:ser>
            </c15:filteredLineSeries>
            <c15:filteredLineSeries>
              <c15:ser>
                <c:idx val="4"/>
                <c:order val="4"/>
                <c:tx>
                  <c:strRef>
                    <c:extLst xmlns:c15="http://schemas.microsoft.com/office/drawing/2012/chart">
                      <c:ext xmlns:c15="http://schemas.microsoft.com/office/drawing/2012/chart" uri="{02D57815-91ED-43cb-92C2-25804820EDAC}">
                        <c15:formulaRef>
                          <c15:sqref>'6. Summary Tracking Sheet'!$BD$3</c15:sqref>
                        </c15:formulaRef>
                      </c:ext>
                    </c:extLst>
                    <c:strCache>
                      <c:ptCount val="1"/>
                      <c:pt idx="0">
                        <c:v>ReadyForPower_BL(SUM)</c:v>
                      </c:pt>
                    </c:strCache>
                  </c:strRef>
                </c:tx>
                <c:spPr>
                  <a:ln w="22225" cap="rnd">
                    <a:solidFill>
                      <a:schemeClr val="accent5"/>
                    </a:solidFill>
                    <a:round/>
                  </a:ln>
                  <a:effectLst/>
                </c:spPr>
                <c:marker>
                  <c:symbol val="none"/>
                </c:marker>
                <c:val>
                  <c:numRef>
                    <c:extLst>
                      <c:ext xmlns:c15="http://schemas.microsoft.com/office/drawing/2012/chart" uri="{02D57815-91ED-43cb-92C2-25804820EDAC}">
                        <c15:fullRef>
                          <c15:sqref>'6. Summary Tracking Sheet'!$BF$4:$BF$44</c15:sqref>
                        </c15:fullRef>
                        <c15:formulaRef>
                          <c15:sqref>'6. Summary Tracking Sheet'!$BF$23:$BF$40</c15:sqref>
                        </c15:formulaRef>
                      </c:ext>
                    </c:extLst>
                    <c:numCache>
                      <c:formatCode>0;\-0;\-;@</c:formatCode>
                      <c:ptCount val="18"/>
                      <c:pt idx="0">
                        <c:v>0</c:v>
                      </c:pt>
                      <c:pt idx="1">
                        <c:v>0</c:v>
                      </c:pt>
                      <c:pt idx="2">
                        <c:v>0</c:v>
                      </c:pt>
                      <c:pt idx="3">
                        <c:v>0</c:v>
                      </c:pt>
                      <c:pt idx="4">
                        <c:v>0</c:v>
                      </c:pt>
                      <c:pt idx="5">
                        <c:v>1</c:v>
                      </c:pt>
                      <c:pt idx="6">
                        <c:v>6</c:v>
                      </c:pt>
                      <c:pt idx="7">
                        <c:v>10</c:v>
                      </c:pt>
                      <c:pt idx="8">
                        <c:v>22</c:v>
                      </c:pt>
                      <c:pt idx="9">
                        <c:v>35</c:v>
                      </c:pt>
                      <c:pt idx="10">
                        <c:v>52</c:v>
                      </c:pt>
                      <c:pt idx="11">
                        <c:v>67</c:v>
                      </c:pt>
                      <c:pt idx="12">
                        <c:v>70</c:v>
                      </c:pt>
                      <c:pt idx="13">
                        <c:v>70</c:v>
                      </c:pt>
                      <c:pt idx="14">
                        <c:v>70</c:v>
                      </c:pt>
                      <c:pt idx="15">
                        <c:v>70</c:v>
                      </c:pt>
                      <c:pt idx="16">
                        <c:v>70</c:v>
                      </c:pt>
                      <c:pt idx="17">
                        <c:v>70</c:v>
                      </c:pt>
                    </c:numCache>
                  </c:numRef>
                </c:val>
                <c:smooth val="0"/>
                <c:extLst xmlns:c15="http://schemas.microsoft.com/office/drawing/2012/chart">
                  <c:ext xmlns:c16="http://schemas.microsoft.com/office/drawing/2014/chart" uri="{C3380CC4-5D6E-409C-BE32-E72D297353CC}">
                    <c16:uniqueId val="{00000004-44E9-4450-9DE5-8F75B9AED852}"/>
                  </c:ext>
                </c:extLst>
              </c15:ser>
            </c15:filteredLineSeries>
            <c15:filteredLineSeries>
              <c15:ser>
                <c:idx val="5"/>
                <c:order val="5"/>
                <c:tx>
                  <c:strRef>
                    <c:extLst xmlns:c15="http://schemas.microsoft.com/office/drawing/2012/chart">
                      <c:ext xmlns:c15="http://schemas.microsoft.com/office/drawing/2012/chart" uri="{02D57815-91ED-43cb-92C2-25804820EDAC}">
                        <c15:formulaRef>
                          <c15:sqref>'6. Summary Tracking Sheet'!$BF$3</c15:sqref>
                        </c15:formulaRef>
                      </c:ext>
                    </c:extLst>
                    <c:strCache>
                      <c:ptCount val="1"/>
                      <c:pt idx="0">
                        <c:v>ReadyForPower_AC(SUM)</c:v>
                      </c:pt>
                    </c:strCache>
                  </c:strRef>
                </c:tx>
                <c:spPr>
                  <a:ln w="22225" cap="rnd">
                    <a:solidFill>
                      <a:schemeClr val="accent6"/>
                    </a:solidFill>
                    <a:round/>
                  </a:ln>
                  <a:effectLst/>
                </c:spPr>
                <c:marker>
                  <c:symbol val="none"/>
                </c:marker>
                <c:val>
                  <c:numRef>
                    <c:extLst>
                      <c:ext xmlns:c15="http://schemas.microsoft.com/office/drawing/2012/chart" uri="{02D57815-91ED-43cb-92C2-25804820EDAC}">
                        <c15:fullRef>
                          <c15:sqref>'6. Summary Tracking Sheet'!$BH$4:$BH$44</c15:sqref>
                        </c15:fullRef>
                        <c15:formulaRef>
                          <c15:sqref>'6. Summary Tracking Sheet'!$BH$23:$BH$40</c15:sqref>
                        </c15:formulaRef>
                      </c:ext>
                    </c:extLst>
                    <c:numCache>
                      <c:formatCode>0;\-0;\-;@</c:formatCode>
                      <c:ptCount val="18"/>
                      <c:pt idx="0">
                        <c:v>0</c:v>
                      </c:pt>
                      <c:pt idx="1">
                        <c:v>0</c:v>
                      </c:pt>
                      <c:pt idx="2">
                        <c:v>0</c:v>
                      </c:pt>
                      <c:pt idx="3">
                        <c:v>0</c:v>
                      </c:pt>
                      <c:pt idx="4">
                        <c:v>0</c:v>
                      </c:pt>
                      <c:pt idx="5">
                        <c:v>0</c:v>
                      </c:pt>
                      <c:pt idx="6">
                        <c:v>500</c:v>
                      </c:pt>
                      <c:pt idx="7">
                        <c:v>2000</c:v>
                      </c:pt>
                      <c:pt idx="8">
                        <c:v>7500</c:v>
                      </c:pt>
                      <c:pt idx="9">
                        <c:v>12500</c:v>
                      </c:pt>
                      <c:pt idx="10">
                        <c:v>19000</c:v>
                      </c:pt>
                      <c:pt idx="11">
                        <c:v>27000</c:v>
                      </c:pt>
                      <c:pt idx="12">
                        <c:v>29500</c:v>
                      </c:pt>
                      <c:pt idx="13">
                        <c:v>30000</c:v>
                      </c:pt>
                      <c:pt idx="14">
                        <c:v>30000</c:v>
                      </c:pt>
                      <c:pt idx="15">
                        <c:v>30000</c:v>
                      </c:pt>
                      <c:pt idx="16">
                        <c:v>30000</c:v>
                      </c:pt>
                      <c:pt idx="17">
                        <c:v>30000</c:v>
                      </c:pt>
                    </c:numCache>
                  </c:numRef>
                </c:val>
                <c:smooth val="0"/>
                <c:extLst xmlns:c15="http://schemas.microsoft.com/office/drawing/2012/chart">
                  <c:ext xmlns:c16="http://schemas.microsoft.com/office/drawing/2014/chart" uri="{C3380CC4-5D6E-409C-BE32-E72D297353CC}">
                    <c16:uniqueId val="{00000005-44E9-4450-9DE5-8F75B9AED852}"/>
                  </c:ext>
                </c:extLst>
              </c15:ser>
            </c15:filteredLineSeries>
            <c15:filteredLineSeries>
              <c15:ser>
                <c:idx val="6"/>
                <c:order val="6"/>
                <c:tx>
                  <c:strRef>
                    <c:extLst xmlns:c15="http://schemas.microsoft.com/office/drawing/2012/chart">
                      <c:ext xmlns:c15="http://schemas.microsoft.com/office/drawing/2012/chart" uri="{02D57815-91ED-43cb-92C2-25804820EDAC}">
                        <c15:formulaRef>
                          <c15:sqref>'6. Summary Tracking Sheet'!$BN$3</c15:sqref>
                        </c15:formulaRef>
                      </c:ext>
                    </c:extLst>
                    <c:strCache>
                      <c:ptCount val="1"/>
                      <c:pt idx="0">
                        <c:v>TXReady_BL(SUM)</c:v>
                      </c:pt>
                    </c:strCache>
                  </c:strRef>
                </c:tx>
                <c:spPr>
                  <a:ln w="22225" cap="rnd">
                    <a:solidFill>
                      <a:schemeClr val="accent1">
                        <a:lumMod val="60000"/>
                      </a:schemeClr>
                    </a:solidFill>
                    <a:round/>
                  </a:ln>
                  <a:effectLst/>
                </c:spPr>
                <c:marker>
                  <c:symbol val="none"/>
                </c:marker>
                <c:val>
                  <c:numRef>
                    <c:extLst>
                      <c:ext xmlns:c15="http://schemas.microsoft.com/office/drawing/2012/chart" uri="{02D57815-91ED-43cb-92C2-25804820EDAC}">
                        <c15:fullRef>
                          <c15:sqref>'6. Summary Tracking Sheet'!$BP$4:$BP$44</c15:sqref>
                        </c15:fullRef>
                        <c15:formulaRef>
                          <c15:sqref>'6. Summary Tracking Sheet'!$BP$23:$BP$40</c15:sqref>
                        </c15:formulaRef>
                      </c:ext>
                    </c:extLst>
                    <c:numCache>
                      <c:formatCode>0;\-0;\-;@</c:formatCode>
                      <c:ptCount val="18"/>
                      <c:pt idx="0">
                        <c:v>0</c:v>
                      </c:pt>
                      <c:pt idx="1">
                        <c:v>0</c:v>
                      </c:pt>
                      <c:pt idx="2">
                        <c:v>0</c:v>
                      </c:pt>
                      <c:pt idx="3">
                        <c:v>0</c:v>
                      </c:pt>
                      <c:pt idx="4">
                        <c:v>0</c:v>
                      </c:pt>
                      <c:pt idx="5">
                        <c:v>0</c:v>
                      </c:pt>
                      <c:pt idx="6">
                        <c:v>1</c:v>
                      </c:pt>
                      <c:pt idx="7">
                        <c:v>4</c:v>
                      </c:pt>
                      <c:pt idx="8">
                        <c:v>15</c:v>
                      </c:pt>
                      <c:pt idx="9">
                        <c:v>25</c:v>
                      </c:pt>
                      <c:pt idx="10">
                        <c:v>38</c:v>
                      </c:pt>
                      <c:pt idx="11">
                        <c:v>54</c:v>
                      </c:pt>
                      <c:pt idx="12">
                        <c:v>59</c:v>
                      </c:pt>
                      <c:pt idx="13">
                        <c:v>60</c:v>
                      </c:pt>
                      <c:pt idx="14">
                        <c:v>60</c:v>
                      </c:pt>
                      <c:pt idx="15">
                        <c:v>60</c:v>
                      </c:pt>
                      <c:pt idx="16">
                        <c:v>60</c:v>
                      </c:pt>
                      <c:pt idx="17">
                        <c:v>60</c:v>
                      </c:pt>
                    </c:numCache>
                  </c:numRef>
                </c:val>
                <c:smooth val="0"/>
                <c:extLst xmlns:c15="http://schemas.microsoft.com/office/drawing/2012/chart">
                  <c:ext xmlns:c16="http://schemas.microsoft.com/office/drawing/2014/chart" uri="{C3380CC4-5D6E-409C-BE32-E72D297353CC}">
                    <c16:uniqueId val="{00000006-44E9-4450-9DE5-8F75B9AED852}"/>
                  </c:ext>
                </c:extLst>
              </c15:ser>
            </c15:filteredLineSeries>
            <c15:filteredLineSeries>
              <c15:ser>
                <c:idx val="7"/>
                <c:order val="7"/>
                <c:tx>
                  <c:strRef>
                    <c:extLst xmlns:c15="http://schemas.microsoft.com/office/drawing/2012/chart">
                      <c:ext xmlns:c15="http://schemas.microsoft.com/office/drawing/2012/chart" uri="{02D57815-91ED-43cb-92C2-25804820EDAC}">
                        <c15:formulaRef>
                          <c15:sqref>'6. Summary Tracking Sheet'!$BP$3</c15:sqref>
                        </c15:formulaRef>
                      </c:ext>
                    </c:extLst>
                    <c:strCache>
                      <c:ptCount val="1"/>
                      <c:pt idx="0">
                        <c:v>TXReady_AC(SUM)</c:v>
                      </c:pt>
                    </c:strCache>
                  </c:strRef>
                </c:tx>
                <c:spPr>
                  <a:ln w="22225" cap="rnd">
                    <a:solidFill>
                      <a:schemeClr val="accent2">
                        <a:lumMod val="60000"/>
                      </a:schemeClr>
                    </a:solidFill>
                    <a:round/>
                  </a:ln>
                  <a:effectLst/>
                </c:spPr>
                <c:marker>
                  <c:symbol val="none"/>
                </c:marker>
                <c:val>
                  <c:numRef>
                    <c:extLst>
                      <c:ext xmlns:c15="http://schemas.microsoft.com/office/drawing/2012/chart" uri="{02D57815-91ED-43cb-92C2-25804820EDAC}">
                        <c15:fullRef>
                          <c15:sqref>'6. Summary Tracking Sheet'!$BR$4:$BR$44</c15:sqref>
                        </c15:fullRef>
                        <c15:formulaRef>
                          <c15:sqref>'6. Summary Tracking Sheet'!$BR$23:$BR$40</c15:sqref>
                        </c15:formulaRef>
                      </c:ext>
                    </c:extLst>
                    <c:numCache>
                      <c:formatCode>0;\-0;\-;@</c:formatCode>
                      <c:ptCount val="18"/>
                      <c:pt idx="0">
                        <c:v>0</c:v>
                      </c:pt>
                      <c:pt idx="1">
                        <c:v>0</c:v>
                      </c:pt>
                      <c:pt idx="2">
                        <c:v>0</c:v>
                      </c:pt>
                      <c:pt idx="3">
                        <c:v>0</c:v>
                      </c:pt>
                      <c:pt idx="4">
                        <c:v>0</c:v>
                      </c:pt>
                      <c:pt idx="5">
                        <c:v>0</c:v>
                      </c:pt>
                      <c:pt idx="6">
                        <c:v>0</c:v>
                      </c:pt>
                      <c:pt idx="7">
                        <c:v>500</c:v>
                      </c:pt>
                      <c:pt idx="8">
                        <c:v>2500</c:v>
                      </c:pt>
                      <c:pt idx="9">
                        <c:v>6000</c:v>
                      </c:pt>
                      <c:pt idx="10">
                        <c:v>12000</c:v>
                      </c:pt>
                      <c:pt idx="11">
                        <c:v>19000</c:v>
                      </c:pt>
                      <c:pt idx="12">
                        <c:v>24500</c:v>
                      </c:pt>
                      <c:pt idx="13">
                        <c:v>25500</c:v>
                      </c:pt>
                      <c:pt idx="14">
                        <c:v>25500</c:v>
                      </c:pt>
                      <c:pt idx="15">
                        <c:v>25500</c:v>
                      </c:pt>
                      <c:pt idx="16">
                        <c:v>25500</c:v>
                      </c:pt>
                      <c:pt idx="17">
                        <c:v>25500</c:v>
                      </c:pt>
                    </c:numCache>
                  </c:numRef>
                </c:val>
                <c:smooth val="0"/>
                <c:extLst xmlns:c15="http://schemas.microsoft.com/office/drawing/2012/chart">
                  <c:ext xmlns:c16="http://schemas.microsoft.com/office/drawing/2014/chart" uri="{C3380CC4-5D6E-409C-BE32-E72D297353CC}">
                    <c16:uniqueId val="{00000007-44E9-4450-9DE5-8F75B9AED852}"/>
                  </c:ext>
                </c:extLst>
              </c15:ser>
            </c15:filteredLineSeries>
            <c15:filteredLineSeries>
              <c15:ser>
                <c:idx val="8"/>
                <c:order val="8"/>
                <c:tx>
                  <c:strRef>
                    <c:extLst xmlns:c15="http://schemas.microsoft.com/office/drawing/2012/chart">
                      <c:ext xmlns:c15="http://schemas.microsoft.com/office/drawing/2012/chart" uri="{02D57815-91ED-43cb-92C2-25804820EDAC}">
                        <c15:formulaRef>
                          <c15:sqref>'6. Summary Tracking Sheet'!$BX$3</c15:sqref>
                        </c15:formulaRef>
                      </c:ext>
                    </c:extLst>
                    <c:strCache>
                      <c:ptCount val="1"/>
                      <c:pt idx="0">
                        <c:v>ReadyForInstallation_BL(SUM)</c:v>
                      </c:pt>
                    </c:strCache>
                  </c:strRef>
                </c:tx>
                <c:spPr>
                  <a:ln w="22225" cap="rnd">
                    <a:solidFill>
                      <a:schemeClr val="accent3">
                        <a:lumMod val="60000"/>
                      </a:schemeClr>
                    </a:solidFill>
                    <a:round/>
                  </a:ln>
                  <a:effectLst/>
                </c:spPr>
                <c:marker>
                  <c:symbol val="none"/>
                </c:marker>
                <c:val>
                  <c:numRef>
                    <c:extLst>
                      <c:ext xmlns:c15="http://schemas.microsoft.com/office/drawing/2012/chart" uri="{02D57815-91ED-43cb-92C2-25804820EDAC}">
                        <c15:fullRef>
                          <c15:sqref>'6. Summary Tracking Sheet'!$BZ$4:$BZ$44</c15:sqref>
                        </c15:fullRef>
                        <c15:formulaRef>
                          <c15:sqref>'6. Summary Tracking Sheet'!$BZ$23:$BZ$40</c15:sqref>
                        </c15:formulaRef>
                      </c:ext>
                    </c:extLst>
                    <c:numCache>
                      <c:formatCode>0;\-0;\-;@</c:formatCode>
                      <c:ptCount val="18"/>
                      <c:pt idx="0">
                        <c:v>0</c:v>
                      </c:pt>
                      <c:pt idx="1">
                        <c:v>0</c:v>
                      </c:pt>
                      <c:pt idx="2">
                        <c:v>0</c:v>
                      </c:pt>
                      <c:pt idx="3">
                        <c:v>0</c:v>
                      </c:pt>
                      <c:pt idx="4">
                        <c:v>0</c:v>
                      </c:pt>
                      <c:pt idx="5">
                        <c:v>0</c:v>
                      </c:pt>
                      <c:pt idx="6">
                        <c:v>0</c:v>
                      </c:pt>
                      <c:pt idx="7">
                        <c:v>1</c:v>
                      </c:pt>
                      <c:pt idx="8">
                        <c:v>5</c:v>
                      </c:pt>
                      <c:pt idx="9">
                        <c:v>12</c:v>
                      </c:pt>
                      <c:pt idx="10">
                        <c:v>24</c:v>
                      </c:pt>
                      <c:pt idx="11">
                        <c:v>38</c:v>
                      </c:pt>
                      <c:pt idx="12">
                        <c:v>49</c:v>
                      </c:pt>
                      <c:pt idx="13">
                        <c:v>51</c:v>
                      </c:pt>
                      <c:pt idx="14">
                        <c:v>51</c:v>
                      </c:pt>
                      <c:pt idx="15">
                        <c:v>51</c:v>
                      </c:pt>
                      <c:pt idx="16">
                        <c:v>51</c:v>
                      </c:pt>
                      <c:pt idx="17">
                        <c:v>51</c:v>
                      </c:pt>
                    </c:numCache>
                  </c:numRef>
                </c:val>
                <c:smooth val="0"/>
                <c:extLst xmlns:c15="http://schemas.microsoft.com/office/drawing/2012/chart">
                  <c:ext xmlns:c16="http://schemas.microsoft.com/office/drawing/2014/chart" uri="{C3380CC4-5D6E-409C-BE32-E72D297353CC}">
                    <c16:uniqueId val="{00000008-44E9-4450-9DE5-8F75B9AED852}"/>
                  </c:ext>
                </c:extLst>
              </c15:ser>
            </c15:filteredLineSeries>
            <c15:filteredLineSeries>
              <c15:ser>
                <c:idx val="9"/>
                <c:order val="9"/>
                <c:tx>
                  <c:strRef>
                    <c:extLst xmlns:c15="http://schemas.microsoft.com/office/drawing/2012/chart">
                      <c:ext xmlns:c15="http://schemas.microsoft.com/office/drawing/2012/chart" uri="{02D57815-91ED-43cb-92C2-25804820EDAC}">
                        <c15:formulaRef>
                          <c15:sqref>'6. Summary Tracking Sheet'!$BZ$3</c15:sqref>
                        </c15:formulaRef>
                      </c:ext>
                    </c:extLst>
                    <c:strCache>
                      <c:ptCount val="1"/>
                      <c:pt idx="0">
                        <c:v>ReadyForInstallation_AC(SUM)</c:v>
                      </c:pt>
                    </c:strCache>
                  </c:strRef>
                </c:tx>
                <c:spPr>
                  <a:ln w="22225" cap="rnd">
                    <a:solidFill>
                      <a:schemeClr val="accent4">
                        <a:lumMod val="60000"/>
                      </a:schemeClr>
                    </a:solidFill>
                    <a:round/>
                  </a:ln>
                  <a:effectLst/>
                </c:spPr>
                <c:marker>
                  <c:symbol val="none"/>
                </c:marker>
                <c:val>
                  <c:numRef>
                    <c:extLst>
                      <c:ext xmlns:c15="http://schemas.microsoft.com/office/drawing/2012/chart" uri="{02D57815-91ED-43cb-92C2-25804820EDAC}">
                        <c15:fullRef>
                          <c15:sqref>'6. Summary Tracking Sheet'!$CB$4:$CB$44</c15:sqref>
                        </c15:fullRef>
                        <c15:formulaRef>
                          <c15:sqref>'6. Summary Tracking Sheet'!$CB$23:$CB$40</c15:sqref>
                        </c15:formulaRef>
                      </c:ext>
                    </c:extLst>
                    <c:numCache>
                      <c:formatCode>0;\-0;\-;@</c:formatCode>
                      <c:ptCount val="18"/>
                      <c:pt idx="0">
                        <c:v>0</c:v>
                      </c:pt>
                      <c:pt idx="1">
                        <c:v>0</c:v>
                      </c:pt>
                      <c:pt idx="2">
                        <c:v>0</c:v>
                      </c:pt>
                      <c:pt idx="3">
                        <c:v>0</c:v>
                      </c:pt>
                      <c:pt idx="4">
                        <c:v>0</c:v>
                      </c:pt>
                      <c:pt idx="5">
                        <c:v>0</c:v>
                      </c:pt>
                      <c:pt idx="6">
                        <c:v>0</c:v>
                      </c:pt>
                      <c:pt idx="7">
                        <c:v>0</c:v>
                      </c:pt>
                      <c:pt idx="8">
                        <c:v>5000</c:v>
                      </c:pt>
                      <c:pt idx="9">
                        <c:v>17500</c:v>
                      </c:pt>
                      <c:pt idx="10">
                        <c:v>40000</c:v>
                      </c:pt>
                      <c:pt idx="11">
                        <c:v>70000</c:v>
                      </c:pt>
                      <c:pt idx="12">
                        <c:v>95000</c:v>
                      </c:pt>
                      <c:pt idx="13">
                        <c:v>100000</c:v>
                      </c:pt>
                      <c:pt idx="14">
                        <c:v>100000</c:v>
                      </c:pt>
                      <c:pt idx="15">
                        <c:v>100000</c:v>
                      </c:pt>
                      <c:pt idx="16">
                        <c:v>100000</c:v>
                      </c:pt>
                      <c:pt idx="17">
                        <c:v>100000</c:v>
                      </c:pt>
                    </c:numCache>
                  </c:numRef>
                </c:val>
                <c:smooth val="0"/>
                <c:extLst xmlns:c15="http://schemas.microsoft.com/office/drawing/2012/chart">
                  <c:ext xmlns:c16="http://schemas.microsoft.com/office/drawing/2014/chart" uri="{C3380CC4-5D6E-409C-BE32-E72D297353CC}">
                    <c16:uniqueId val="{00000009-44E9-4450-9DE5-8F75B9AED852}"/>
                  </c:ext>
                </c:extLst>
              </c15:ser>
            </c15:filteredLineSeries>
            <c15:filteredLineSeries>
              <c15:ser>
                <c:idx val="10"/>
                <c:order val="10"/>
                <c:tx>
                  <c:strRef>
                    <c:extLst xmlns:c15="http://schemas.microsoft.com/office/drawing/2012/chart">
                      <c:ext xmlns:c15="http://schemas.microsoft.com/office/drawing/2012/chart" uri="{02D57815-91ED-43cb-92C2-25804820EDAC}">
                        <c15:formulaRef>
                          <c15:sqref>'6. Summary Tracking Sheet'!$CH$3</c15:sqref>
                        </c15:formulaRef>
                      </c:ext>
                    </c:extLst>
                    <c:strCache>
                      <c:ptCount val="1"/>
                      <c:pt idx="0">
                        <c:v>ReadyForIntegration_BL(SUM)</c:v>
                      </c:pt>
                    </c:strCache>
                  </c:strRef>
                </c:tx>
                <c:spPr>
                  <a:ln w="22225" cap="rnd">
                    <a:solidFill>
                      <a:schemeClr val="accent5">
                        <a:lumMod val="60000"/>
                      </a:schemeClr>
                    </a:solidFill>
                    <a:round/>
                  </a:ln>
                  <a:effectLst/>
                </c:spPr>
                <c:marker>
                  <c:symbol val="none"/>
                </c:marker>
                <c:val>
                  <c:numRef>
                    <c:extLst>
                      <c:ext xmlns:c15="http://schemas.microsoft.com/office/drawing/2012/chart" uri="{02D57815-91ED-43cb-92C2-25804820EDAC}">
                        <c15:fullRef>
                          <c15:sqref>'6. Summary Tracking Sheet'!$CJ$4:$CJ$44</c15:sqref>
                        </c15:fullRef>
                        <c15:formulaRef>
                          <c15:sqref>'6. Summary Tracking Sheet'!$CJ$23:$CJ$40</c15:sqref>
                        </c15:formulaRef>
                      </c:ext>
                    </c:extLst>
                    <c:numCache>
                      <c:formatCode>0;\-0;\-;@</c:formatCode>
                      <c:ptCount val="18"/>
                      <c:pt idx="0">
                        <c:v>0</c:v>
                      </c:pt>
                      <c:pt idx="1">
                        <c:v>0</c:v>
                      </c:pt>
                      <c:pt idx="2">
                        <c:v>0</c:v>
                      </c:pt>
                      <c:pt idx="3">
                        <c:v>0</c:v>
                      </c:pt>
                      <c:pt idx="4">
                        <c:v>0</c:v>
                      </c:pt>
                      <c:pt idx="5">
                        <c:v>0</c:v>
                      </c:pt>
                      <c:pt idx="6">
                        <c:v>0</c:v>
                      </c:pt>
                      <c:pt idx="7">
                        <c:v>0</c:v>
                      </c:pt>
                      <c:pt idx="8">
                        <c:v>2</c:v>
                      </c:pt>
                      <c:pt idx="9">
                        <c:v>7</c:v>
                      </c:pt>
                      <c:pt idx="10">
                        <c:v>16</c:v>
                      </c:pt>
                      <c:pt idx="11">
                        <c:v>28</c:v>
                      </c:pt>
                      <c:pt idx="12">
                        <c:v>38</c:v>
                      </c:pt>
                      <c:pt idx="13">
                        <c:v>40</c:v>
                      </c:pt>
                      <c:pt idx="14">
                        <c:v>40</c:v>
                      </c:pt>
                      <c:pt idx="15">
                        <c:v>40</c:v>
                      </c:pt>
                      <c:pt idx="16">
                        <c:v>40</c:v>
                      </c:pt>
                      <c:pt idx="17">
                        <c:v>40</c:v>
                      </c:pt>
                    </c:numCache>
                  </c:numRef>
                </c:val>
                <c:smooth val="0"/>
                <c:extLst xmlns:c15="http://schemas.microsoft.com/office/drawing/2012/chart">
                  <c:ext xmlns:c16="http://schemas.microsoft.com/office/drawing/2014/chart" uri="{C3380CC4-5D6E-409C-BE32-E72D297353CC}">
                    <c16:uniqueId val="{0000000A-44E9-4450-9DE5-8F75B9AED852}"/>
                  </c:ext>
                </c:extLst>
              </c15:ser>
            </c15:filteredLineSeries>
            <c15:filteredLineSeries>
              <c15:ser>
                <c:idx val="11"/>
                <c:order val="11"/>
                <c:tx>
                  <c:strRef>
                    <c:extLst xmlns:c15="http://schemas.microsoft.com/office/drawing/2012/chart">
                      <c:ext xmlns:c15="http://schemas.microsoft.com/office/drawing/2012/chart" uri="{02D57815-91ED-43cb-92C2-25804820EDAC}">
                        <c15:formulaRef>
                          <c15:sqref>'6. Summary Tracking Sheet'!$CJ$3</c15:sqref>
                        </c15:formulaRef>
                      </c:ext>
                    </c:extLst>
                    <c:strCache>
                      <c:ptCount val="1"/>
                      <c:pt idx="0">
                        <c:v>ReadyForIntegration_AC(SUM)</c:v>
                      </c:pt>
                    </c:strCache>
                  </c:strRef>
                </c:tx>
                <c:spPr>
                  <a:ln w="22225" cap="rnd">
                    <a:solidFill>
                      <a:schemeClr val="accent6">
                        <a:lumMod val="60000"/>
                      </a:schemeClr>
                    </a:solidFill>
                    <a:round/>
                  </a:ln>
                  <a:effectLst/>
                </c:spPr>
                <c:marker>
                  <c:symbol val="none"/>
                </c:marker>
                <c:val>
                  <c:numRef>
                    <c:extLst>
                      <c:ext xmlns:c15="http://schemas.microsoft.com/office/drawing/2012/chart" uri="{02D57815-91ED-43cb-92C2-25804820EDAC}">
                        <c15:fullRef>
                          <c15:sqref>'6. Summary Tracking Sheet'!$CL$4:$CL$44</c15:sqref>
                        </c15:fullRef>
                        <c15:formulaRef>
                          <c15:sqref>'6. Summary Tracking Sheet'!$CL$23:$CL$40</c15:sqref>
                        </c15:formulaRef>
                      </c:ext>
                    </c:extLst>
                    <c:numCache>
                      <c:formatCode>0;\-0;\-;@</c:formatCode>
                      <c:ptCount val="18"/>
                      <c:pt idx="0">
                        <c:v>0</c:v>
                      </c:pt>
                      <c:pt idx="1">
                        <c:v>0</c:v>
                      </c:pt>
                      <c:pt idx="2">
                        <c:v>0</c:v>
                      </c:pt>
                      <c:pt idx="3">
                        <c:v>0</c:v>
                      </c:pt>
                      <c:pt idx="4">
                        <c:v>0</c:v>
                      </c:pt>
                      <c:pt idx="5">
                        <c:v>0</c:v>
                      </c:pt>
                      <c:pt idx="6">
                        <c:v>0</c:v>
                      </c:pt>
                      <c:pt idx="7">
                        <c:v>0</c:v>
                      </c:pt>
                      <c:pt idx="8">
                        <c:v>500</c:v>
                      </c:pt>
                      <c:pt idx="9">
                        <c:v>3000</c:v>
                      </c:pt>
                      <c:pt idx="10">
                        <c:v>5000</c:v>
                      </c:pt>
                      <c:pt idx="11">
                        <c:v>10500</c:v>
                      </c:pt>
                      <c:pt idx="12">
                        <c:v>14000</c:v>
                      </c:pt>
                      <c:pt idx="13">
                        <c:v>15000</c:v>
                      </c:pt>
                      <c:pt idx="14">
                        <c:v>15000</c:v>
                      </c:pt>
                      <c:pt idx="15">
                        <c:v>15000</c:v>
                      </c:pt>
                      <c:pt idx="16">
                        <c:v>15000</c:v>
                      </c:pt>
                      <c:pt idx="17">
                        <c:v>15000</c:v>
                      </c:pt>
                    </c:numCache>
                  </c:numRef>
                </c:val>
                <c:smooth val="0"/>
                <c:extLst xmlns:c15="http://schemas.microsoft.com/office/drawing/2012/chart">
                  <c:ext xmlns:c16="http://schemas.microsoft.com/office/drawing/2014/chart" uri="{C3380CC4-5D6E-409C-BE32-E72D297353CC}">
                    <c16:uniqueId val="{0000000B-44E9-4450-9DE5-8F75B9AED852}"/>
                  </c:ext>
                </c:extLst>
              </c15:ser>
            </c15:filteredLineSeries>
            <c15:filteredLineSeries>
              <c15:ser>
                <c:idx val="12"/>
                <c:order val="12"/>
                <c:tx>
                  <c:strRef>
                    <c:extLst xmlns:c15="http://schemas.microsoft.com/office/drawing/2012/chart">
                      <c:ext xmlns:c15="http://schemas.microsoft.com/office/drawing/2012/chart" uri="{02D57815-91ED-43cb-92C2-25804820EDAC}">
                        <c15:formulaRef>
                          <c15:sqref>'6. Summary Tracking Sheet'!$CR$3</c15:sqref>
                        </c15:formulaRef>
                      </c:ext>
                    </c:extLst>
                    <c:strCache>
                      <c:ptCount val="1"/>
                      <c:pt idx="0">
                        <c:v>SiteOnAir_BL(SUM)</c:v>
                      </c:pt>
                    </c:strCache>
                  </c:strRef>
                </c:tx>
                <c:spPr>
                  <a:ln w="22225" cap="rnd">
                    <a:solidFill>
                      <a:schemeClr val="accent1">
                        <a:lumMod val="80000"/>
                        <a:lumOff val="20000"/>
                      </a:schemeClr>
                    </a:solidFill>
                    <a:round/>
                  </a:ln>
                  <a:effectLst/>
                </c:spPr>
                <c:marker>
                  <c:symbol val="none"/>
                </c:marker>
                <c:val>
                  <c:numRef>
                    <c:extLst>
                      <c:ext xmlns:c15="http://schemas.microsoft.com/office/drawing/2012/chart" uri="{02D57815-91ED-43cb-92C2-25804820EDAC}">
                        <c15:fullRef>
                          <c15:sqref>'6. Summary Tracking Sheet'!$CT$4:$CT$44</c15:sqref>
                        </c15:fullRef>
                        <c15:formulaRef>
                          <c15:sqref>'6. Summary Tracking Sheet'!$CT$23:$CT$40</c15:sqref>
                        </c15:formulaRef>
                      </c:ext>
                    </c:extLst>
                    <c:numCache>
                      <c:formatCode>0;\-0;\-;@</c:formatCode>
                      <c:ptCount val="18"/>
                      <c:pt idx="0">
                        <c:v>0</c:v>
                      </c:pt>
                      <c:pt idx="1">
                        <c:v>0</c:v>
                      </c:pt>
                      <c:pt idx="2">
                        <c:v>0</c:v>
                      </c:pt>
                      <c:pt idx="3">
                        <c:v>0</c:v>
                      </c:pt>
                      <c:pt idx="4">
                        <c:v>0</c:v>
                      </c:pt>
                      <c:pt idx="5">
                        <c:v>0</c:v>
                      </c:pt>
                      <c:pt idx="6">
                        <c:v>0</c:v>
                      </c:pt>
                      <c:pt idx="7">
                        <c:v>0</c:v>
                      </c:pt>
                      <c:pt idx="8">
                        <c:v>1</c:v>
                      </c:pt>
                      <c:pt idx="9">
                        <c:v>6</c:v>
                      </c:pt>
                      <c:pt idx="10">
                        <c:v>10</c:v>
                      </c:pt>
                      <c:pt idx="11">
                        <c:v>21</c:v>
                      </c:pt>
                      <c:pt idx="12">
                        <c:v>28</c:v>
                      </c:pt>
                      <c:pt idx="13">
                        <c:v>30</c:v>
                      </c:pt>
                      <c:pt idx="14">
                        <c:v>30</c:v>
                      </c:pt>
                      <c:pt idx="15">
                        <c:v>30</c:v>
                      </c:pt>
                      <c:pt idx="16">
                        <c:v>30</c:v>
                      </c:pt>
                      <c:pt idx="17">
                        <c:v>30</c:v>
                      </c:pt>
                    </c:numCache>
                  </c:numRef>
                </c:val>
                <c:smooth val="0"/>
                <c:extLst xmlns:c15="http://schemas.microsoft.com/office/drawing/2012/chart">
                  <c:ext xmlns:c16="http://schemas.microsoft.com/office/drawing/2014/chart" uri="{C3380CC4-5D6E-409C-BE32-E72D297353CC}">
                    <c16:uniqueId val="{0000000C-44E9-4450-9DE5-8F75B9AED852}"/>
                  </c:ext>
                </c:extLst>
              </c15:ser>
            </c15:filteredLineSeries>
            <c15:filteredLineSeries>
              <c15:ser>
                <c:idx val="13"/>
                <c:order val="13"/>
                <c:tx>
                  <c:strRef>
                    <c:extLst xmlns:c15="http://schemas.microsoft.com/office/drawing/2012/chart">
                      <c:ext xmlns:c15="http://schemas.microsoft.com/office/drawing/2012/chart" uri="{02D57815-91ED-43cb-92C2-25804820EDAC}">
                        <c15:formulaRef>
                          <c15:sqref>'6. Summary Tracking Sheet'!$CT$3</c15:sqref>
                        </c15:formulaRef>
                      </c:ext>
                    </c:extLst>
                    <c:strCache>
                      <c:ptCount val="1"/>
                      <c:pt idx="0">
                        <c:v>SiteOnAir_AC(SUM)</c:v>
                      </c:pt>
                    </c:strCache>
                  </c:strRef>
                </c:tx>
                <c:spPr>
                  <a:ln w="22225" cap="rnd">
                    <a:solidFill>
                      <a:schemeClr val="accent2">
                        <a:lumMod val="80000"/>
                        <a:lumOff val="20000"/>
                      </a:schemeClr>
                    </a:solidFill>
                    <a:round/>
                  </a:ln>
                  <a:effectLst/>
                </c:spPr>
                <c:marker>
                  <c:symbol val="none"/>
                </c:marker>
                <c:val>
                  <c:numRef>
                    <c:extLst>
                      <c:ext xmlns:c15="http://schemas.microsoft.com/office/drawing/2012/chart" uri="{02D57815-91ED-43cb-92C2-25804820EDAC}">
                        <c15:fullRef>
                          <c15:sqref>'6. Summary Tracking Sheet'!$CV$4:$CV$44</c15:sqref>
                        </c15:fullRef>
                        <c15:formulaRef>
                          <c15:sqref>'6. Summary Tracking Sheet'!$CV$23:$CV$40</c15:sqref>
                        </c15:formulaRef>
                      </c:ext>
                    </c:extLst>
                    <c:numCache>
                      <c:formatCode>0;\-0;\-;@</c:formatCode>
                      <c:ptCount val="18"/>
                      <c:pt idx="0">
                        <c:v>0</c:v>
                      </c:pt>
                      <c:pt idx="1">
                        <c:v>0</c:v>
                      </c:pt>
                      <c:pt idx="2">
                        <c:v>0</c:v>
                      </c:pt>
                      <c:pt idx="3">
                        <c:v>0</c:v>
                      </c:pt>
                      <c:pt idx="4">
                        <c:v>0</c:v>
                      </c:pt>
                      <c:pt idx="5">
                        <c:v>0</c:v>
                      </c:pt>
                      <c:pt idx="6">
                        <c:v>0</c:v>
                      </c:pt>
                      <c:pt idx="7">
                        <c:v>0</c:v>
                      </c:pt>
                      <c:pt idx="8">
                        <c:v>0</c:v>
                      </c:pt>
                      <c:pt idx="9">
                        <c:v>500</c:v>
                      </c:pt>
                      <c:pt idx="10">
                        <c:v>1250</c:v>
                      </c:pt>
                      <c:pt idx="11">
                        <c:v>3750</c:v>
                      </c:pt>
                      <c:pt idx="12">
                        <c:v>4750</c:v>
                      </c:pt>
                      <c:pt idx="13">
                        <c:v>5000</c:v>
                      </c:pt>
                      <c:pt idx="14">
                        <c:v>5000</c:v>
                      </c:pt>
                      <c:pt idx="15">
                        <c:v>5000</c:v>
                      </c:pt>
                      <c:pt idx="16">
                        <c:v>5000</c:v>
                      </c:pt>
                      <c:pt idx="17">
                        <c:v>5000</c:v>
                      </c:pt>
                    </c:numCache>
                  </c:numRef>
                </c:val>
                <c:smooth val="0"/>
                <c:extLst xmlns:c15="http://schemas.microsoft.com/office/drawing/2012/chart">
                  <c:ext xmlns:c16="http://schemas.microsoft.com/office/drawing/2014/chart" uri="{C3380CC4-5D6E-409C-BE32-E72D297353CC}">
                    <c16:uniqueId val="{0000000D-44E9-4450-9DE5-8F75B9AED852}"/>
                  </c:ext>
                </c:extLst>
              </c15:ser>
            </c15:filteredLineSeries>
            <c15:filteredLineSeries>
              <c15:ser>
                <c:idx val="14"/>
                <c:order val="14"/>
                <c:tx>
                  <c:strRef>
                    <c:extLst xmlns:c15="http://schemas.microsoft.com/office/drawing/2012/chart">
                      <c:ext xmlns:c15="http://schemas.microsoft.com/office/drawing/2012/chart" uri="{02D57815-91ED-43cb-92C2-25804820EDAC}">
                        <c15:formulaRef>
                          <c15:sqref>'6. Summary Tracking Sheet'!$DB$3</c15:sqref>
                        </c15:formulaRef>
                      </c:ext>
                    </c:extLst>
                    <c:strCache>
                      <c:ptCount val="1"/>
                      <c:pt idx="0">
                        <c:v>SiteAccepted_BL(SUM)</c:v>
                      </c:pt>
                    </c:strCache>
                  </c:strRef>
                </c:tx>
                <c:spPr>
                  <a:ln w="22225" cap="rnd">
                    <a:solidFill>
                      <a:schemeClr val="accent3">
                        <a:lumMod val="80000"/>
                        <a:lumOff val="20000"/>
                      </a:schemeClr>
                    </a:solidFill>
                    <a:round/>
                  </a:ln>
                  <a:effectLst/>
                </c:spPr>
                <c:marker>
                  <c:symbol val="none"/>
                </c:marker>
                <c:val>
                  <c:numRef>
                    <c:extLst>
                      <c:ext xmlns:c15="http://schemas.microsoft.com/office/drawing/2012/chart" uri="{02D57815-91ED-43cb-92C2-25804820EDAC}">
                        <c15:fullRef>
                          <c15:sqref>'6. Summary Tracking Sheet'!$DD$4:$DD$44</c15:sqref>
                        </c15:fullRef>
                        <c15:formulaRef>
                          <c15:sqref>'6. Summary Tracking Sheet'!$DD$23:$DD$40</c15:sqref>
                        </c15:formulaRef>
                      </c:ext>
                    </c:extLst>
                    <c:numCache>
                      <c:formatCode>0;\-0;\-;@</c:formatCode>
                      <c:ptCount val="18"/>
                      <c:pt idx="0">
                        <c:v>0</c:v>
                      </c:pt>
                      <c:pt idx="1">
                        <c:v>0</c:v>
                      </c:pt>
                      <c:pt idx="2">
                        <c:v>0</c:v>
                      </c:pt>
                      <c:pt idx="3">
                        <c:v>0</c:v>
                      </c:pt>
                      <c:pt idx="4">
                        <c:v>0</c:v>
                      </c:pt>
                      <c:pt idx="5">
                        <c:v>0</c:v>
                      </c:pt>
                      <c:pt idx="6">
                        <c:v>0</c:v>
                      </c:pt>
                      <c:pt idx="7">
                        <c:v>0</c:v>
                      </c:pt>
                      <c:pt idx="8">
                        <c:v>0</c:v>
                      </c:pt>
                      <c:pt idx="9">
                        <c:v>2</c:v>
                      </c:pt>
                      <c:pt idx="10">
                        <c:v>5</c:v>
                      </c:pt>
                      <c:pt idx="11">
                        <c:v>15</c:v>
                      </c:pt>
                      <c:pt idx="12">
                        <c:v>19</c:v>
                      </c:pt>
                      <c:pt idx="13">
                        <c:v>20</c:v>
                      </c:pt>
                      <c:pt idx="14">
                        <c:v>20</c:v>
                      </c:pt>
                      <c:pt idx="15">
                        <c:v>20</c:v>
                      </c:pt>
                      <c:pt idx="16">
                        <c:v>20</c:v>
                      </c:pt>
                      <c:pt idx="17">
                        <c:v>20</c:v>
                      </c:pt>
                    </c:numCache>
                  </c:numRef>
                </c:val>
                <c:smooth val="0"/>
                <c:extLst xmlns:c15="http://schemas.microsoft.com/office/drawing/2012/chart">
                  <c:ext xmlns:c16="http://schemas.microsoft.com/office/drawing/2014/chart" uri="{C3380CC4-5D6E-409C-BE32-E72D297353CC}">
                    <c16:uniqueId val="{0000000E-44E9-4450-9DE5-8F75B9AED852}"/>
                  </c:ext>
                </c:extLst>
              </c15:ser>
            </c15:filteredLineSeries>
            <c15:filteredLineSeries>
              <c15:ser>
                <c:idx val="15"/>
                <c:order val="15"/>
                <c:tx>
                  <c:strRef>
                    <c:extLst xmlns:c15="http://schemas.microsoft.com/office/drawing/2012/chart">
                      <c:ext xmlns:c15="http://schemas.microsoft.com/office/drawing/2012/chart" uri="{02D57815-91ED-43cb-92C2-25804820EDAC}">
                        <c15:formulaRef>
                          <c15:sqref>'6. Summary Tracking Sheet'!$DD$3</c15:sqref>
                        </c15:formulaRef>
                      </c:ext>
                    </c:extLst>
                    <c:strCache>
                      <c:ptCount val="1"/>
                      <c:pt idx="0">
                        <c:v>SiteAccepted_AC(SUM)</c:v>
                      </c:pt>
                    </c:strCache>
                  </c:strRef>
                </c:tx>
                <c:spPr>
                  <a:ln w="22225" cap="rnd">
                    <a:solidFill>
                      <a:schemeClr val="accent4">
                        <a:lumMod val="80000"/>
                        <a:lumOff val="20000"/>
                      </a:schemeClr>
                    </a:solidFill>
                    <a:round/>
                  </a:ln>
                  <a:effectLst/>
                </c:spPr>
                <c:marker>
                  <c:symbol val="none"/>
                </c:marker>
                <c:val>
                  <c:numRef>
                    <c:extLst>
                      <c:ext xmlns:c15="http://schemas.microsoft.com/office/drawing/2012/chart" uri="{02D57815-91ED-43cb-92C2-25804820EDAC}">
                        <c15:fullRef>
                          <c15:sqref>'6. Summary Tracking Sheet'!$DF$4:$DF$44</c15:sqref>
                        </c15:fullRef>
                        <c15:formulaRef>
                          <c15:sqref>'6. Summary Tracking Sheet'!$DF$23:$DF$40</c15:sqref>
                        </c15:formulaRef>
                      </c:ext>
                    </c:extLst>
                    <c:numCache>
                      <c:formatCode>0;\-0;\-;@</c:formatCode>
                      <c:ptCount val="18"/>
                      <c:pt idx="0">
                        <c:v>0</c:v>
                      </c:pt>
                      <c:pt idx="1">
                        <c:v>0</c:v>
                      </c:pt>
                      <c:pt idx="2">
                        <c:v>0</c:v>
                      </c:pt>
                      <c:pt idx="3">
                        <c:v>0</c:v>
                      </c:pt>
                      <c:pt idx="4">
                        <c:v>0</c:v>
                      </c:pt>
                      <c:pt idx="5">
                        <c:v>0</c:v>
                      </c:pt>
                      <c:pt idx="6">
                        <c:v>0</c:v>
                      </c:pt>
                      <c:pt idx="7">
                        <c:v>0</c:v>
                      </c:pt>
                      <c:pt idx="8">
                        <c:v>0</c:v>
                      </c:pt>
                      <c:pt idx="9">
                        <c:v>0</c:v>
                      </c:pt>
                      <c:pt idx="10">
                        <c:v>200</c:v>
                      </c:pt>
                      <c:pt idx="11">
                        <c:v>600</c:v>
                      </c:pt>
                      <c:pt idx="12">
                        <c:v>1400</c:v>
                      </c:pt>
                      <c:pt idx="13">
                        <c:v>1800</c:v>
                      </c:pt>
                      <c:pt idx="14">
                        <c:v>2000</c:v>
                      </c:pt>
                      <c:pt idx="15">
                        <c:v>2000</c:v>
                      </c:pt>
                      <c:pt idx="16">
                        <c:v>2000</c:v>
                      </c:pt>
                      <c:pt idx="17">
                        <c:v>2000</c:v>
                      </c:pt>
                    </c:numCache>
                  </c:numRef>
                </c:val>
                <c:smooth val="0"/>
                <c:extLst xmlns:c15="http://schemas.microsoft.com/office/drawing/2012/chart">
                  <c:ext xmlns:c16="http://schemas.microsoft.com/office/drawing/2014/chart" uri="{C3380CC4-5D6E-409C-BE32-E72D297353CC}">
                    <c16:uniqueId val="{0000000F-44E9-4450-9DE5-8F75B9AED852}"/>
                  </c:ext>
                </c:extLst>
              </c15:ser>
            </c15:filteredLineSeries>
            <c15:filteredLineSeries>
              <c15:ser>
                <c:idx val="16"/>
                <c:order val="16"/>
                <c:tx>
                  <c:strRef>
                    <c:extLst xmlns:c15="http://schemas.microsoft.com/office/drawing/2012/chart">
                      <c:ext xmlns:c15="http://schemas.microsoft.com/office/drawing/2012/chart" uri="{02D57815-91ED-43cb-92C2-25804820EDAC}">
                        <c15:formulaRef>
                          <c15:sqref>'6. Summary Tracking Sheet'!$DL$3</c15:sqref>
                        </c15:formulaRef>
                      </c:ext>
                    </c:extLst>
                    <c:strCache>
                      <c:ptCount val="1"/>
                      <c:pt idx="0">
                        <c:v>SiteInOperations_BL(SUM)</c:v>
                      </c:pt>
                    </c:strCache>
                  </c:strRef>
                </c:tx>
                <c:spPr>
                  <a:ln w="22225" cap="rnd">
                    <a:solidFill>
                      <a:schemeClr val="accent5">
                        <a:lumMod val="80000"/>
                        <a:lumOff val="20000"/>
                      </a:schemeClr>
                    </a:solidFill>
                    <a:round/>
                  </a:ln>
                  <a:effectLst/>
                </c:spPr>
                <c:marker>
                  <c:symbol val="none"/>
                </c:marker>
                <c:val>
                  <c:numRef>
                    <c:extLst>
                      <c:ext xmlns:c15="http://schemas.microsoft.com/office/drawing/2012/chart" uri="{02D57815-91ED-43cb-92C2-25804820EDAC}">
                        <c15:fullRef>
                          <c15:sqref>'6. Summary Tracking Sheet'!$DN$4:$DN$44</c15:sqref>
                        </c15:fullRef>
                        <c15:formulaRef>
                          <c15:sqref>'6. Summary Tracking Sheet'!$DN$23:$DN$40</c15:sqref>
                        </c15:formulaRef>
                      </c:ext>
                    </c:extLst>
                    <c:numCache>
                      <c:formatCode>0;\-0;\-;@</c:formatCode>
                      <c:ptCount val="18"/>
                      <c:pt idx="0">
                        <c:v>0</c:v>
                      </c:pt>
                      <c:pt idx="1">
                        <c:v>0</c:v>
                      </c:pt>
                      <c:pt idx="2">
                        <c:v>0</c:v>
                      </c:pt>
                      <c:pt idx="3">
                        <c:v>0</c:v>
                      </c:pt>
                      <c:pt idx="4">
                        <c:v>0</c:v>
                      </c:pt>
                      <c:pt idx="5">
                        <c:v>0</c:v>
                      </c:pt>
                      <c:pt idx="6">
                        <c:v>0</c:v>
                      </c:pt>
                      <c:pt idx="7">
                        <c:v>0</c:v>
                      </c:pt>
                      <c:pt idx="8">
                        <c:v>0</c:v>
                      </c:pt>
                      <c:pt idx="9">
                        <c:v>0</c:v>
                      </c:pt>
                      <c:pt idx="10">
                        <c:v>1</c:v>
                      </c:pt>
                      <c:pt idx="11">
                        <c:v>3</c:v>
                      </c:pt>
                      <c:pt idx="12">
                        <c:v>7</c:v>
                      </c:pt>
                      <c:pt idx="13">
                        <c:v>9</c:v>
                      </c:pt>
                      <c:pt idx="14">
                        <c:v>10</c:v>
                      </c:pt>
                      <c:pt idx="15">
                        <c:v>10</c:v>
                      </c:pt>
                      <c:pt idx="16">
                        <c:v>10</c:v>
                      </c:pt>
                      <c:pt idx="17">
                        <c:v>10</c:v>
                      </c:pt>
                    </c:numCache>
                  </c:numRef>
                </c:val>
                <c:smooth val="0"/>
                <c:extLst xmlns:c15="http://schemas.microsoft.com/office/drawing/2012/chart">
                  <c:ext xmlns:c16="http://schemas.microsoft.com/office/drawing/2014/chart" uri="{C3380CC4-5D6E-409C-BE32-E72D297353CC}">
                    <c16:uniqueId val="{00000010-44E9-4450-9DE5-8F75B9AED852}"/>
                  </c:ext>
                </c:extLst>
              </c15:ser>
            </c15:filteredLineSeries>
            <c15:filteredLineSeries>
              <c15:ser>
                <c:idx val="17"/>
                <c:order val="17"/>
                <c:tx>
                  <c:strRef>
                    <c:extLst xmlns:c15="http://schemas.microsoft.com/office/drawing/2012/chart">
                      <c:ext xmlns:c15="http://schemas.microsoft.com/office/drawing/2012/chart" uri="{02D57815-91ED-43cb-92C2-25804820EDAC}">
                        <c15:formulaRef>
                          <c15:sqref>'6. Summary Tracking Sheet'!$DN$3</c15:sqref>
                        </c15:formulaRef>
                      </c:ext>
                    </c:extLst>
                    <c:strCache>
                      <c:ptCount val="1"/>
                      <c:pt idx="0">
                        <c:v>SiteInOperations_AC(SUM)</c:v>
                      </c:pt>
                    </c:strCache>
                  </c:strRef>
                </c:tx>
                <c:spPr>
                  <a:ln w="22225" cap="rnd">
                    <a:solidFill>
                      <a:schemeClr val="accent6">
                        <a:lumMod val="80000"/>
                        <a:lumOff val="20000"/>
                      </a:schemeClr>
                    </a:solidFill>
                    <a:round/>
                  </a:ln>
                  <a:effectLst/>
                </c:spPr>
                <c:marker>
                  <c:symbol val="none"/>
                </c:marker>
                <c:val>
                  <c:numRef>
                    <c:extLst>
                      <c:ext xmlns:c15="http://schemas.microsoft.com/office/drawing/2012/chart" uri="{02D57815-91ED-43cb-92C2-25804820EDAC}">
                        <c15:fullRef>
                          <c15:sqref>'6. Summary Tracking Sheet'!$DP$4:$DP$44</c15:sqref>
                        </c15:fullRef>
                        <c15:formulaRef>
                          <c15:sqref>'6. Summary Tracking Sheet'!$DP$23:$DP$40</c15:sqref>
                        </c15:formulaRef>
                      </c:ext>
                    </c:extLst>
                    <c:numCache>
                      <c:formatCode>_(* #,##0_);_(* \(#,##0\);_(* "-"??_);_(@_)</c:formatCode>
                      <c:ptCount val="18"/>
                      <c:pt idx="0">
                        <c:v>0</c:v>
                      </c:pt>
                      <c:pt idx="1">
                        <c:v>0</c:v>
                      </c:pt>
                      <c:pt idx="2">
                        <c:v>1000</c:v>
                      </c:pt>
                      <c:pt idx="3">
                        <c:v>7000</c:v>
                      </c:pt>
                      <c:pt idx="4">
                        <c:v>20350</c:v>
                      </c:pt>
                      <c:pt idx="5">
                        <c:v>44150</c:v>
                      </c:pt>
                      <c:pt idx="6">
                        <c:v>73500</c:v>
                      </c:pt>
                      <c:pt idx="7">
                        <c:v>124200</c:v>
                      </c:pt>
                      <c:pt idx="8">
                        <c:v>190800</c:v>
                      </c:pt>
                      <c:pt idx="9">
                        <c:v>279500</c:v>
                      </c:pt>
                      <c:pt idx="10">
                        <c:v>387900</c:v>
                      </c:pt>
                      <c:pt idx="11">
                        <c:v>480700</c:v>
                      </c:pt>
                      <c:pt idx="12">
                        <c:v>602700</c:v>
                      </c:pt>
                      <c:pt idx="13">
                        <c:v>686850</c:v>
                      </c:pt>
                      <c:pt idx="14">
                        <c:v>742450</c:v>
                      </c:pt>
                      <c:pt idx="15">
                        <c:v>760150</c:v>
                      </c:pt>
                      <c:pt idx="16">
                        <c:v>767200</c:v>
                      </c:pt>
                      <c:pt idx="17">
                        <c:v>770000</c:v>
                      </c:pt>
                    </c:numCache>
                  </c:numRef>
                </c:val>
                <c:smooth val="0"/>
                <c:extLst xmlns:c15="http://schemas.microsoft.com/office/drawing/2012/chart">
                  <c:ext xmlns:c16="http://schemas.microsoft.com/office/drawing/2014/chart" uri="{C3380CC4-5D6E-409C-BE32-E72D297353CC}">
                    <c16:uniqueId val="{00000011-44E9-4450-9DE5-8F75B9AED852}"/>
                  </c:ext>
                </c:extLst>
              </c15:ser>
            </c15:filteredLineSeries>
          </c:ext>
        </c:extLst>
      </c:lineChart>
      <c:catAx>
        <c:axId val="550300207"/>
        <c:scaling>
          <c:orientation val="minMax"/>
        </c:scaling>
        <c:delete val="0"/>
        <c:axPos val="b"/>
        <c:majorGridlines>
          <c:spPr>
            <a:ln w="9525" cap="flat" cmpd="sng" algn="ctr">
              <a:solidFill>
                <a:schemeClr val="dk1">
                  <a:lumMod val="15000"/>
                  <a:lumOff val="85000"/>
                  <a:alpha val="54000"/>
                </a:schemeClr>
              </a:solidFill>
              <a:round/>
            </a:ln>
            <a:effectLst/>
          </c:spPr>
        </c:majorGridlines>
        <c:minorGridlines>
          <c:spPr>
            <a:ln w="9525" cap="flat" cmpd="sng" algn="ctr">
              <a:solidFill>
                <a:schemeClr val="dk1">
                  <a:lumMod val="15000"/>
                  <a:lumOff val="85000"/>
                  <a:alpha val="51000"/>
                </a:schemeClr>
              </a:solidFill>
              <a:round/>
            </a:ln>
            <a:effectLst/>
          </c:spPr>
        </c:minorGridlines>
        <c:title>
          <c:tx>
            <c:rich>
              <a:bodyPr rot="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r>
                  <a:rPr lang="en-US"/>
                  <a:t>Week</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endParaRPr lang="en-US"/>
            </a:p>
          </c:txPr>
        </c:title>
        <c:numFmt formatCode="General" sourceLinked="0"/>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cap="none" spc="0" normalizeH="0" baseline="0">
                <a:solidFill>
                  <a:schemeClr val="dk1">
                    <a:lumMod val="65000"/>
                    <a:lumOff val="35000"/>
                  </a:schemeClr>
                </a:solidFill>
                <a:latin typeface="+mn-lt"/>
                <a:ea typeface="+mn-ea"/>
                <a:cs typeface="+mn-cs"/>
              </a:defRPr>
            </a:pPr>
            <a:endParaRPr lang="en-US"/>
          </a:p>
        </c:txPr>
        <c:crossAx val="506817855"/>
        <c:crosses val="autoZero"/>
        <c:auto val="1"/>
        <c:lblAlgn val="ctr"/>
        <c:lblOffset val="100"/>
        <c:noMultiLvlLbl val="0"/>
      </c:catAx>
      <c:valAx>
        <c:axId val="506817855"/>
        <c:scaling>
          <c:orientation val="minMax"/>
        </c:scaling>
        <c:delete val="0"/>
        <c:axPos val="l"/>
        <c:majorGridlines>
          <c:spPr>
            <a:ln w="9525" cap="flat" cmpd="sng" algn="ctr">
              <a:solidFill>
                <a:schemeClr val="dk1">
                  <a:lumMod val="15000"/>
                  <a:lumOff val="85000"/>
                  <a:alpha val="54000"/>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r>
                  <a:rPr lang="en-US"/>
                  <a:t>Sites</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endParaRPr lang="en-US"/>
            </a:p>
          </c:txPr>
        </c:title>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crossAx val="550300207"/>
        <c:crosses val="autoZero"/>
        <c:crossBetween val="between"/>
      </c:valAx>
      <c:dTable>
        <c:showHorzBorder val="1"/>
        <c:showVertBorder val="1"/>
        <c:showOutline val="1"/>
        <c:showKeys val="1"/>
        <c:spPr>
          <a:noFill/>
          <a:ln w="9525" cap="flat" cmpd="sng" algn="ctr">
            <a:solidFill>
              <a:schemeClr val="dk1">
                <a:lumMod val="15000"/>
                <a:lumOff val="85000"/>
              </a:schemeClr>
            </a:solidFill>
            <a:round/>
          </a:ln>
          <a:effectLst/>
        </c:spPr>
        <c:txPr>
          <a:bodyPr rot="0" spcFirstLastPara="1" vertOverflow="ellipsis" vert="horz" wrap="square" anchor="ctr" anchorCtr="1"/>
          <a:lstStyle/>
          <a:p>
            <a:pPr rtl="0">
              <a:defRPr sz="800" b="0" i="0" u="none" strike="noStrike" kern="1200" baseline="0">
                <a:solidFill>
                  <a:schemeClr val="dk1">
                    <a:lumMod val="65000"/>
                    <a:lumOff val="35000"/>
                  </a:schemeClr>
                </a:solidFill>
                <a:latin typeface="+mn-lt"/>
                <a:ea typeface="+mn-ea"/>
                <a:cs typeface="+mn-cs"/>
              </a:defRPr>
            </a:pPr>
            <a:endParaRPr lang="en-US"/>
          </a:p>
        </c:txPr>
      </c:dTable>
      <c:spPr>
        <a:pattFill prst="ltDnDiag">
          <a:fgClr>
            <a:schemeClr val="dk1">
              <a:lumMod val="15000"/>
              <a:lumOff val="85000"/>
            </a:schemeClr>
          </a:fgClr>
          <a:bgClr>
            <a:schemeClr val="lt1"/>
          </a:bgClr>
        </a:patt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18"/>
          <c:order val="0"/>
          <c:tx>
            <c:strRef>
              <c:f>'6. Summary Tracking Sheet'!$F$3</c:f>
              <c:strCache>
                <c:ptCount val="1"/>
                <c:pt idx="0">
                  <c:v>SiteDesignStarted_BL(SUM)</c:v>
                </c:pt>
              </c:strCache>
            </c:strRef>
          </c:tx>
          <c:spPr>
            <a:ln w="22225" cap="rnd">
              <a:solidFill>
                <a:schemeClr val="accent1">
                  <a:lumMod val="80000"/>
                </a:schemeClr>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dk1">
                          <a:lumMod val="35000"/>
                          <a:lumOff val="65000"/>
                        </a:schemeClr>
                      </a:solidFill>
                      <a:round/>
                    </a:ln>
                    <a:effectLst/>
                  </c:spPr>
                </c15:leaderLines>
              </c:ext>
            </c:extLst>
          </c:dLbls>
          <c:cat>
            <c:numRef>
              <c:extLst>
                <c:ext xmlns:c15="http://schemas.microsoft.com/office/drawing/2012/chart" uri="{02D57815-91ED-43cb-92C2-25804820EDAC}">
                  <c15:fullRef>
                    <c15:sqref>'6. Summary Tracking Sheet'!$B$4:$B$43</c15:sqref>
                  </c15:fullRef>
                </c:ext>
              </c:extLst>
              <c:f>'6. Summary Tracking Sheet'!$B$23:$B$43</c:f>
              <c:numCache>
                <c:formatCode>General</c:formatCode>
                <c:ptCount val="21"/>
                <c:pt idx="0">
                  <c:v>20</c:v>
                </c:pt>
                <c:pt idx="1">
                  <c:v>21</c:v>
                </c:pt>
                <c:pt idx="2">
                  <c:v>22</c:v>
                </c:pt>
                <c:pt idx="3">
                  <c:v>23</c:v>
                </c:pt>
                <c:pt idx="4">
                  <c:v>24</c:v>
                </c:pt>
                <c:pt idx="5">
                  <c:v>25</c:v>
                </c:pt>
                <c:pt idx="6">
                  <c:v>26</c:v>
                </c:pt>
                <c:pt idx="7">
                  <c:v>27</c:v>
                </c:pt>
                <c:pt idx="8">
                  <c:v>28</c:v>
                </c:pt>
                <c:pt idx="9">
                  <c:v>29</c:v>
                </c:pt>
                <c:pt idx="10">
                  <c:v>30</c:v>
                </c:pt>
                <c:pt idx="11">
                  <c:v>31</c:v>
                </c:pt>
                <c:pt idx="12">
                  <c:v>32</c:v>
                </c:pt>
                <c:pt idx="13">
                  <c:v>33</c:v>
                </c:pt>
                <c:pt idx="14">
                  <c:v>34</c:v>
                </c:pt>
                <c:pt idx="15">
                  <c:v>35</c:v>
                </c:pt>
                <c:pt idx="16">
                  <c:v>36</c:v>
                </c:pt>
                <c:pt idx="17">
                  <c:v>37</c:v>
                </c:pt>
                <c:pt idx="18">
                  <c:v>38</c:v>
                </c:pt>
                <c:pt idx="19">
                  <c:v>39</c:v>
                </c:pt>
                <c:pt idx="20">
                  <c:v>40</c:v>
                </c:pt>
              </c:numCache>
            </c:numRef>
          </c:cat>
          <c:val>
            <c:numRef>
              <c:extLst>
                <c:ext xmlns:c15="http://schemas.microsoft.com/office/drawing/2012/chart" uri="{02D57815-91ED-43cb-92C2-25804820EDAC}">
                  <c15:fullRef>
                    <c15:sqref>'6. Summary Tracking Sheet'!$F$4:$F$44</c15:sqref>
                  </c15:fullRef>
                </c:ext>
              </c:extLst>
              <c:f>'6. Summary Tracking Sheet'!$F$23:$F$43</c:f>
              <c:numCache>
                <c:formatCode>0;\-0;\-;@</c:formatCode>
                <c:ptCount val="21"/>
                <c:pt idx="0">
                  <c:v>0</c:v>
                </c:pt>
                <c:pt idx="1">
                  <c:v>0</c:v>
                </c:pt>
                <c:pt idx="2">
                  <c:v>7</c:v>
                </c:pt>
                <c:pt idx="3">
                  <c:v>16</c:v>
                </c:pt>
                <c:pt idx="4">
                  <c:v>26</c:v>
                </c:pt>
                <c:pt idx="5">
                  <c:v>38</c:v>
                </c:pt>
                <c:pt idx="6">
                  <c:v>51</c:v>
                </c:pt>
                <c:pt idx="7">
                  <c:v>67</c:v>
                </c:pt>
                <c:pt idx="8">
                  <c:v>87</c:v>
                </c:pt>
                <c:pt idx="9">
                  <c:v>100</c:v>
                </c:pt>
                <c:pt idx="10">
                  <c:v>100</c:v>
                </c:pt>
                <c:pt idx="11">
                  <c:v>100</c:v>
                </c:pt>
                <c:pt idx="12">
                  <c:v>100</c:v>
                </c:pt>
                <c:pt idx="13">
                  <c:v>100</c:v>
                </c:pt>
                <c:pt idx="14">
                  <c:v>100</c:v>
                </c:pt>
                <c:pt idx="15">
                  <c:v>100</c:v>
                </c:pt>
                <c:pt idx="16">
                  <c:v>100</c:v>
                </c:pt>
                <c:pt idx="17">
                  <c:v>100</c:v>
                </c:pt>
                <c:pt idx="18">
                  <c:v>100</c:v>
                </c:pt>
                <c:pt idx="19">
                  <c:v>100</c:v>
                </c:pt>
                <c:pt idx="20">
                  <c:v>100</c:v>
                </c:pt>
              </c:numCache>
            </c:numRef>
          </c:val>
          <c:smooth val="0"/>
          <c:extLst>
            <c:ext xmlns:c16="http://schemas.microsoft.com/office/drawing/2014/chart" uri="{C3380CC4-5D6E-409C-BE32-E72D297353CC}">
              <c16:uniqueId val="{00000000-4388-42CF-9021-B8F0A10BA24C}"/>
            </c:ext>
          </c:extLst>
        </c:ser>
        <c:ser>
          <c:idx val="1"/>
          <c:order val="1"/>
          <c:tx>
            <c:strRef>
              <c:f>'6. Summary Tracking Sheet'!$P$3</c:f>
              <c:strCache>
                <c:ptCount val="1"/>
                <c:pt idx="0">
                  <c:v>SiteDesignReady_BL(SUM)</c:v>
                </c:pt>
              </c:strCache>
              <c:extLst xmlns:c15="http://schemas.microsoft.com/office/drawing/2012/chart"/>
            </c:strRef>
          </c:tx>
          <c:spPr>
            <a:ln w="22225" cap="rnd">
              <a:solidFill>
                <a:schemeClr val="accent2"/>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dk1">
                          <a:lumMod val="35000"/>
                          <a:lumOff val="65000"/>
                        </a:schemeClr>
                      </a:solidFill>
                      <a:round/>
                    </a:ln>
                    <a:effectLst/>
                  </c:spPr>
                </c15:leaderLines>
              </c:ext>
            </c:extLst>
          </c:dLbls>
          <c:cat>
            <c:numRef>
              <c:extLst>
                <c:ext xmlns:c15="http://schemas.microsoft.com/office/drawing/2012/chart" uri="{02D57815-91ED-43cb-92C2-25804820EDAC}">
                  <c15:fullRef>
                    <c15:sqref>'6. Summary Tracking Sheet'!$B$4:$B$43</c15:sqref>
                  </c15:fullRef>
                </c:ext>
              </c:extLst>
              <c:f>'6. Summary Tracking Sheet'!$B$23:$B$43</c:f>
              <c:numCache>
                <c:formatCode>General</c:formatCode>
                <c:ptCount val="21"/>
                <c:pt idx="0">
                  <c:v>20</c:v>
                </c:pt>
                <c:pt idx="1">
                  <c:v>21</c:v>
                </c:pt>
                <c:pt idx="2">
                  <c:v>22</c:v>
                </c:pt>
                <c:pt idx="3">
                  <c:v>23</c:v>
                </c:pt>
                <c:pt idx="4">
                  <c:v>24</c:v>
                </c:pt>
                <c:pt idx="5">
                  <c:v>25</c:v>
                </c:pt>
                <c:pt idx="6">
                  <c:v>26</c:v>
                </c:pt>
                <c:pt idx="7">
                  <c:v>27</c:v>
                </c:pt>
                <c:pt idx="8">
                  <c:v>28</c:v>
                </c:pt>
                <c:pt idx="9">
                  <c:v>29</c:v>
                </c:pt>
                <c:pt idx="10">
                  <c:v>30</c:v>
                </c:pt>
                <c:pt idx="11">
                  <c:v>31</c:v>
                </c:pt>
                <c:pt idx="12">
                  <c:v>32</c:v>
                </c:pt>
                <c:pt idx="13">
                  <c:v>33</c:v>
                </c:pt>
                <c:pt idx="14">
                  <c:v>34</c:v>
                </c:pt>
                <c:pt idx="15">
                  <c:v>35</c:v>
                </c:pt>
                <c:pt idx="16">
                  <c:v>36</c:v>
                </c:pt>
                <c:pt idx="17">
                  <c:v>37</c:v>
                </c:pt>
                <c:pt idx="18">
                  <c:v>38</c:v>
                </c:pt>
                <c:pt idx="19">
                  <c:v>39</c:v>
                </c:pt>
                <c:pt idx="20">
                  <c:v>40</c:v>
                </c:pt>
              </c:numCache>
            </c:numRef>
          </c:cat>
          <c:val>
            <c:numRef>
              <c:extLst>
                <c:ext xmlns:c15="http://schemas.microsoft.com/office/drawing/2012/chart" uri="{02D57815-91ED-43cb-92C2-25804820EDAC}">
                  <c15:fullRef>
                    <c15:sqref>'6. Summary Tracking Sheet'!$P$4:$P$44</c15:sqref>
                  </c15:fullRef>
                </c:ext>
              </c:extLst>
              <c:f>'6. Summary Tracking Sheet'!$P$23:$P$43</c:f>
              <c:numCache>
                <c:formatCode>0;\-0;\-;@</c:formatCode>
                <c:ptCount val="21"/>
                <c:pt idx="0">
                  <c:v>0</c:v>
                </c:pt>
                <c:pt idx="1">
                  <c:v>0</c:v>
                </c:pt>
                <c:pt idx="2">
                  <c:v>1</c:v>
                </c:pt>
                <c:pt idx="3">
                  <c:v>7</c:v>
                </c:pt>
                <c:pt idx="4">
                  <c:v>16</c:v>
                </c:pt>
                <c:pt idx="5">
                  <c:v>38</c:v>
                </c:pt>
                <c:pt idx="6">
                  <c:v>51</c:v>
                </c:pt>
                <c:pt idx="7">
                  <c:v>67</c:v>
                </c:pt>
                <c:pt idx="8">
                  <c:v>86</c:v>
                </c:pt>
                <c:pt idx="9">
                  <c:v>100</c:v>
                </c:pt>
                <c:pt idx="10">
                  <c:v>100</c:v>
                </c:pt>
                <c:pt idx="11">
                  <c:v>100</c:v>
                </c:pt>
                <c:pt idx="12">
                  <c:v>100</c:v>
                </c:pt>
                <c:pt idx="13">
                  <c:v>100</c:v>
                </c:pt>
                <c:pt idx="14">
                  <c:v>100</c:v>
                </c:pt>
                <c:pt idx="15">
                  <c:v>100</c:v>
                </c:pt>
                <c:pt idx="16">
                  <c:v>100</c:v>
                </c:pt>
                <c:pt idx="17">
                  <c:v>100</c:v>
                </c:pt>
                <c:pt idx="18">
                  <c:v>100</c:v>
                </c:pt>
                <c:pt idx="19">
                  <c:v>100</c:v>
                </c:pt>
                <c:pt idx="20">
                  <c:v>100</c:v>
                </c:pt>
              </c:numCache>
            </c:numRef>
          </c:val>
          <c:smooth val="0"/>
          <c:extLst xmlns:c15="http://schemas.microsoft.com/office/drawing/2012/chart">
            <c:ext xmlns:c16="http://schemas.microsoft.com/office/drawing/2014/chart" uri="{C3380CC4-5D6E-409C-BE32-E72D297353CC}">
              <c16:uniqueId val="{00000000-49D6-4947-B653-71FC14E5D1E1}"/>
            </c:ext>
          </c:extLst>
        </c:ser>
        <c:ser>
          <c:idx val="20"/>
          <c:order val="2"/>
          <c:tx>
            <c:strRef>
              <c:f>'6. Summary Tracking Sheet'!$Z$3</c:f>
              <c:strCache>
                <c:ptCount val="1"/>
                <c:pt idx="0">
                  <c:v>SiteSurveyCompleted_BL(SUM)</c:v>
                </c:pt>
              </c:strCache>
            </c:strRef>
          </c:tx>
          <c:spPr>
            <a:ln w="22225" cap="rnd">
              <a:solidFill>
                <a:schemeClr val="accent3">
                  <a:lumMod val="80000"/>
                </a:schemeClr>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dk1">
                          <a:lumMod val="35000"/>
                          <a:lumOff val="65000"/>
                        </a:schemeClr>
                      </a:solidFill>
                      <a:round/>
                    </a:ln>
                    <a:effectLst/>
                  </c:spPr>
                </c15:leaderLines>
              </c:ext>
            </c:extLst>
          </c:dLbls>
          <c:cat>
            <c:numRef>
              <c:extLst>
                <c:ext xmlns:c15="http://schemas.microsoft.com/office/drawing/2012/chart" uri="{02D57815-91ED-43cb-92C2-25804820EDAC}">
                  <c15:fullRef>
                    <c15:sqref>'6. Summary Tracking Sheet'!$B$4:$B$43</c15:sqref>
                  </c15:fullRef>
                </c:ext>
              </c:extLst>
              <c:f>'6. Summary Tracking Sheet'!$B$23:$B$43</c:f>
              <c:numCache>
                <c:formatCode>General</c:formatCode>
                <c:ptCount val="21"/>
                <c:pt idx="0">
                  <c:v>20</c:v>
                </c:pt>
                <c:pt idx="1">
                  <c:v>21</c:v>
                </c:pt>
                <c:pt idx="2">
                  <c:v>22</c:v>
                </c:pt>
                <c:pt idx="3">
                  <c:v>23</c:v>
                </c:pt>
                <c:pt idx="4">
                  <c:v>24</c:v>
                </c:pt>
                <c:pt idx="5">
                  <c:v>25</c:v>
                </c:pt>
                <c:pt idx="6">
                  <c:v>26</c:v>
                </c:pt>
                <c:pt idx="7">
                  <c:v>27</c:v>
                </c:pt>
                <c:pt idx="8">
                  <c:v>28</c:v>
                </c:pt>
                <c:pt idx="9">
                  <c:v>29</c:v>
                </c:pt>
                <c:pt idx="10">
                  <c:v>30</c:v>
                </c:pt>
                <c:pt idx="11">
                  <c:v>31</c:v>
                </c:pt>
                <c:pt idx="12">
                  <c:v>32</c:v>
                </c:pt>
                <c:pt idx="13">
                  <c:v>33</c:v>
                </c:pt>
                <c:pt idx="14">
                  <c:v>34</c:v>
                </c:pt>
                <c:pt idx="15">
                  <c:v>35</c:v>
                </c:pt>
                <c:pt idx="16">
                  <c:v>36</c:v>
                </c:pt>
                <c:pt idx="17">
                  <c:v>37</c:v>
                </c:pt>
                <c:pt idx="18">
                  <c:v>38</c:v>
                </c:pt>
                <c:pt idx="19">
                  <c:v>39</c:v>
                </c:pt>
                <c:pt idx="20">
                  <c:v>40</c:v>
                </c:pt>
              </c:numCache>
            </c:numRef>
          </c:cat>
          <c:val>
            <c:numRef>
              <c:extLst>
                <c:ext xmlns:c15="http://schemas.microsoft.com/office/drawing/2012/chart" uri="{02D57815-91ED-43cb-92C2-25804820EDAC}">
                  <c15:fullRef>
                    <c15:sqref>'6. Summary Tracking Sheet'!$Z$4:$Z$124</c15:sqref>
                  </c15:fullRef>
                </c:ext>
              </c:extLst>
              <c:f>('6. Summary Tracking Sheet'!$Z$23:$Z$43,'6. Summary Tracking Sheet'!$Z$71:$Z$74,'6. Summary Tracking Sheet'!$Z$109:$Z$112)</c:f>
              <c:numCache>
                <c:formatCode>0;\-0;\-;@</c:formatCode>
                <c:ptCount val="29"/>
                <c:pt idx="0">
                  <c:v>0</c:v>
                </c:pt>
                <c:pt idx="1">
                  <c:v>0</c:v>
                </c:pt>
                <c:pt idx="2">
                  <c:v>1</c:v>
                </c:pt>
                <c:pt idx="3">
                  <c:v>7</c:v>
                </c:pt>
                <c:pt idx="4">
                  <c:v>16</c:v>
                </c:pt>
                <c:pt idx="5">
                  <c:v>26</c:v>
                </c:pt>
                <c:pt idx="6">
                  <c:v>38</c:v>
                </c:pt>
                <c:pt idx="7">
                  <c:v>67</c:v>
                </c:pt>
                <c:pt idx="8">
                  <c:v>86</c:v>
                </c:pt>
                <c:pt idx="9">
                  <c:v>100</c:v>
                </c:pt>
                <c:pt idx="10">
                  <c:v>100</c:v>
                </c:pt>
                <c:pt idx="11">
                  <c:v>100</c:v>
                </c:pt>
                <c:pt idx="12">
                  <c:v>100</c:v>
                </c:pt>
                <c:pt idx="13">
                  <c:v>100</c:v>
                </c:pt>
                <c:pt idx="14">
                  <c:v>100</c:v>
                </c:pt>
                <c:pt idx="15">
                  <c:v>100</c:v>
                </c:pt>
                <c:pt idx="16">
                  <c:v>100</c:v>
                </c:pt>
                <c:pt idx="17">
                  <c:v>100</c:v>
                </c:pt>
                <c:pt idx="18">
                  <c:v>100</c:v>
                </c:pt>
                <c:pt idx="19">
                  <c:v>100</c:v>
                </c:pt>
                <c:pt idx="20">
                  <c:v>100</c:v>
                </c:pt>
              </c:numCache>
            </c:numRef>
          </c:val>
          <c:smooth val="0"/>
          <c:extLst>
            <c:ext xmlns:c16="http://schemas.microsoft.com/office/drawing/2014/chart" uri="{C3380CC4-5D6E-409C-BE32-E72D297353CC}">
              <c16:uniqueId val="{00000000-59ED-4E3F-8AC9-617110BD5AB1}"/>
            </c:ext>
          </c:extLst>
        </c:ser>
        <c:ser>
          <c:idx val="22"/>
          <c:order val="3"/>
          <c:tx>
            <c:strRef>
              <c:f>'6. Summary Tracking Sheet'!$AJ$3</c:f>
              <c:strCache>
                <c:ptCount val="1"/>
                <c:pt idx="0">
                  <c:v>SiteAcquired_BL(SUM)</c:v>
                </c:pt>
              </c:strCache>
            </c:strRef>
          </c:tx>
          <c:spPr>
            <a:ln w="22225" cap="rnd">
              <a:solidFill>
                <a:schemeClr val="accent5">
                  <a:lumMod val="80000"/>
                </a:schemeClr>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dk1">
                          <a:lumMod val="35000"/>
                          <a:lumOff val="65000"/>
                        </a:schemeClr>
                      </a:solidFill>
                      <a:round/>
                    </a:ln>
                    <a:effectLst/>
                  </c:spPr>
                </c15:leaderLines>
              </c:ext>
            </c:extLst>
          </c:dLbls>
          <c:cat>
            <c:numRef>
              <c:extLst>
                <c:ext xmlns:c15="http://schemas.microsoft.com/office/drawing/2012/chart" uri="{02D57815-91ED-43cb-92C2-25804820EDAC}">
                  <c15:fullRef>
                    <c15:sqref>'6. Summary Tracking Sheet'!$B$4:$B$43</c15:sqref>
                  </c15:fullRef>
                </c:ext>
              </c:extLst>
              <c:f>'6. Summary Tracking Sheet'!$B$23:$B$43</c:f>
              <c:numCache>
                <c:formatCode>General</c:formatCode>
                <c:ptCount val="21"/>
                <c:pt idx="0">
                  <c:v>20</c:v>
                </c:pt>
                <c:pt idx="1">
                  <c:v>21</c:v>
                </c:pt>
                <c:pt idx="2">
                  <c:v>22</c:v>
                </c:pt>
                <c:pt idx="3">
                  <c:v>23</c:v>
                </c:pt>
                <c:pt idx="4">
                  <c:v>24</c:v>
                </c:pt>
                <c:pt idx="5">
                  <c:v>25</c:v>
                </c:pt>
                <c:pt idx="6">
                  <c:v>26</c:v>
                </c:pt>
                <c:pt idx="7">
                  <c:v>27</c:v>
                </c:pt>
                <c:pt idx="8">
                  <c:v>28</c:v>
                </c:pt>
                <c:pt idx="9">
                  <c:v>29</c:v>
                </c:pt>
                <c:pt idx="10">
                  <c:v>30</c:v>
                </c:pt>
                <c:pt idx="11">
                  <c:v>31</c:v>
                </c:pt>
                <c:pt idx="12">
                  <c:v>32</c:v>
                </c:pt>
                <c:pt idx="13">
                  <c:v>33</c:v>
                </c:pt>
                <c:pt idx="14">
                  <c:v>34</c:v>
                </c:pt>
                <c:pt idx="15">
                  <c:v>35</c:v>
                </c:pt>
                <c:pt idx="16">
                  <c:v>36</c:v>
                </c:pt>
                <c:pt idx="17">
                  <c:v>37</c:v>
                </c:pt>
                <c:pt idx="18">
                  <c:v>38</c:v>
                </c:pt>
                <c:pt idx="19">
                  <c:v>39</c:v>
                </c:pt>
                <c:pt idx="20">
                  <c:v>40</c:v>
                </c:pt>
              </c:numCache>
            </c:numRef>
          </c:cat>
          <c:val>
            <c:numRef>
              <c:extLst>
                <c:ext xmlns:c15="http://schemas.microsoft.com/office/drawing/2012/chart" uri="{02D57815-91ED-43cb-92C2-25804820EDAC}">
                  <c15:fullRef>
                    <c15:sqref>'6. Summary Tracking Sheet'!$AJ$4:$AJ$124</c15:sqref>
                  </c15:fullRef>
                </c:ext>
              </c:extLst>
              <c:f>('6. Summary Tracking Sheet'!$AJ$23:$AJ$43,'6. Summary Tracking Sheet'!$AJ$71:$AJ$74,'6. Summary Tracking Sheet'!$AJ$109:$AJ$112)</c:f>
              <c:numCache>
                <c:formatCode>0;\-0;\-;@</c:formatCode>
                <c:ptCount val="29"/>
                <c:pt idx="0">
                  <c:v>0</c:v>
                </c:pt>
                <c:pt idx="1">
                  <c:v>0</c:v>
                </c:pt>
                <c:pt idx="2">
                  <c:v>0</c:v>
                </c:pt>
                <c:pt idx="3">
                  <c:v>0</c:v>
                </c:pt>
                <c:pt idx="4">
                  <c:v>7</c:v>
                </c:pt>
                <c:pt idx="5">
                  <c:v>16</c:v>
                </c:pt>
                <c:pt idx="6">
                  <c:v>26</c:v>
                </c:pt>
                <c:pt idx="7">
                  <c:v>38</c:v>
                </c:pt>
                <c:pt idx="8">
                  <c:v>51</c:v>
                </c:pt>
                <c:pt idx="9">
                  <c:v>67</c:v>
                </c:pt>
                <c:pt idx="10">
                  <c:v>86</c:v>
                </c:pt>
                <c:pt idx="11">
                  <c:v>100</c:v>
                </c:pt>
                <c:pt idx="12">
                  <c:v>100</c:v>
                </c:pt>
                <c:pt idx="13">
                  <c:v>100</c:v>
                </c:pt>
                <c:pt idx="14">
                  <c:v>100</c:v>
                </c:pt>
                <c:pt idx="15">
                  <c:v>100</c:v>
                </c:pt>
                <c:pt idx="16">
                  <c:v>100</c:v>
                </c:pt>
                <c:pt idx="17">
                  <c:v>100</c:v>
                </c:pt>
                <c:pt idx="18">
                  <c:v>100</c:v>
                </c:pt>
                <c:pt idx="19">
                  <c:v>100</c:v>
                </c:pt>
                <c:pt idx="20">
                  <c:v>100</c:v>
                </c:pt>
              </c:numCache>
            </c:numRef>
          </c:val>
          <c:smooth val="0"/>
          <c:extLst>
            <c:ext xmlns:c16="http://schemas.microsoft.com/office/drawing/2014/chart" uri="{C3380CC4-5D6E-409C-BE32-E72D297353CC}">
              <c16:uniqueId val="{00000002-59ED-4E3F-8AC9-617110BD5AB1}"/>
            </c:ext>
          </c:extLst>
        </c:ser>
        <c:ser>
          <c:idx val="0"/>
          <c:order val="4"/>
          <c:tx>
            <c:strRef>
              <c:f>'6. Summary Tracking Sheet'!$AT$3</c:f>
              <c:strCache>
                <c:ptCount val="1"/>
                <c:pt idx="0">
                  <c:v>ReadyForCW_BL(SUM)</c:v>
                </c:pt>
              </c:strCache>
            </c:strRef>
          </c:tx>
          <c:spPr>
            <a:ln w="22225" cap="rnd">
              <a:solidFill>
                <a:schemeClr val="accent1"/>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dk1">
                          <a:lumMod val="35000"/>
                          <a:lumOff val="65000"/>
                        </a:schemeClr>
                      </a:solidFill>
                      <a:round/>
                    </a:ln>
                    <a:effectLst/>
                  </c:spPr>
                </c15:leaderLines>
              </c:ext>
            </c:extLst>
          </c:dLbls>
          <c:cat>
            <c:numRef>
              <c:extLst>
                <c:ext xmlns:c15="http://schemas.microsoft.com/office/drawing/2012/chart" uri="{02D57815-91ED-43cb-92C2-25804820EDAC}">
                  <c15:fullRef>
                    <c15:sqref>'6. Summary Tracking Sheet'!$B$4:$B$43</c15:sqref>
                  </c15:fullRef>
                </c:ext>
              </c:extLst>
              <c:f>'6. Summary Tracking Sheet'!$B$23:$B$43</c:f>
              <c:numCache>
                <c:formatCode>General</c:formatCode>
                <c:ptCount val="21"/>
                <c:pt idx="0">
                  <c:v>20</c:v>
                </c:pt>
                <c:pt idx="1">
                  <c:v>21</c:v>
                </c:pt>
                <c:pt idx="2">
                  <c:v>22</c:v>
                </c:pt>
                <c:pt idx="3">
                  <c:v>23</c:v>
                </c:pt>
                <c:pt idx="4">
                  <c:v>24</c:v>
                </c:pt>
                <c:pt idx="5">
                  <c:v>25</c:v>
                </c:pt>
                <c:pt idx="6">
                  <c:v>26</c:v>
                </c:pt>
                <c:pt idx="7">
                  <c:v>27</c:v>
                </c:pt>
                <c:pt idx="8">
                  <c:v>28</c:v>
                </c:pt>
                <c:pt idx="9">
                  <c:v>29</c:v>
                </c:pt>
                <c:pt idx="10">
                  <c:v>30</c:v>
                </c:pt>
                <c:pt idx="11">
                  <c:v>31</c:v>
                </c:pt>
                <c:pt idx="12">
                  <c:v>32</c:v>
                </c:pt>
                <c:pt idx="13">
                  <c:v>33</c:v>
                </c:pt>
                <c:pt idx="14">
                  <c:v>34</c:v>
                </c:pt>
                <c:pt idx="15">
                  <c:v>35</c:v>
                </c:pt>
                <c:pt idx="16">
                  <c:v>36</c:v>
                </c:pt>
                <c:pt idx="17">
                  <c:v>37</c:v>
                </c:pt>
                <c:pt idx="18">
                  <c:v>38</c:v>
                </c:pt>
                <c:pt idx="19">
                  <c:v>39</c:v>
                </c:pt>
                <c:pt idx="20">
                  <c:v>40</c:v>
                </c:pt>
              </c:numCache>
            </c:numRef>
          </c:cat>
          <c:val>
            <c:numRef>
              <c:extLst>
                <c:ext xmlns:c15="http://schemas.microsoft.com/office/drawing/2012/chart" uri="{02D57815-91ED-43cb-92C2-25804820EDAC}">
                  <c15:fullRef>
                    <c15:sqref>'6. Summary Tracking Sheet'!$AT$4:$AT$124</c15:sqref>
                  </c15:fullRef>
                </c:ext>
              </c:extLst>
              <c:f>('6. Summary Tracking Sheet'!$AT$23:$AT$43,'6. Summary Tracking Sheet'!$AT$71:$AT$74,'6. Summary Tracking Sheet'!$AT$109:$AT$112)</c:f>
              <c:numCache>
                <c:formatCode>0;\-0;\-;@</c:formatCode>
                <c:ptCount val="29"/>
                <c:pt idx="0">
                  <c:v>0</c:v>
                </c:pt>
                <c:pt idx="1">
                  <c:v>0</c:v>
                </c:pt>
                <c:pt idx="2">
                  <c:v>0</c:v>
                </c:pt>
                <c:pt idx="3">
                  <c:v>0</c:v>
                </c:pt>
                <c:pt idx="4">
                  <c:v>1</c:v>
                </c:pt>
                <c:pt idx="5">
                  <c:v>7</c:v>
                </c:pt>
                <c:pt idx="6">
                  <c:v>16</c:v>
                </c:pt>
                <c:pt idx="7">
                  <c:v>26</c:v>
                </c:pt>
                <c:pt idx="8">
                  <c:v>38</c:v>
                </c:pt>
                <c:pt idx="9">
                  <c:v>67</c:v>
                </c:pt>
                <c:pt idx="10">
                  <c:v>86</c:v>
                </c:pt>
                <c:pt idx="11">
                  <c:v>100</c:v>
                </c:pt>
                <c:pt idx="12">
                  <c:v>100</c:v>
                </c:pt>
                <c:pt idx="13">
                  <c:v>100</c:v>
                </c:pt>
                <c:pt idx="14">
                  <c:v>100</c:v>
                </c:pt>
                <c:pt idx="15">
                  <c:v>100</c:v>
                </c:pt>
                <c:pt idx="16">
                  <c:v>100</c:v>
                </c:pt>
                <c:pt idx="17">
                  <c:v>100</c:v>
                </c:pt>
                <c:pt idx="18">
                  <c:v>100</c:v>
                </c:pt>
                <c:pt idx="19">
                  <c:v>100</c:v>
                </c:pt>
                <c:pt idx="20">
                  <c:v>100</c:v>
                </c:pt>
              </c:numCache>
            </c:numRef>
          </c:val>
          <c:smooth val="0"/>
          <c:extLst>
            <c:ext xmlns:c16="http://schemas.microsoft.com/office/drawing/2014/chart" uri="{C3380CC4-5D6E-409C-BE32-E72D297353CC}">
              <c16:uniqueId val="{00000003-59ED-4E3F-8AC9-617110BD5AB1}"/>
            </c:ext>
          </c:extLst>
        </c:ser>
        <c:ser>
          <c:idx val="2"/>
          <c:order val="5"/>
          <c:tx>
            <c:strRef>
              <c:f>'6. Summary Tracking Sheet'!$BD$3</c:f>
              <c:strCache>
                <c:ptCount val="1"/>
                <c:pt idx="0">
                  <c:v>ReadyForPower_BL(SUM)</c:v>
                </c:pt>
              </c:strCache>
            </c:strRef>
          </c:tx>
          <c:spPr>
            <a:ln w="22225" cap="rnd">
              <a:solidFill>
                <a:schemeClr val="accent3"/>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dk1">
                          <a:lumMod val="35000"/>
                          <a:lumOff val="65000"/>
                        </a:schemeClr>
                      </a:solidFill>
                      <a:round/>
                    </a:ln>
                    <a:effectLst/>
                  </c:spPr>
                </c15:leaderLines>
              </c:ext>
            </c:extLst>
          </c:dLbls>
          <c:cat>
            <c:numRef>
              <c:extLst>
                <c:ext xmlns:c15="http://schemas.microsoft.com/office/drawing/2012/chart" uri="{02D57815-91ED-43cb-92C2-25804820EDAC}">
                  <c15:fullRef>
                    <c15:sqref>'6. Summary Tracking Sheet'!$B$4:$B$43</c15:sqref>
                  </c15:fullRef>
                </c:ext>
              </c:extLst>
              <c:f>'6. Summary Tracking Sheet'!$B$23:$B$43</c:f>
              <c:numCache>
                <c:formatCode>General</c:formatCode>
                <c:ptCount val="21"/>
                <c:pt idx="0">
                  <c:v>20</c:v>
                </c:pt>
                <c:pt idx="1">
                  <c:v>21</c:v>
                </c:pt>
                <c:pt idx="2">
                  <c:v>22</c:v>
                </c:pt>
                <c:pt idx="3">
                  <c:v>23</c:v>
                </c:pt>
                <c:pt idx="4">
                  <c:v>24</c:v>
                </c:pt>
                <c:pt idx="5">
                  <c:v>25</c:v>
                </c:pt>
                <c:pt idx="6">
                  <c:v>26</c:v>
                </c:pt>
                <c:pt idx="7">
                  <c:v>27</c:v>
                </c:pt>
                <c:pt idx="8">
                  <c:v>28</c:v>
                </c:pt>
                <c:pt idx="9">
                  <c:v>29</c:v>
                </c:pt>
                <c:pt idx="10">
                  <c:v>30</c:v>
                </c:pt>
                <c:pt idx="11">
                  <c:v>31</c:v>
                </c:pt>
                <c:pt idx="12">
                  <c:v>32</c:v>
                </c:pt>
                <c:pt idx="13">
                  <c:v>33</c:v>
                </c:pt>
                <c:pt idx="14">
                  <c:v>34</c:v>
                </c:pt>
                <c:pt idx="15">
                  <c:v>35</c:v>
                </c:pt>
                <c:pt idx="16">
                  <c:v>36</c:v>
                </c:pt>
                <c:pt idx="17">
                  <c:v>37</c:v>
                </c:pt>
                <c:pt idx="18">
                  <c:v>38</c:v>
                </c:pt>
                <c:pt idx="19">
                  <c:v>39</c:v>
                </c:pt>
                <c:pt idx="20">
                  <c:v>40</c:v>
                </c:pt>
              </c:numCache>
            </c:numRef>
          </c:cat>
          <c:val>
            <c:numRef>
              <c:extLst>
                <c:ext xmlns:c15="http://schemas.microsoft.com/office/drawing/2012/chart" uri="{02D57815-91ED-43cb-92C2-25804820EDAC}">
                  <c15:fullRef>
                    <c15:sqref>'6. Summary Tracking Sheet'!$BD$4:$BD$124</c15:sqref>
                  </c15:fullRef>
                </c:ext>
              </c:extLst>
              <c:f>('6. Summary Tracking Sheet'!$BD$23:$BD$43,'6. Summary Tracking Sheet'!$BD$71:$BD$74,'6. Summary Tracking Sheet'!$BD$109:$BD$112)</c:f>
              <c:numCache>
                <c:formatCode>0;\-0;\-;@</c:formatCode>
                <c:ptCount val="29"/>
                <c:pt idx="0">
                  <c:v>0</c:v>
                </c:pt>
                <c:pt idx="1">
                  <c:v>0</c:v>
                </c:pt>
                <c:pt idx="2">
                  <c:v>0</c:v>
                </c:pt>
                <c:pt idx="3">
                  <c:v>0</c:v>
                </c:pt>
                <c:pt idx="4">
                  <c:v>0</c:v>
                </c:pt>
                <c:pt idx="5">
                  <c:v>1</c:v>
                </c:pt>
                <c:pt idx="6">
                  <c:v>7</c:v>
                </c:pt>
                <c:pt idx="7">
                  <c:v>16</c:v>
                </c:pt>
                <c:pt idx="8">
                  <c:v>26</c:v>
                </c:pt>
                <c:pt idx="9">
                  <c:v>38</c:v>
                </c:pt>
                <c:pt idx="10">
                  <c:v>67</c:v>
                </c:pt>
                <c:pt idx="11">
                  <c:v>86</c:v>
                </c:pt>
                <c:pt idx="12">
                  <c:v>100</c:v>
                </c:pt>
                <c:pt idx="13">
                  <c:v>100</c:v>
                </c:pt>
                <c:pt idx="14">
                  <c:v>100</c:v>
                </c:pt>
                <c:pt idx="15">
                  <c:v>100</c:v>
                </c:pt>
                <c:pt idx="16">
                  <c:v>100</c:v>
                </c:pt>
                <c:pt idx="17">
                  <c:v>100</c:v>
                </c:pt>
                <c:pt idx="18">
                  <c:v>100</c:v>
                </c:pt>
                <c:pt idx="19">
                  <c:v>100</c:v>
                </c:pt>
                <c:pt idx="20">
                  <c:v>100</c:v>
                </c:pt>
              </c:numCache>
            </c:numRef>
          </c:val>
          <c:smooth val="0"/>
          <c:extLst>
            <c:ext xmlns:c16="http://schemas.microsoft.com/office/drawing/2014/chart" uri="{C3380CC4-5D6E-409C-BE32-E72D297353CC}">
              <c16:uniqueId val="{00000004-59ED-4E3F-8AC9-617110BD5AB1}"/>
            </c:ext>
          </c:extLst>
        </c:ser>
        <c:ser>
          <c:idx val="3"/>
          <c:order val="6"/>
          <c:tx>
            <c:strRef>
              <c:f>'6. Summary Tracking Sheet'!$BN$3</c:f>
              <c:strCache>
                <c:ptCount val="1"/>
                <c:pt idx="0">
                  <c:v>TXReady_BL(SUM)</c:v>
                </c:pt>
              </c:strCache>
            </c:strRef>
          </c:tx>
          <c:spPr>
            <a:ln w="22225" cap="rnd">
              <a:solidFill>
                <a:schemeClr val="accent4"/>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dk1">
                          <a:lumMod val="35000"/>
                          <a:lumOff val="65000"/>
                        </a:schemeClr>
                      </a:solidFill>
                      <a:round/>
                    </a:ln>
                    <a:effectLst/>
                  </c:spPr>
                </c15:leaderLines>
              </c:ext>
            </c:extLst>
          </c:dLbls>
          <c:cat>
            <c:numRef>
              <c:extLst>
                <c:ext xmlns:c15="http://schemas.microsoft.com/office/drawing/2012/chart" uri="{02D57815-91ED-43cb-92C2-25804820EDAC}">
                  <c15:fullRef>
                    <c15:sqref>'6. Summary Tracking Sheet'!$B$4:$B$43</c15:sqref>
                  </c15:fullRef>
                </c:ext>
              </c:extLst>
              <c:f>'6. Summary Tracking Sheet'!$B$23:$B$43</c:f>
              <c:numCache>
                <c:formatCode>General</c:formatCode>
                <c:ptCount val="21"/>
                <c:pt idx="0">
                  <c:v>20</c:v>
                </c:pt>
                <c:pt idx="1">
                  <c:v>21</c:v>
                </c:pt>
                <c:pt idx="2">
                  <c:v>22</c:v>
                </c:pt>
                <c:pt idx="3">
                  <c:v>23</c:v>
                </c:pt>
                <c:pt idx="4">
                  <c:v>24</c:v>
                </c:pt>
                <c:pt idx="5">
                  <c:v>25</c:v>
                </c:pt>
                <c:pt idx="6">
                  <c:v>26</c:v>
                </c:pt>
                <c:pt idx="7">
                  <c:v>27</c:v>
                </c:pt>
                <c:pt idx="8">
                  <c:v>28</c:v>
                </c:pt>
                <c:pt idx="9">
                  <c:v>29</c:v>
                </c:pt>
                <c:pt idx="10">
                  <c:v>30</c:v>
                </c:pt>
                <c:pt idx="11">
                  <c:v>31</c:v>
                </c:pt>
                <c:pt idx="12">
                  <c:v>32</c:v>
                </c:pt>
                <c:pt idx="13">
                  <c:v>33</c:v>
                </c:pt>
                <c:pt idx="14">
                  <c:v>34</c:v>
                </c:pt>
                <c:pt idx="15">
                  <c:v>35</c:v>
                </c:pt>
                <c:pt idx="16">
                  <c:v>36</c:v>
                </c:pt>
                <c:pt idx="17">
                  <c:v>37</c:v>
                </c:pt>
                <c:pt idx="18">
                  <c:v>38</c:v>
                </c:pt>
                <c:pt idx="19">
                  <c:v>39</c:v>
                </c:pt>
                <c:pt idx="20">
                  <c:v>40</c:v>
                </c:pt>
              </c:numCache>
            </c:numRef>
          </c:cat>
          <c:val>
            <c:numRef>
              <c:extLst>
                <c:ext xmlns:c15="http://schemas.microsoft.com/office/drawing/2012/chart" uri="{02D57815-91ED-43cb-92C2-25804820EDAC}">
                  <c15:fullRef>
                    <c15:sqref>'6. Summary Tracking Sheet'!$BN$4:$BN$124</c15:sqref>
                  </c15:fullRef>
                </c:ext>
              </c:extLst>
              <c:f>('6. Summary Tracking Sheet'!$BN$23:$BN$43,'6. Summary Tracking Sheet'!$BN$71:$BN$74,'6. Summary Tracking Sheet'!$BN$109:$BN$112)</c:f>
              <c:numCache>
                <c:formatCode>0;\-0;\-;@</c:formatCode>
                <c:ptCount val="29"/>
                <c:pt idx="0">
                  <c:v>0</c:v>
                </c:pt>
                <c:pt idx="1">
                  <c:v>0</c:v>
                </c:pt>
                <c:pt idx="2">
                  <c:v>0</c:v>
                </c:pt>
                <c:pt idx="3">
                  <c:v>0</c:v>
                </c:pt>
                <c:pt idx="4">
                  <c:v>0</c:v>
                </c:pt>
                <c:pt idx="5">
                  <c:v>0</c:v>
                </c:pt>
                <c:pt idx="6">
                  <c:v>1</c:v>
                </c:pt>
                <c:pt idx="7">
                  <c:v>7</c:v>
                </c:pt>
                <c:pt idx="8">
                  <c:v>16</c:v>
                </c:pt>
                <c:pt idx="9">
                  <c:v>38</c:v>
                </c:pt>
                <c:pt idx="10">
                  <c:v>51</c:v>
                </c:pt>
                <c:pt idx="11">
                  <c:v>67</c:v>
                </c:pt>
                <c:pt idx="12">
                  <c:v>86</c:v>
                </c:pt>
                <c:pt idx="13">
                  <c:v>100</c:v>
                </c:pt>
                <c:pt idx="14">
                  <c:v>100</c:v>
                </c:pt>
                <c:pt idx="15">
                  <c:v>100</c:v>
                </c:pt>
                <c:pt idx="16">
                  <c:v>100</c:v>
                </c:pt>
                <c:pt idx="17">
                  <c:v>100</c:v>
                </c:pt>
                <c:pt idx="18">
                  <c:v>100</c:v>
                </c:pt>
                <c:pt idx="19">
                  <c:v>100</c:v>
                </c:pt>
                <c:pt idx="20">
                  <c:v>100</c:v>
                </c:pt>
              </c:numCache>
            </c:numRef>
          </c:val>
          <c:smooth val="0"/>
          <c:extLst>
            <c:ext xmlns:c16="http://schemas.microsoft.com/office/drawing/2014/chart" uri="{C3380CC4-5D6E-409C-BE32-E72D297353CC}">
              <c16:uniqueId val="{00000005-59ED-4E3F-8AC9-617110BD5AB1}"/>
            </c:ext>
          </c:extLst>
        </c:ser>
        <c:ser>
          <c:idx val="4"/>
          <c:order val="7"/>
          <c:tx>
            <c:strRef>
              <c:f>'6. Summary Tracking Sheet'!$BX$3</c:f>
              <c:strCache>
                <c:ptCount val="1"/>
                <c:pt idx="0">
                  <c:v>ReadyForInstallation_BL(SUM)</c:v>
                </c:pt>
              </c:strCache>
            </c:strRef>
          </c:tx>
          <c:spPr>
            <a:ln w="22225" cap="rnd">
              <a:solidFill>
                <a:schemeClr val="accent5"/>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dk1">
                          <a:lumMod val="35000"/>
                          <a:lumOff val="65000"/>
                        </a:schemeClr>
                      </a:solidFill>
                      <a:round/>
                    </a:ln>
                    <a:effectLst/>
                  </c:spPr>
                </c15:leaderLines>
              </c:ext>
            </c:extLst>
          </c:dLbls>
          <c:cat>
            <c:numRef>
              <c:extLst>
                <c:ext xmlns:c15="http://schemas.microsoft.com/office/drawing/2012/chart" uri="{02D57815-91ED-43cb-92C2-25804820EDAC}">
                  <c15:fullRef>
                    <c15:sqref>'6. Summary Tracking Sheet'!$B$4:$B$43</c15:sqref>
                  </c15:fullRef>
                </c:ext>
              </c:extLst>
              <c:f>'6. Summary Tracking Sheet'!$B$23:$B$43</c:f>
              <c:numCache>
                <c:formatCode>General</c:formatCode>
                <c:ptCount val="21"/>
                <c:pt idx="0">
                  <c:v>20</c:v>
                </c:pt>
                <c:pt idx="1">
                  <c:v>21</c:v>
                </c:pt>
                <c:pt idx="2">
                  <c:v>22</c:v>
                </c:pt>
                <c:pt idx="3">
                  <c:v>23</c:v>
                </c:pt>
                <c:pt idx="4">
                  <c:v>24</c:v>
                </c:pt>
                <c:pt idx="5">
                  <c:v>25</c:v>
                </c:pt>
                <c:pt idx="6">
                  <c:v>26</c:v>
                </c:pt>
                <c:pt idx="7">
                  <c:v>27</c:v>
                </c:pt>
                <c:pt idx="8">
                  <c:v>28</c:v>
                </c:pt>
                <c:pt idx="9">
                  <c:v>29</c:v>
                </c:pt>
                <c:pt idx="10">
                  <c:v>30</c:v>
                </c:pt>
                <c:pt idx="11">
                  <c:v>31</c:v>
                </c:pt>
                <c:pt idx="12">
                  <c:v>32</c:v>
                </c:pt>
                <c:pt idx="13">
                  <c:v>33</c:v>
                </c:pt>
                <c:pt idx="14">
                  <c:v>34</c:v>
                </c:pt>
                <c:pt idx="15">
                  <c:v>35</c:v>
                </c:pt>
                <c:pt idx="16">
                  <c:v>36</c:v>
                </c:pt>
                <c:pt idx="17">
                  <c:v>37</c:v>
                </c:pt>
                <c:pt idx="18">
                  <c:v>38</c:v>
                </c:pt>
                <c:pt idx="19">
                  <c:v>39</c:v>
                </c:pt>
                <c:pt idx="20">
                  <c:v>40</c:v>
                </c:pt>
              </c:numCache>
            </c:numRef>
          </c:cat>
          <c:val>
            <c:numRef>
              <c:extLst>
                <c:ext xmlns:c15="http://schemas.microsoft.com/office/drawing/2012/chart" uri="{02D57815-91ED-43cb-92C2-25804820EDAC}">
                  <c15:fullRef>
                    <c15:sqref>'6. Summary Tracking Sheet'!$BX$4:$BX$124</c15:sqref>
                  </c15:fullRef>
                </c:ext>
              </c:extLst>
              <c:f>('6. Summary Tracking Sheet'!$BX$23:$BX$43,'6. Summary Tracking Sheet'!$BX$71:$BX$74,'6. Summary Tracking Sheet'!$BX$109:$BX$112)</c:f>
              <c:numCache>
                <c:formatCode>0;\-0;\-;@</c:formatCode>
                <c:ptCount val="29"/>
                <c:pt idx="0">
                  <c:v>0</c:v>
                </c:pt>
                <c:pt idx="1">
                  <c:v>0</c:v>
                </c:pt>
                <c:pt idx="2">
                  <c:v>0</c:v>
                </c:pt>
                <c:pt idx="3">
                  <c:v>0</c:v>
                </c:pt>
                <c:pt idx="4">
                  <c:v>0</c:v>
                </c:pt>
                <c:pt idx="5">
                  <c:v>0</c:v>
                </c:pt>
                <c:pt idx="6">
                  <c:v>0</c:v>
                </c:pt>
                <c:pt idx="7">
                  <c:v>1</c:v>
                </c:pt>
                <c:pt idx="8">
                  <c:v>7</c:v>
                </c:pt>
                <c:pt idx="9">
                  <c:v>16</c:v>
                </c:pt>
                <c:pt idx="10">
                  <c:v>38</c:v>
                </c:pt>
                <c:pt idx="11">
                  <c:v>51</c:v>
                </c:pt>
                <c:pt idx="12">
                  <c:v>67</c:v>
                </c:pt>
                <c:pt idx="13">
                  <c:v>86</c:v>
                </c:pt>
                <c:pt idx="14">
                  <c:v>100</c:v>
                </c:pt>
                <c:pt idx="15">
                  <c:v>100</c:v>
                </c:pt>
                <c:pt idx="16">
                  <c:v>100</c:v>
                </c:pt>
                <c:pt idx="17">
                  <c:v>100</c:v>
                </c:pt>
                <c:pt idx="18">
                  <c:v>100</c:v>
                </c:pt>
                <c:pt idx="19">
                  <c:v>100</c:v>
                </c:pt>
                <c:pt idx="20">
                  <c:v>100</c:v>
                </c:pt>
              </c:numCache>
            </c:numRef>
          </c:val>
          <c:smooth val="0"/>
          <c:extLst>
            <c:ext xmlns:c16="http://schemas.microsoft.com/office/drawing/2014/chart" uri="{C3380CC4-5D6E-409C-BE32-E72D297353CC}">
              <c16:uniqueId val="{00000006-59ED-4E3F-8AC9-617110BD5AB1}"/>
            </c:ext>
          </c:extLst>
        </c:ser>
        <c:ser>
          <c:idx val="5"/>
          <c:order val="8"/>
          <c:tx>
            <c:strRef>
              <c:f>'6. Summary Tracking Sheet'!$CH$3</c:f>
              <c:strCache>
                <c:ptCount val="1"/>
                <c:pt idx="0">
                  <c:v>ReadyForIntegration_BL(SUM)</c:v>
                </c:pt>
              </c:strCache>
            </c:strRef>
          </c:tx>
          <c:spPr>
            <a:ln w="22225" cap="rnd">
              <a:solidFill>
                <a:schemeClr val="accent6"/>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dk1">
                          <a:lumMod val="35000"/>
                          <a:lumOff val="65000"/>
                        </a:schemeClr>
                      </a:solidFill>
                      <a:round/>
                    </a:ln>
                    <a:effectLst/>
                  </c:spPr>
                </c15:leaderLines>
              </c:ext>
            </c:extLst>
          </c:dLbls>
          <c:cat>
            <c:numRef>
              <c:extLst>
                <c:ext xmlns:c15="http://schemas.microsoft.com/office/drawing/2012/chart" uri="{02D57815-91ED-43cb-92C2-25804820EDAC}">
                  <c15:fullRef>
                    <c15:sqref>'6. Summary Tracking Sheet'!$B$4:$B$43</c15:sqref>
                  </c15:fullRef>
                </c:ext>
              </c:extLst>
              <c:f>'6. Summary Tracking Sheet'!$B$23:$B$43</c:f>
              <c:numCache>
                <c:formatCode>General</c:formatCode>
                <c:ptCount val="21"/>
                <c:pt idx="0">
                  <c:v>20</c:v>
                </c:pt>
                <c:pt idx="1">
                  <c:v>21</c:v>
                </c:pt>
                <c:pt idx="2">
                  <c:v>22</c:v>
                </c:pt>
                <c:pt idx="3">
                  <c:v>23</c:v>
                </c:pt>
                <c:pt idx="4">
                  <c:v>24</c:v>
                </c:pt>
                <c:pt idx="5">
                  <c:v>25</c:v>
                </c:pt>
                <c:pt idx="6">
                  <c:v>26</c:v>
                </c:pt>
                <c:pt idx="7">
                  <c:v>27</c:v>
                </c:pt>
                <c:pt idx="8">
                  <c:v>28</c:v>
                </c:pt>
                <c:pt idx="9">
                  <c:v>29</c:v>
                </c:pt>
                <c:pt idx="10">
                  <c:v>30</c:v>
                </c:pt>
                <c:pt idx="11">
                  <c:v>31</c:v>
                </c:pt>
                <c:pt idx="12">
                  <c:v>32</c:v>
                </c:pt>
                <c:pt idx="13">
                  <c:v>33</c:v>
                </c:pt>
                <c:pt idx="14">
                  <c:v>34</c:v>
                </c:pt>
                <c:pt idx="15">
                  <c:v>35</c:v>
                </c:pt>
                <c:pt idx="16">
                  <c:v>36</c:v>
                </c:pt>
                <c:pt idx="17">
                  <c:v>37</c:v>
                </c:pt>
                <c:pt idx="18">
                  <c:v>38</c:v>
                </c:pt>
                <c:pt idx="19">
                  <c:v>39</c:v>
                </c:pt>
                <c:pt idx="20">
                  <c:v>40</c:v>
                </c:pt>
              </c:numCache>
            </c:numRef>
          </c:cat>
          <c:val>
            <c:numRef>
              <c:extLst>
                <c:ext xmlns:c15="http://schemas.microsoft.com/office/drawing/2012/chart" uri="{02D57815-91ED-43cb-92C2-25804820EDAC}">
                  <c15:fullRef>
                    <c15:sqref>'6. Summary Tracking Sheet'!$CH$4:$CH$124</c15:sqref>
                  </c15:fullRef>
                </c:ext>
              </c:extLst>
              <c:f>('6. Summary Tracking Sheet'!$CH$23:$CH$43,'6. Summary Tracking Sheet'!$CH$71:$CH$74,'6. Summary Tracking Sheet'!$CH$109:$CH$112)</c:f>
              <c:numCache>
                <c:formatCode>0;\-0;\-;@</c:formatCode>
                <c:ptCount val="29"/>
                <c:pt idx="0">
                  <c:v>0</c:v>
                </c:pt>
                <c:pt idx="1">
                  <c:v>0</c:v>
                </c:pt>
                <c:pt idx="2">
                  <c:v>0</c:v>
                </c:pt>
                <c:pt idx="3">
                  <c:v>0</c:v>
                </c:pt>
                <c:pt idx="4">
                  <c:v>0</c:v>
                </c:pt>
                <c:pt idx="5">
                  <c:v>0</c:v>
                </c:pt>
                <c:pt idx="6">
                  <c:v>0</c:v>
                </c:pt>
                <c:pt idx="7">
                  <c:v>1</c:v>
                </c:pt>
                <c:pt idx="8">
                  <c:v>7</c:v>
                </c:pt>
                <c:pt idx="9">
                  <c:v>16</c:v>
                </c:pt>
                <c:pt idx="10">
                  <c:v>26</c:v>
                </c:pt>
                <c:pt idx="11">
                  <c:v>38</c:v>
                </c:pt>
                <c:pt idx="12">
                  <c:v>67</c:v>
                </c:pt>
                <c:pt idx="13">
                  <c:v>86</c:v>
                </c:pt>
                <c:pt idx="14">
                  <c:v>99</c:v>
                </c:pt>
                <c:pt idx="15">
                  <c:v>100</c:v>
                </c:pt>
                <c:pt idx="16">
                  <c:v>100</c:v>
                </c:pt>
                <c:pt idx="17">
                  <c:v>100</c:v>
                </c:pt>
                <c:pt idx="18">
                  <c:v>100</c:v>
                </c:pt>
                <c:pt idx="19">
                  <c:v>100</c:v>
                </c:pt>
                <c:pt idx="20">
                  <c:v>100</c:v>
                </c:pt>
              </c:numCache>
            </c:numRef>
          </c:val>
          <c:smooth val="0"/>
          <c:extLst>
            <c:ext xmlns:c16="http://schemas.microsoft.com/office/drawing/2014/chart" uri="{C3380CC4-5D6E-409C-BE32-E72D297353CC}">
              <c16:uniqueId val="{00000007-59ED-4E3F-8AC9-617110BD5AB1}"/>
            </c:ext>
          </c:extLst>
        </c:ser>
        <c:ser>
          <c:idx val="6"/>
          <c:order val="9"/>
          <c:tx>
            <c:strRef>
              <c:f>'6. Summary Tracking Sheet'!$CR$3</c:f>
              <c:strCache>
                <c:ptCount val="1"/>
                <c:pt idx="0">
                  <c:v>SiteOnAir_BL(SUM)</c:v>
                </c:pt>
              </c:strCache>
            </c:strRef>
          </c:tx>
          <c:spPr>
            <a:ln w="22225" cap="rnd">
              <a:solidFill>
                <a:schemeClr val="accent1">
                  <a:lumMod val="60000"/>
                </a:schemeClr>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dk1">
                          <a:lumMod val="35000"/>
                          <a:lumOff val="65000"/>
                        </a:schemeClr>
                      </a:solidFill>
                      <a:round/>
                    </a:ln>
                    <a:effectLst/>
                  </c:spPr>
                </c15:leaderLines>
              </c:ext>
            </c:extLst>
          </c:dLbls>
          <c:cat>
            <c:numRef>
              <c:extLst>
                <c:ext xmlns:c15="http://schemas.microsoft.com/office/drawing/2012/chart" uri="{02D57815-91ED-43cb-92C2-25804820EDAC}">
                  <c15:fullRef>
                    <c15:sqref>'6. Summary Tracking Sheet'!$B$4:$B$43</c15:sqref>
                  </c15:fullRef>
                </c:ext>
              </c:extLst>
              <c:f>'6. Summary Tracking Sheet'!$B$23:$B$43</c:f>
              <c:numCache>
                <c:formatCode>General</c:formatCode>
                <c:ptCount val="21"/>
                <c:pt idx="0">
                  <c:v>20</c:v>
                </c:pt>
                <c:pt idx="1">
                  <c:v>21</c:v>
                </c:pt>
                <c:pt idx="2">
                  <c:v>22</c:v>
                </c:pt>
                <c:pt idx="3">
                  <c:v>23</c:v>
                </c:pt>
                <c:pt idx="4">
                  <c:v>24</c:v>
                </c:pt>
                <c:pt idx="5">
                  <c:v>25</c:v>
                </c:pt>
                <c:pt idx="6">
                  <c:v>26</c:v>
                </c:pt>
                <c:pt idx="7">
                  <c:v>27</c:v>
                </c:pt>
                <c:pt idx="8">
                  <c:v>28</c:v>
                </c:pt>
                <c:pt idx="9">
                  <c:v>29</c:v>
                </c:pt>
                <c:pt idx="10">
                  <c:v>30</c:v>
                </c:pt>
                <c:pt idx="11">
                  <c:v>31</c:v>
                </c:pt>
                <c:pt idx="12">
                  <c:v>32</c:v>
                </c:pt>
                <c:pt idx="13">
                  <c:v>33</c:v>
                </c:pt>
                <c:pt idx="14">
                  <c:v>34</c:v>
                </c:pt>
                <c:pt idx="15">
                  <c:v>35</c:v>
                </c:pt>
                <c:pt idx="16">
                  <c:v>36</c:v>
                </c:pt>
                <c:pt idx="17">
                  <c:v>37</c:v>
                </c:pt>
                <c:pt idx="18">
                  <c:v>38</c:v>
                </c:pt>
                <c:pt idx="19">
                  <c:v>39</c:v>
                </c:pt>
                <c:pt idx="20">
                  <c:v>40</c:v>
                </c:pt>
              </c:numCache>
            </c:numRef>
          </c:cat>
          <c:val>
            <c:numRef>
              <c:extLst>
                <c:ext xmlns:c15="http://schemas.microsoft.com/office/drawing/2012/chart" uri="{02D57815-91ED-43cb-92C2-25804820EDAC}">
                  <c15:fullRef>
                    <c15:sqref>'6. Summary Tracking Sheet'!$CR$4:$CR$124</c15:sqref>
                  </c15:fullRef>
                </c:ext>
              </c:extLst>
              <c:f>('6. Summary Tracking Sheet'!$CR$23:$CR$43,'6. Summary Tracking Sheet'!$CR$71:$CR$74,'6. Summary Tracking Sheet'!$CR$109:$CR$112)</c:f>
              <c:numCache>
                <c:formatCode>0;\-0;\-;@</c:formatCode>
                <c:ptCount val="29"/>
                <c:pt idx="0">
                  <c:v>0</c:v>
                </c:pt>
                <c:pt idx="1">
                  <c:v>0</c:v>
                </c:pt>
                <c:pt idx="2">
                  <c:v>0</c:v>
                </c:pt>
                <c:pt idx="3">
                  <c:v>0</c:v>
                </c:pt>
                <c:pt idx="4">
                  <c:v>0</c:v>
                </c:pt>
                <c:pt idx="5">
                  <c:v>0</c:v>
                </c:pt>
                <c:pt idx="6">
                  <c:v>0</c:v>
                </c:pt>
                <c:pt idx="7">
                  <c:v>0</c:v>
                </c:pt>
                <c:pt idx="8">
                  <c:v>1</c:v>
                </c:pt>
                <c:pt idx="9">
                  <c:v>7</c:v>
                </c:pt>
                <c:pt idx="10">
                  <c:v>16</c:v>
                </c:pt>
                <c:pt idx="11">
                  <c:v>26</c:v>
                </c:pt>
                <c:pt idx="12">
                  <c:v>38</c:v>
                </c:pt>
                <c:pt idx="13">
                  <c:v>67</c:v>
                </c:pt>
                <c:pt idx="14">
                  <c:v>86</c:v>
                </c:pt>
                <c:pt idx="15">
                  <c:v>100</c:v>
                </c:pt>
                <c:pt idx="16">
                  <c:v>100</c:v>
                </c:pt>
                <c:pt idx="17">
                  <c:v>100</c:v>
                </c:pt>
                <c:pt idx="18">
                  <c:v>100</c:v>
                </c:pt>
                <c:pt idx="19">
                  <c:v>100</c:v>
                </c:pt>
                <c:pt idx="20">
                  <c:v>100</c:v>
                </c:pt>
              </c:numCache>
            </c:numRef>
          </c:val>
          <c:smooth val="0"/>
          <c:extLst>
            <c:ext xmlns:c16="http://schemas.microsoft.com/office/drawing/2014/chart" uri="{C3380CC4-5D6E-409C-BE32-E72D297353CC}">
              <c16:uniqueId val="{00000008-59ED-4E3F-8AC9-617110BD5AB1}"/>
            </c:ext>
          </c:extLst>
        </c:ser>
        <c:ser>
          <c:idx val="7"/>
          <c:order val="10"/>
          <c:tx>
            <c:strRef>
              <c:f>'6. Summary Tracking Sheet'!$DB$3</c:f>
              <c:strCache>
                <c:ptCount val="1"/>
                <c:pt idx="0">
                  <c:v>SiteAccepted_BL(SUM)</c:v>
                </c:pt>
              </c:strCache>
            </c:strRef>
          </c:tx>
          <c:spPr>
            <a:ln w="22225" cap="rnd">
              <a:solidFill>
                <a:schemeClr val="accent2">
                  <a:lumMod val="60000"/>
                </a:schemeClr>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dk1">
                          <a:lumMod val="35000"/>
                          <a:lumOff val="65000"/>
                        </a:schemeClr>
                      </a:solidFill>
                      <a:round/>
                    </a:ln>
                    <a:effectLst/>
                  </c:spPr>
                </c15:leaderLines>
              </c:ext>
            </c:extLst>
          </c:dLbls>
          <c:cat>
            <c:numRef>
              <c:extLst>
                <c:ext xmlns:c15="http://schemas.microsoft.com/office/drawing/2012/chart" uri="{02D57815-91ED-43cb-92C2-25804820EDAC}">
                  <c15:fullRef>
                    <c15:sqref>'6. Summary Tracking Sheet'!$B$4:$B$43</c15:sqref>
                  </c15:fullRef>
                </c:ext>
              </c:extLst>
              <c:f>'6. Summary Tracking Sheet'!$B$23:$B$43</c:f>
              <c:numCache>
                <c:formatCode>General</c:formatCode>
                <c:ptCount val="21"/>
                <c:pt idx="0">
                  <c:v>20</c:v>
                </c:pt>
                <c:pt idx="1">
                  <c:v>21</c:v>
                </c:pt>
                <c:pt idx="2">
                  <c:v>22</c:v>
                </c:pt>
                <c:pt idx="3">
                  <c:v>23</c:v>
                </c:pt>
                <c:pt idx="4">
                  <c:v>24</c:v>
                </c:pt>
                <c:pt idx="5">
                  <c:v>25</c:v>
                </c:pt>
                <c:pt idx="6">
                  <c:v>26</c:v>
                </c:pt>
                <c:pt idx="7">
                  <c:v>27</c:v>
                </c:pt>
                <c:pt idx="8">
                  <c:v>28</c:v>
                </c:pt>
                <c:pt idx="9">
                  <c:v>29</c:v>
                </c:pt>
                <c:pt idx="10">
                  <c:v>30</c:v>
                </c:pt>
                <c:pt idx="11">
                  <c:v>31</c:v>
                </c:pt>
                <c:pt idx="12">
                  <c:v>32</c:v>
                </c:pt>
                <c:pt idx="13">
                  <c:v>33</c:v>
                </c:pt>
                <c:pt idx="14">
                  <c:v>34</c:v>
                </c:pt>
                <c:pt idx="15">
                  <c:v>35</c:v>
                </c:pt>
                <c:pt idx="16">
                  <c:v>36</c:v>
                </c:pt>
                <c:pt idx="17">
                  <c:v>37</c:v>
                </c:pt>
                <c:pt idx="18">
                  <c:v>38</c:v>
                </c:pt>
                <c:pt idx="19">
                  <c:v>39</c:v>
                </c:pt>
                <c:pt idx="20">
                  <c:v>40</c:v>
                </c:pt>
              </c:numCache>
            </c:numRef>
          </c:cat>
          <c:val>
            <c:numRef>
              <c:extLst>
                <c:ext xmlns:c15="http://schemas.microsoft.com/office/drawing/2012/chart" uri="{02D57815-91ED-43cb-92C2-25804820EDAC}">
                  <c15:fullRef>
                    <c15:sqref>'6. Summary Tracking Sheet'!$DB$4:$DB$124</c15:sqref>
                  </c15:fullRef>
                </c:ext>
              </c:extLst>
              <c:f>('6. Summary Tracking Sheet'!$DB$23:$DB$43,'6. Summary Tracking Sheet'!$DB$71:$DB$74,'6. Summary Tracking Sheet'!$DB$109:$DB$112)</c:f>
              <c:numCache>
                <c:formatCode>0;\-0;\-;@</c:formatCode>
                <c:ptCount val="29"/>
                <c:pt idx="0">
                  <c:v>0</c:v>
                </c:pt>
                <c:pt idx="1">
                  <c:v>0</c:v>
                </c:pt>
                <c:pt idx="2">
                  <c:v>0</c:v>
                </c:pt>
                <c:pt idx="3">
                  <c:v>0</c:v>
                </c:pt>
                <c:pt idx="4">
                  <c:v>0</c:v>
                </c:pt>
                <c:pt idx="5">
                  <c:v>0</c:v>
                </c:pt>
                <c:pt idx="6">
                  <c:v>0</c:v>
                </c:pt>
                <c:pt idx="7">
                  <c:v>0</c:v>
                </c:pt>
                <c:pt idx="8">
                  <c:v>0</c:v>
                </c:pt>
                <c:pt idx="9">
                  <c:v>7</c:v>
                </c:pt>
                <c:pt idx="10">
                  <c:v>16</c:v>
                </c:pt>
                <c:pt idx="11">
                  <c:v>26</c:v>
                </c:pt>
                <c:pt idx="12">
                  <c:v>38</c:v>
                </c:pt>
                <c:pt idx="13">
                  <c:v>51</c:v>
                </c:pt>
                <c:pt idx="14">
                  <c:v>67</c:v>
                </c:pt>
                <c:pt idx="15">
                  <c:v>87</c:v>
                </c:pt>
                <c:pt idx="16">
                  <c:v>100</c:v>
                </c:pt>
                <c:pt idx="17">
                  <c:v>100</c:v>
                </c:pt>
                <c:pt idx="18">
                  <c:v>100</c:v>
                </c:pt>
                <c:pt idx="19">
                  <c:v>100</c:v>
                </c:pt>
                <c:pt idx="20">
                  <c:v>100</c:v>
                </c:pt>
              </c:numCache>
            </c:numRef>
          </c:val>
          <c:smooth val="0"/>
          <c:extLst>
            <c:ext xmlns:c16="http://schemas.microsoft.com/office/drawing/2014/chart" uri="{C3380CC4-5D6E-409C-BE32-E72D297353CC}">
              <c16:uniqueId val="{00000009-59ED-4E3F-8AC9-617110BD5AB1}"/>
            </c:ext>
          </c:extLst>
        </c:ser>
        <c:ser>
          <c:idx val="8"/>
          <c:order val="11"/>
          <c:tx>
            <c:strRef>
              <c:f>'6. Summary Tracking Sheet'!$DL$3</c:f>
              <c:strCache>
                <c:ptCount val="1"/>
                <c:pt idx="0">
                  <c:v>SiteInOperations_BL(SUM)</c:v>
                </c:pt>
              </c:strCache>
            </c:strRef>
          </c:tx>
          <c:spPr>
            <a:ln w="22225" cap="rnd">
              <a:solidFill>
                <a:schemeClr val="accent3">
                  <a:lumMod val="60000"/>
                </a:schemeClr>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dk1">
                          <a:lumMod val="35000"/>
                          <a:lumOff val="65000"/>
                        </a:schemeClr>
                      </a:solidFill>
                      <a:round/>
                    </a:ln>
                    <a:effectLst/>
                  </c:spPr>
                </c15:leaderLines>
              </c:ext>
            </c:extLst>
          </c:dLbls>
          <c:cat>
            <c:numRef>
              <c:extLst>
                <c:ext xmlns:c15="http://schemas.microsoft.com/office/drawing/2012/chart" uri="{02D57815-91ED-43cb-92C2-25804820EDAC}">
                  <c15:fullRef>
                    <c15:sqref>'6. Summary Tracking Sheet'!$B$4:$B$43</c15:sqref>
                  </c15:fullRef>
                </c:ext>
              </c:extLst>
              <c:f>'6. Summary Tracking Sheet'!$B$23:$B$43</c:f>
              <c:numCache>
                <c:formatCode>General</c:formatCode>
                <c:ptCount val="21"/>
                <c:pt idx="0">
                  <c:v>20</c:v>
                </c:pt>
                <c:pt idx="1">
                  <c:v>21</c:v>
                </c:pt>
                <c:pt idx="2">
                  <c:v>22</c:v>
                </c:pt>
                <c:pt idx="3">
                  <c:v>23</c:v>
                </c:pt>
                <c:pt idx="4">
                  <c:v>24</c:v>
                </c:pt>
                <c:pt idx="5">
                  <c:v>25</c:v>
                </c:pt>
                <c:pt idx="6">
                  <c:v>26</c:v>
                </c:pt>
                <c:pt idx="7">
                  <c:v>27</c:v>
                </c:pt>
                <c:pt idx="8">
                  <c:v>28</c:v>
                </c:pt>
                <c:pt idx="9">
                  <c:v>29</c:v>
                </c:pt>
                <c:pt idx="10">
                  <c:v>30</c:v>
                </c:pt>
                <c:pt idx="11">
                  <c:v>31</c:v>
                </c:pt>
                <c:pt idx="12">
                  <c:v>32</c:v>
                </c:pt>
                <c:pt idx="13">
                  <c:v>33</c:v>
                </c:pt>
                <c:pt idx="14">
                  <c:v>34</c:v>
                </c:pt>
                <c:pt idx="15">
                  <c:v>35</c:v>
                </c:pt>
                <c:pt idx="16">
                  <c:v>36</c:v>
                </c:pt>
                <c:pt idx="17">
                  <c:v>37</c:v>
                </c:pt>
                <c:pt idx="18">
                  <c:v>38</c:v>
                </c:pt>
                <c:pt idx="19">
                  <c:v>39</c:v>
                </c:pt>
                <c:pt idx="20">
                  <c:v>40</c:v>
                </c:pt>
              </c:numCache>
            </c:numRef>
          </c:cat>
          <c:val>
            <c:numRef>
              <c:extLst>
                <c:ext xmlns:c15="http://schemas.microsoft.com/office/drawing/2012/chart" uri="{02D57815-91ED-43cb-92C2-25804820EDAC}">
                  <c15:fullRef>
                    <c15:sqref>'6. Summary Tracking Sheet'!$DL$4:$DL$124</c15:sqref>
                  </c15:fullRef>
                </c:ext>
              </c:extLst>
              <c:f>('6. Summary Tracking Sheet'!$DL$23:$DL$43,'6. Summary Tracking Sheet'!$DL$71:$DL$74,'6. Summary Tracking Sheet'!$DL$109:$DL$112)</c:f>
              <c:numCache>
                <c:formatCode>0;\-0;\-;@</c:formatCode>
                <c:ptCount val="29"/>
                <c:pt idx="0">
                  <c:v>0</c:v>
                </c:pt>
                <c:pt idx="1">
                  <c:v>0</c:v>
                </c:pt>
                <c:pt idx="2">
                  <c:v>0</c:v>
                </c:pt>
                <c:pt idx="3">
                  <c:v>0</c:v>
                </c:pt>
                <c:pt idx="4">
                  <c:v>0</c:v>
                </c:pt>
                <c:pt idx="5">
                  <c:v>0</c:v>
                </c:pt>
                <c:pt idx="6">
                  <c:v>0</c:v>
                </c:pt>
                <c:pt idx="7">
                  <c:v>0</c:v>
                </c:pt>
                <c:pt idx="8">
                  <c:v>0</c:v>
                </c:pt>
                <c:pt idx="9">
                  <c:v>0</c:v>
                </c:pt>
                <c:pt idx="10">
                  <c:v>7</c:v>
                </c:pt>
                <c:pt idx="11">
                  <c:v>16</c:v>
                </c:pt>
                <c:pt idx="12">
                  <c:v>26</c:v>
                </c:pt>
                <c:pt idx="13">
                  <c:v>38</c:v>
                </c:pt>
                <c:pt idx="14">
                  <c:v>51</c:v>
                </c:pt>
                <c:pt idx="15">
                  <c:v>67</c:v>
                </c:pt>
                <c:pt idx="16">
                  <c:v>86</c:v>
                </c:pt>
                <c:pt idx="17">
                  <c:v>100</c:v>
                </c:pt>
                <c:pt idx="18">
                  <c:v>100</c:v>
                </c:pt>
                <c:pt idx="19">
                  <c:v>100</c:v>
                </c:pt>
                <c:pt idx="20">
                  <c:v>100</c:v>
                </c:pt>
              </c:numCache>
            </c:numRef>
          </c:val>
          <c:smooth val="0"/>
          <c:extLst>
            <c:ext xmlns:c16="http://schemas.microsoft.com/office/drawing/2014/chart" uri="{C3380CC4-5D6E-409C-BE32-E72D297353CC}">
              <c16:uniqueId val="{0000000A-59ED-4E3F-8AC9-617110BD5AB1}"/>
            </c:ext>
          </c:extLst>
        </c:ser>
        <c:dLbls>
          <c:dLblPos val="t"/>
          <c:showLegendKey val="0"/>
          <c:showVal val="1"/>
          <c:showCatName val="0"/>
          <c:showSerName val="0"/>
          <c:showPercent val="0"/>
          <c:showBubbleSize val="0"/>
        </c:dLbls>
        <c:smooth val="0"/>
        <c:axId val="550300207"/>
        <c:axId val="506817855"/>
        <c:extLst/>
      </c:lineChart>
      <c:catAx>
        <c:axId val="550300207"/>
        <c:scaling>
          <c:orientation val="minMax"/>
        </c:scaling>
        <c:delete val="0"/>
        <c:axPos val="b"/>
        <c:majorGridlines>
          <c:spPr>
            <a:ln w="9525" cap="flat" cmpd="sng" algn="ctr">
              <a:solidFill>
                <a:schemeClr val="dk1">
                  <a:lumMod val="15000"/>
                  <a:lumOff val="85000"/>
                  <a:alpha val="54000"/>
                </a:schemeClr>
              </a:solidFill>
              <a:round/>
            </a:ln>
            <a:effectLst/>
          </c:spPr>
        </c:majorGridlines>
        <c:minorGridlines>
          <c:spPr>
            <a:ln w="9525" cap="flat" cmpd="sng" algn="ctr">
              <a:solidFill>
                <a:schemeClr val="dk1">
                  <a:lumMod val="15000"/>
                  <a:lumOff val="85000"/>
                  <a:alpha val="51000"/>
                </a:schemeClr>
              </a:solidFill>
              <a:round/>
            </a:ln>
            <a:effectLst/>
          </c:spPr>
        </c:minorGridlines>
        <c:title>
          <c:tx>
            <c:rich>
              <a:bodyPr rot="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r>
                  <a:rPr lang="en-US"/>
                  <a:t>Week</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endParaRPr lang="en-US"/>
            </a:p>
          </c:txPr>
        </c:title>
        <c:numFmt formatCode="General" sourceLinked="0"/>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cap="none" spc="0" normalizeH="0" baseline="0">
                <a:solidFill>
                  <a:schemeClr val="dk1">
                    <a:lumMod val="65000"/>
                    <a:lumOff val="35000"/>
                  </a:schemeClr>
                </a:solidFill>
                <a:latin typeface="+mn-lt"/>
                <a:ea typeface="+mn-ea"/>
                <a:cs typeface="+mn-cs"/>
              </a:defRPr>
            </a:pPr>
            <a:endParaRPr lang="en-US"/>
          </a:p>
        </c:txPr>
        <c:crossAx val="506817855"/>
        <c:crosses val="autoZero"/>
        <c:auto val="1"/>
        <c:lblAlgn val="ctr"/>
        <c:lblOffset val="100"/>
        <c:noMultiLvlLbl val="0"/>
      </c:catAx>
      <c:valAx>
        <c:axId val="506817855"/>
        <c:scaling>
          <c:orientation val="minMax"/>
        </c:scaling>
        <c:delete val="0"/>
        <c:axPos val="l"/>
        <c:majorGridlines>
          <c:spPr>
            <a:ln w="9525" cap="flat" cmpd="sng" algn="ctr">
              <a:solidFill>
                <a:schemeClr val="dk1">
                  <a:lumMod val="15000"/>
                  <a:lumOff val="85000"/>
                  <a:alpha val="54000"/>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r>
                  <a:rPr lang="en-US"/>
                  <a:t>Sites</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endParaRPr lang="en-US"/>
            </a:p>
          </c:txPr>
        </c:title>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crossAx val="550300207"/>
        <c:crosses val="autoZero"/>
        <c:crossBetween val="between"/>
      </c:valAx>
      <c:spPr>
        <a:pattFill prst="ltDnDiag">
          <a:fgClr>
            <a:schemeClr val="dk1">
              <a:lumMod val="15000"/>
              <a:lumOff val="85000"/>
            </a:schemeClr>
          </a:fgClr>
          <a:bgClr>
            <a:schemeClr val="lt1"/>
          </a:bgClr>
        </a:patt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2"/>
          <c:order val="2"/>
          <c:tx>
            <c:strRef>
              <c:f>'6. Summary Tracking Sheet'!$AT$3</c:f>
              <c:strCache>
                <c:ptCount val="1"/>
                <c:pt idx="0">
                  <c:v>ReadyForCW_BL(SUM)</c:v>
                </c:pt>
              </c:strCache>
              <c:extLst xmlns:c15="http://schemas.microsoft.com/office/drawing/2012/chart"/>
            </c:strRef>
          </c:tx>
          <c:spPr>
            <a:ln w="22225" cap="rnd">
              <a:solidFill>
                <a:schemeClr val="accent3"/>
              </a:solidFill>
              <a:round/>
            </a:ln>
            <a:effectLst/>
          </c:spPr>
          <c:marker>
            <c:symbol val="none"/>
          </c:marker>
          <c:cat>
            <c:strLit>
              <c:ptCount val="18"/>
              <c:pt idx="0">
                <c:v>20</c:v>
              </c:pt>
              <c:pt idx="1">
                <c:v>21</c:v>
              </c:pt>
              <c:pt idx="2">
                <c:v>22</c:v>
              </c:pt>
              <c:pt idx="3">
                <c:v>23</c:v>
              </c:pt>
              <c:pt idx="4">
                <c:v>24</c:v>
              </c:pt>
              <c:pt idx="5">
                <c:v>25</c:v>
              </c:pt>
              <c:pt idx="6">
                <c:v>26</c:v>
              </c:pt>
              <c:pt idx="7">
                <c:v>27</c:v>
              </c:pt>
              <c:pt idx="8">
                <c:v>28</c:v>
              </c:pt>
              <c:pt idx="9">
                <c:v>29</c:v>
              </c:pt>
              <c:pt idx="10">
                <c:v>30</c:v>
              </c:pt>
              <c:pt idx="11">
                <c:v>31</c:v>
              </c:pt>
              <c:pt idx="12">
                <c:v>32</c:v>
              </c:pt>
              <c:pt idx="13">
                <c:v>33</c:v>
              </c:pt>
              <c:pt idx="14">
                <c:v>34</c:v>
              </c:pt>
              <c:pt idx="15">
                <c:v>35</c:v>
              </c:pt>
              <c:pt idx="16">
                <c:v>36</c:v>
              </c:pt>
              <c:pt idx="17">
                <c:v>37</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'6. Summary Tracking Sheet'!$AT$4:$AT$44</c15:sqref>
                  </c15:fullRef>
                </c:ext>
              </c:extLst>
              <c:f>'6. Summary Tracking Sheet'!$AT$23:$AT$40</c:f>
              <c:numCache>
                <c:formatCode>0;\-0;\-;@</c:formatCode>
                <c:ptCount val="18"/>
                <c:pt idx="0">
                  <c:v>0</c:v>
                </c:pt>
                <c:pt idx="1">
                  <c:v>0</c:v>
                </c:pt>
                <c:pt idx="2">
                  <c:v>0</c:v>
                </c:pt>
                <c:pt idx="3">
                  <c:v>0</c:v>
                </c:pt>
                <c:pt idx="4">
                  <c:v>1</c:v>
                </c:pt>
                <c:pt idx="5">
                  <c:v>7</c:v>
                </c:pt>
                <c:pt idx="6">
                  <c:v>16</c:v>
                </c:pt>
                <c:pt idx="7">
                  <c:v>26</c:v>
                </c:pt>
                <c:pt idx="8">
                  <c:v>38</c:v>
                </c:pt>
                <c:pt idx="9">
                  <c:v>67</c:v>
                </c:pt>
                <c:pt idx="10">
                  <c:v>86</c:v>
                </c:pt>
                <c:pt idx="11">
                  <c:v>100</c:v>
                </c:pt>
                <c:pt idx="12">
                  <c:v>100</c:v>
                </c:pt>
                <c:pt idx="13">
                  <c:v>100</c:v>
                </c:pt>
                <c:pt idx="14">
                  <c:v>100</c:v>
                </c:pt>
                <c:pt idx="15">
                  <c:v>100</c:v>
                </c:pt>
                <c:pt idx="16">
                  <c:v>100</c:v>
                </c:pt>
                <c:pt idx="17">
                  <c:v>100</c:v>
                </c:pt>
              </c:numCache>
            </c:numRef>
          </c:val>
          <c:smooth val="0"/>
          <c:extLst xmlns:c15="http://schemas.microsoft.com/office/drawing/2012/chart">
            <c:ext xmlns:c16="http://schemas.microsoft.com/office/drawing/2014/chart" uri="{C3380CC4-5D6E-409C-BE32-E72D297353CC}">
              <c16:uniqueId val="{00000002-93E3-49A9-8940-BBD0BC26ECF7}"/>
            </c:ext>
          </c:extLst>
        </c:ser>
        <c:ser>
          <c:idx val="3"/>
          <c:order val="3"/>
          <c:tx>
            <c:strRef>
              <c:f>'6. Summary Tracking Sheet'!$AV$3</c:f>
              <c:strCache>
                <c:ptCount val="1"/>
                <c:pt idx="0">
                  <c:v>ReadyForCW_AC(SUM)</c:v>
                </c:pt>
              </c:strCache>
              <c:extLst xmlns:c15="http://schemas.microsoft.com/office/drawing/2012/chart"/>
            </c:strRef>
          </c:tx>
          <c:spPr>
            <a:ln w="22225" cap="rnd">
              <a:solidFill>
                <a:schemeClr val="accent4"/>
              </a:solidFill>
              <a:round/>
            </a:ln>
            <a:effectLst/>
          </c:spPr>
          <c:marker>
            <c:symbol val="none"/>
          </c:marker>
          <c:cat>
            <c:strLit>
              <c:ptCount val="18"/>
              <c:pt idx="0">
                <c:v>20</c:v>
              </c:pt>
              <c:pt idx="1">
                <c:v>21</c:v>
              </c:pt>
              <c:pt idx="2">
                <c:v>22</c:v>
              </c:pt>
              <c:pt idx="3">
                <c:v>23</c:v>
              </c:pt>
              <c:pt idx="4">
                <c:v>24</c:v>
              </c:pt>
              <c:pt idx="5">
                <c:v>25</c:v>
              </c:pt>
              <c:pt idx="6">
                <c:v>26</c:v>
              </c:pt>
              <c:pt idx="7">
                <c:v>27</c:v>
              </c:pt>
              <c:pt idx="8">
                <c:v>28</c:v>
              </c:pt>
              <c:pt idx="9">
                <c:v>29</c:v>
              </c:pt>
              <c:pt idx="10">
                <c:v>30</c:v>
              </c:pt>
              <c:pt idx="11">
                <c:v>31</c:v>
              </c:pt>
              <c:pt idx="12">
                <c:v>32</c:v>
              </c:pt>
              <c:pt idx="13">
                <c:v>33</c:v>
              </c:pt>
              <c:pt idx="14">
                <c:v>34</c:v>
              </c:pt>
              <c:pt idx="15">
                <c:v>35</c:v>
              </c:pt>
              <c:pt idx="16">
                <c:v>36</c:v>
              </c:pt>
              <c:pt idx="17">
                <c:v>37</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'6. Summary Tracking Sheet'!$AV$4:$AV$44</c15:sqref>
                  </c15:fullRef>
                </c:ext>
              </c:extLst>
              <c:f>'6. Summary Tracking Sheet'!$AV$23:$AV$40</c:f>
              <c:numCache>
                <c:formatCode>0;\-0;\-;@</c:formatCode>
                <c:ptCount val="18"/>
                <c:pt idx="0">
                  <c:v>0</c:v>
                </c:pt>
                <c:pt idx="1">
                  <c:v>0</c:v>
                </c:pt>
                <c:pt idx="2">
                  <c:v>0</c:v>
                </c:pt>
                <c:pt idx="3">
                  <c:v>0</c:v>
                </c:pt>
                <c:pt idx="4">
                  <c:v>1</c:v>
                </c:pt>
                <c:pt idx="5">
                  <c:v>5</c:v>
                </c:pt>
                <c:pt idx="6">
                  <c:v>15</c:v>
                </c:pt>
                <c:pt idx="7">
                  <c:v>25</c:v>
                </c:pt>
                <c:pt idx="8">
                  <c:v>38</c:v>
                </c:pt>
                <c:pt idx="9">
                  <c:v>61</c:v>
                </c:pt>
                <c:pt idx="10">
                  <c:v>71</c:v>
                </c:pt>
                <c:pt idx="11">
                  <c:v>80</c:v>
                </c:pt>
                <c:pt idx="12">
                  <c:v>80</c:v>
                </c:pt>
                <c:pt idx="13">
                  <c:v>80</c:v>
                </c:pt>
                <c:pt idx="14">
                  <c:v>80</c:v>
                </c:pt>
                <c:pt idx="15">
                  <c:v>80</c:v>
                </c:pt>
                <c:pt idx="16">
                  <c:v>80</c:v>
                </c:pt>
                <c:pt idx="17">
                  <c:v>80</c:v>
                </c:pt>
              </c:numCache>
            </c:numRef>
          </c:val>
          <c:smooth val="0"/>
          <c:extLst xmlns:c15="http://schemas.microsoft.com/office/drawing/2012/chart">
            <c:ext xmlns:c16="http://schemas.microsoft.com/office/drawing/2014/chart" uri="{C3380CC4-5D6E-409C-BE32-E72D297353CC}">
              <c16:uniqueId val="{00000003-93E3-49A9-8940-BBD0BC26ECF7}"/>
            </c:ext>
          </c:extLst>
        </c:ser>
        <c:dLbls>
          <c:showLegendKey val="0"/>
          <c:showVal val="0"/>
          <c:showCatName val="0"/>
          <c:showSerName val="0"/>
          <c:showPercent val="0"/>
          <c:showBubbleSize val="0"/>
        </c:dLbls>
        <c:smooth val="0"/>
        <c:axId val="550300207"/>
        <c:axId val="506817855"/>
        <c:extLst>
          <c:ext xmlns:c15="http://schemas.microsoft.com/office/drawing/2012/chart" uri="{02D57815-91ED-43cb-92C2-25804820EDAC}">
            <c15:filteredLineSeries>
              <c15:ser>
                <c:idx val="1"/>
                <c:order val="0"/>
                <c:tx>
                  <c:strRef>
                    <c:extLst>
                      <c:ext uri="{02D57815-91ED-43cb-92C2-25804820EDAC}">
                        <c15:formulaRef>
                          <c15:sqref>'6. Summary Tracking Sheet'!$P$3</c15:sqref>
                        </c15:formulaRef>
                      </c:ext>
                    </c:extLst>
                    <c:strCache>
                      <c:ptCount val="1"/>
                      <c:pt idx="0">
                        <c:v>SiteDesignReady_BL(SUM)</c:v>
                      </c:pt>
                    </c:strCache>
                  </c:strRef>
                </c:tx>
                <c:spPr>
                  <a:ln w="22225" cap="rnd">
                    <a:solidFill>
                      <a:schemeClr val="accent2"/>
                    </a:solidFill>
                    <a:round/>
                  </a:ln>
                  <a:effectLst/>
                </c:spPr>
                <c:marker>
                  <c:symbol val="none"/>
                </c:marker>
                <c:val>
                  <c:numRef>
                    <c:extLst>
                      <c:ext uri="{02D57815-91ED-43cb-92C2-25804820EDAC}">
                        <c15:fullRef>
                          <c15:sqref>'6. Summary Tracking Sheet'!$P$4:$P$44</c15:sqref>
                        </c15:fullRef>
                        <c15:formulaRef>
                          <c15:sqref>'6. Summary Tracking Sheet'!$P$23:$P$40</c15:sqref>
                        </c15:formulaRef>
                      </c:ext>
                    </c:extLst>
                    <c:numCache>
                      <c:formatCode>0;\-0;\-;@</c:formatCode>
                      <c:ptCount val="18"/>
                      <c:pt idx="0">
                        <c:v>0</c:v>
                      </c:pt>
                      <c:pt idx="1">
                        <c:v>0</c:v>
                      </c:pt>
                      <c:pt idx="2">
                        <c:v>1</c:v>
                      </c:pt>
                      <c:pt idx="3">
                        <c:v>7</c:v>
                      </c:pt>
                      <c:pt idx="4">
                        <c:v>16</c:v>
                      </c:pt>
                      <c:pt idx="5">
                        <c:v>38</c:v>
                      </c:pt>
                      <c:pt idx="6">
                        <c:v>51</c:v>
                      </c:pt>
                      <c:pt idx="7">
                        <c:v>67</c:v>
                      </c:pt>
                      <c:pt idx="8">
                        <c:v>86</c:v>
                      </c:pt>
                      <c:pt idx="9">
                        <c:v>100</c:v>
                      </c:pt>
                      <c:pt idx="10">
                        <c:v>100</c:v>
                      </c:pt>
                      <c:pt idx="11">
                        <c:v>100</c:v>
                      </c:pt>
                      <c:pt idx="12">
                        <c:v>100</c:v>
                      </c:pt>
                      <c:pt idx="13">
                        <c:v>100</c:v>
                      </c:pt>
                      <c:pt idx="14">
                        <c:v>100</c:v>
                      </c:pt>
                      <c:pt idx="15">
                        <c:v>100</c:v>
                      </c:pt>
                      <c:pt idx="16">
                        <c:v>100</c:v>
                      </c:pt>
                      <c:pt idx="17">
                        <c:v>100</c:v>
                      </c:pt>
                    </c:numCache>
                  </c:numRef>
                </c:val>
                <c:smooth val="0"/>
                <c:extLst>
                  <c:ext xmlns:c16="http://schemas.microsoft.com/office/drawing/2014/chart" uri="{C3380CC4-5D6E-409C-BE32-E72D297353CC}">
                    <c16:uniqueId val="{00000000-93E3-49A9-8940-BBD0BC26ECF7}"/>
                  </c:ext>
                </c:extLst>
              </c15:ser>
            </c15:filteredLineSeries>
            <c15:filteredLineSeries>
              <c15:ser>
                <c:idx val="0"/>
                <c:order val="1"/>
                <c:tx>
                  <c:strRef>
                    <c:extLst xmlns:c15="http://schemas.microsoft.com/office/drawing/2012/chart">
                      <c:ext xmlns:c15="http://schemas.microsoft.com/office/drawing/2012/chart" uri="{02D57815-91ED-43cb-92C2-25804820EDAC}">
                        <c15:formulaRef>
                          <c15:sqref>'6. Summary Tracking Sheet'!$R$3</c15:sqref>
                        </c15:formulaRef>
                      </c:ext>
                    </c:extLst>
                    <c:strCache>
                      <c:ptCount val="1"/>
                      <c:pt idx="0">
                        <c:v>SiteDesignReady_AC(SUM)</c:v>
                      </c:pt>
                    </c:strCache>
                  </c:strRef>
                </c:tx>
                <c:spPr>
                  <a:ln w="22225" cap="rnd">
                    <a:solidFill>
                      <a:schemeClr val="accent1"/>
                    </a:solidFill>
                    <a:round/>
                  </a:ln>
                  <a:effectLst/>
                </c:spPr>
                <c:marker>
                  <c:symbol val="none"/>
                </c:marker>
                <c:val>
                  <c:numRef>
                    <c:extLst>
                      <c:ext xmlns:c15="http://schemas.microsoft.com/office/drawing/2012/chart" uri="{02D57815-91ED-43cb-92C2-25804820EDAC}">
                        <c15:fullRef>
                          <c15:sqref>'6. Summary Tracking Sheet'!$R$4:$R$44</c15:sqref>
                        </c15:fullRef>
                        <c15:formulaRef>
                          <c15:sqref>'6. Summary Tracking Sheet'!$R$23:$R$40</c15:sqref>
                        </c15:formulaRef>
                      </c:ext>
                    </c:extLst>
                    <c:numCache>
                      <c:formatCode>0;\-0;\-;@</c:formatCode>
                      <c:ptCount val="18"/>
                      <c:pt idx="0">
                        <c:v>0</c:v>
                      </c:pt>
                      <c:pt idx="1">
                        <c:v>0</c:v>
                      </c:pt>
                      <c:pt idx="2">
                        <c:v>1</c:v>
                      </c:pt>
                      <c:pt idx="3">
                        <c:v>7</c:v>
                      </c:pt>
                      <c:pt idx="4">
                        <c:v>16</c:v>
                      </c:pt>
                      <c:pt idx="5">
                        <c:v>27</c:v>
                      </c:pt>
                      <c:pt idx="6">
                        <c:v>40</c:v>
                      </c:pt>
                      <c:pt idx="7">
                        <c:v>66</c:v>
                      </c:pt>
                      <c:pt idx="8">
                        <c:v>85</c:v>
                      </c:pt>
                      <c:pt idx="9">
                        <c:v>90</c:v>
                      </c:pt>
                      <c:pt idx="10">
                        <c:v>90</c:v>
                      </c:pt>
                      <c:pt idx="11">
                        <c:v>90</c:v>
                      </c:pt>
                      <c:pt idx="12">
                        <c:v>90</c:v>
                      </c:pt>
                      <c:pt idx="13">
                        <c:v>90</c:v>
                      </c:pt>
                      <c:pt idx="14">
                        <c:v>90</c:v>
                      </c:pt>
                      <c:pt idx="15">
                        <c:v>90</c:v>
                      </c:pt>
                      <c:pt idx="16">
                        <c:v>90</c:v>
                      </c:pt>
                      <c:pt idx="17">
                        <c:v>90</c:v>
                      </c:pt>
                    </c:numCache>
                  </c:numRef>
                </c:val>
                <c:smooth val="0"/>
                <c:extLst xmlns:c15="http://schemas.microsoft.com/office/drawing/2012/chart">
                  <c:ext xmlns:c16="http://schemas.microsoft.com/office/drawing/2014/chart" uri="{C3380CC4-5D6E-409C-BE32-E72D297353CC}">
                    <c16:uniqueId val="{00000001-93E3-49A9-8940-BBD0BC26ECF7}"/>
                  </c:ext>
                </c:extLst>
              </c15:ser>
            </c15:filteredLineSeries>
            <c15:filteredLineSeries>
              <c15:ser>
                <c:idx val="4"/>
                <c:order val="4"/>
                <c:tx>
                  <c:strRef>
                    <c:extLst xmlns:c15="http://schemas.microsoft.com/office/drawing/2012/chart">
                      <c:ext xmlns:c15="http://schemas.microsoft.com/office/drawing/2012/chart" uri="{02D57815-91ED-43cb-92C2-25804820EDAC}">
                        <c15:formulaRef>
                          <c15:sqref>'6. Summary Tracking Sheet'!$BD$3</c15:sqref>
                        </c15:formulaRef>
                      </c:ext>
                    </c:extLst>
                    <c:strCache>
                      <c:ptCount val="1"/>
                      <c:pt idx="0">
                        <c:v>ReadyForPower_BL(SUM)</c:v>
                      </c:pt>
                    </c:strCache>
                  </c:strRef>
                </c:tx>
                <c:spPr>
                  <a:ln w="22225" cap="rnd">
                    <a:solidFill>
                      <a:schemeClr val="accent5"/>
                    </a:solidFill>
                    <a:round/>
                  </a:ln>
                  <a:effectLst/>
                </c:spPr>
                <c:marker>
                  <c:symbol val="none"/>
                </c:marker>
                <c:val>
                  <c:numRef>
                    <c:extLst>
                      <c:ext xmlns:c15="http://schemas.microsoft.com/office/drawing/2012/chart" uri="{02D57815-91ED-43cb-92C2-25804820EDAC}">
                        <c15:fullRef>
                          <c15:sqref>'6. Summary Tracking Sheet'!$BF$4:$BF$44</c15:sqref>
                        </c15:fullRef>
                        <c15:formulaRef>
                          <c15:sqref>'6. Summary Tracking Sheet'!$BF$23:$BF$40</c15:sqref>
                        </c15:formulaRef>
                      </c:ext>
                    </c:extLst>
                    <c:numCache>
                      <c:formatCode>0;\-0;\-;@</c:formatCode>
                      <c:ptCount val="18"/>
                      <c:pt idx="0">
                        <c:v>0</c:v>
                      </c:pt>
                      <c:pt idx="1">
                        <c:v>0</c:v>
                      </c:pt>
                      <c:pt idx="2">
                        <c:v>0</c:v>
                      </c:pt>
                      <c:pt idx="3">
                        <c:v>0</c:v>
                      </c:pt>
                      <c:pt idx="4">
                        <c:v>0</c:v>
                      </c:pt>
                      <c:pt idx="5">
                        <c:v>1</c:v>
                      </c:pt>
                      <c:pt idx="6">
                        <c:v>6</c:v>
                      </c:pt>
                      <c:pt idx="7">
                        <c:v>10</c:v>
                      </c:pt>
                      <c:pt idx="8">
                        <c:v>22</c:v>
                      </c:pt>
                      <c:pt idx="9">
                        <c:v>35</c:v>
                      </c:pt>
                      <c:pt idx="10">
                        <c:v>52</c:v>
                      </c:pt>
                      <c:pt idx="11">
                        <c:v>67</c:v>
                      </c:pt>
                      <c:pt idx="12">
                        <c:v>70</c:v>
                      </c:pt>
                      <c:pt idx="13">
                        <c:v>70</c:v>
                      </c:pt>
                      <c:pt idx="14">
                        <c:v>70</c:v>
                      </c:pt>
                      <c:pt idx="15">
                        <c:v>70</c:v>
                      </c:pt>
                      <c:pt idx="16">
                        <c:v>70</c:v>
                      </c:pt>
                      <c:pt idx="17">
                        <c:v>70</c:v>
                      </c:pt>
                    </c:numCache>
                  </c:numRef>
                </c:val>
                <c:smooth val="0"/>
                <c:extLst xmlns:c15="http://schemas.microsoft.com/office/drawing/2012/chart">
                  <c:ext xmlns:c16="http://schemas.microsoft.com/office/drawing/2014/chart" uri="{C3380CC4-5D6E-409C-BE32-E72D297353CC}">
                    <c16:uniqueId val="{00000004-93E3-49A9-8940-BBD0BC26ECF7}"/>
                  </c:ext>
                </c:extLst>
              </c15:ser>
            </c15:filteredLineSeries>
            <c15:filteredLineSeries>
              <c15:ser>
                <c:idx val="5"/>
                <c:order val="5"/>
                <c:tx>
                  <c:strRef>
                    <c:extLst xmlns:c15="http://schemas.microsoft.com/office/drawing/2012/chart">
                      <c:ext xmlns:c15="http://schemas.microsoft.com/office/drawing/2012/chart" uri="{02D57815-91ED-43cb-92C2-25804820EDAC}">
                        <c15:formulaRef>
                          <c15:sqref>'6. Summary Tracking Sheet'!$BF$3</c15:sqref>
                        </c15:formulaRef>
                      </c:ext>
                    </c:extLst>
                    <c:strCache>
                      <c:ptCount val="1"/>
                      <c:pt idx="0">
                        <c:v>ReadyForPower_AC(SUM)</c:v>
                      </c:pt>
                    </c:strCache>
                  </c:strRef>
                </c:tx>
                <c:spPr>
                  <a:ln w="22225" cap="rnd">
                    <a:solidFill>
                      <a:schemeClr val="accent6"/>
                    </a:solidFill>
                    <a:round/>
                  </a:ln>
                  <a:effectLst/>
                </c:spPr>
                <c:marker>
                  <c:symbol val="none"/>
                </c:marker>
                <c:val>
                  <c:numRef>
                    <c:extLst>
                      <c:ext xmlns:c15="http://schemas.microsoft.com/office/drawing/2012/chart" uri="{02D57815-91ED-43cb-92C2-25804820EDAC}">
                        <c15:fullRef>
                          <c15:sqref>'6. Summary Tracking Sheet'!$BH$4:$BH$44</c15:sqref>
                        </c15:fullRef>
                        <c15:formulaRef>
                          <c15:sqref>'6. Summary Tracking Sheet'!$BH$23:$BH$40</c15:sqref>
                        </c15:formulaRef>
                      </c:ext>
                    </c:extLst>
                    <c:numCache>
                      <c:formatCode>0;\-0;\-;@</c:formatCode>
                      <c:ptCount val="18"/>
                      <c:pt idx="0">
                        <c:v>0</c:v>
                      </c:pt>
                      <c:pt idx="1">
                        <c:v>0</c:v>
                      </c:pt>
                      <c:pt idx="2">
                        <c:v>0</c:v>
                      </c:pt>
                      <c:pt idx="3">
                        <c:v>0</c:v>
                      </c:pt>
                      <c:pt idx="4">
                        <c:v>0</c:v>
                      </c:pt>
                      <c:pt idx="5">
                        <c:v>0</c:v>
                      </c:pt>
                      <c:pt idx="6">
                        <c:v>500</c:v>
                      </c:pt>
                      <c:pt idx="7">
                        <c:v>2000</c:v>
                      </c:pt>
                      <c:pt idx="8">
                        <c:v>7500</c:v>
                      </c:pt>
                      <c:pt idx="9">
                        <c:v>12500</c:v>
                      </c:pt>
                      <c:pt idx="10">
                        <c:v>19000</c:v>
                      </c:pt>
                      <c:pt idx="11">
                        <c:v>27000</c:v>
                      </c:pt>
                      <c:pt idx="12">
                        <c:v>29500</c:v>
                      </c:pt>
                      <c:pt idx="13">
                        <c:v>30000</c:v>
                      </c:pt>
                      <c:pt idx="14">
                        <c:v>30000</c:v>
                      </c:pt>
                      <c:pt idx="15">
                        <c:v>30000</c:v>
                      </c:pt>
                      <c:pt idx="16">
                        <c:v>30000</c:v>
                      </c:pt>
                      <c:pt idx="17">
                        <c:v>30000</c:v>
                      </c:pt>
                    </c:numCache>
                  </c:numRef>
                </c:val>
                <c:smooth val="0"/>
                <c:extLst xmlns:c15="http://schemas.microsoft.com/office/drawing/2012/chart">
                  <c:ext xmlns:c16="http://schemas.microsoft.com/office/drawing/2014/chart" uri="{C3380CC4-5D6E-409C-BE32-E72D297353CC}">
                    <c16:uniqueId val="{00000005-93E3-49A9-8940-BBD0BC26ECF7}"/>
                  </c:ext>
                </c:extLst>
              </c15:ser>
            </c15:filteredLineSeries>
            <c15:filteredLineSeries>
              <c15:ser>
                <c:idx val="6"/>
                <c:order val="6"/>
                <c:tx>
                  <c:strRef>
                    <c:extLst xmlns:c15="http://schemas.microsoft.com/office/drawing/2012/chart">
                      <c:ext xmlns:c15="http://schemas.microsoft.com/office/drawing/2012/chart" uri="{02D57815-91ED-43cb-92C2-25804820EDAC}">
                        <c15:formulaRef>
                          <c15:sqref>'6. Summary Tracking Sheet'!$BN$3</c15:sqref>
                        </c15:formulaRef>
                      </c:ext>
                    </c:extLst>
                    <c:strCache>
                      <c:ptCount val="1"/>
                      <c:pt idx="0">
                        <c:v>TXReady_BL(SUM)</c:v>
                      </c:pt>
                    </c:strCache>
                  </c:strRef>
                </c:tx>
                <c:spPr>
                  <a:ln w="22225" cap="rnd">
                    <a:solidFill>
                      <a:schemeClr val="accent1">
                        <a:lumMod val="60000"/>
                      </a:schemeClr>
                    </a:solidFill>
                    <a:round/>
                  </a:ln>
                  <a:effectLst/>
                </c:spPr>
                <c:marker>
                  <c:symbol val="none"/>
                </c:marker>
                <c:val>
                  <c:numRef>
                    <c:extLst>
                      <c:ext xmlns:c15="http://schemas.microsoft.com/office/drawing/2012/chart" uri="{02D57815-91ED-43cb-92C2-25804820EDAC}">
                        <c15:fullRef>
                          <c15:sqref>'6. Summary Tracking Sheet'!$BP$4:$BP$44</c15:sqref>
                        </c15:fullRef>
                        <c15:formulaRef>
                          <c15:sqref>'6. Summary Tracking Sheet'!$BP$23:$BP$40</c15:sqref>
                        </c15:formulaRef>
                      </c:ext>
                    </c:extLst>
                    <c:numCache>
                      <c:formatCode>0;\-0;\-;@</c:formatCode>
                      <c:ptCount val="18"/>
                      <c:pt idx="0">
                        <c:v>0</c:v>
                      </c:pt>
                      <c:pt idx="1">
                        <c:v>0</c:v>
                      </c:pt>
                      <c:pt idx="2">
                        <c:v>0</c:v>
                      </c:pt>
                      <c:pt idx="3">
                        <c:v>0</c:v>
                      </c:pt>
                      <c:pt idx="4">
                        <c:v>0</c:v>
                      </c:pt>
                      <c:pt idx="5">
                        <c:v>0</c:v>
                      </c:pt>
                      <c:pt idx="6">
                        <c:v>1</c:v>
                      </c:pt>
                      <c:pt idx="7">
                        <c:v>4</c:v>
                      </c:pt>
                      <c:pt idx="8">
                        <c:v>15</c:v>
                      </c:pt>
                      <c:pt idx="9">
                        <c:v>25</c:v>
                      </c:pt>
                      <c:pt idx="10">
                        <c:v>38</c:v>
                      </c:pt>
                      <c:pt idx="11">
                        <c:v>54</c:v>
                      </c:pt>
                      <c:pt idx="12">
                        <c:v>59</c:v>
                      </c:pt>
                      <c:pt idx="13">
                        <c:v>60</c:v>
                      </c:pt>
                      <c:pt idx="14">
                        <c:v>60</c:v>
                      </c:pt>
                      <c:pt idx="15">
                        <c:v>60</c:v>
                      </c:pt>
                      <c:pt idx="16">
                        <c:v>60</c:v>
                      </c:pt>
                      <c:pt idx="17">
                        <c:v>60</c:v>
                      </c:pt>
                    </c:numCache>
                  </c:numRef>
                </c:val>
                <c:smooth val="0"/>
                <c:extLst xmlns:c15="http://schemas.microsoft.com/office/drawing/2012/chart">
                  <c:ext xmlns:c16="http://schemas.microsoft.com/office/drawing/2014/chart" uri="{C3380CC4-5D6E-409C-BE32-E72D297353CC}">
                    <c16:uniqueId val="{00000006-93E3-49A9-8940-BBD0BC26ECF7}"/>
                  </c:ext>
                </c:extLst>
              </c15:ser>
            </c15:filteredLineSeries>
            <c15:filteredLineSeries>
              <c15:ser>
                <c:idx val="7"/>
                <c:order val="7"/>
                <c:tx>
                  <c:strRef>
                    <c:extLst xmlns:c15="http://schemas.microsoft.com/office/drawing/2012/chart">
                      <c:ext xmlns:c15="http://schemas.microsoft.com/office/drawing/2012/chart" uri="{02D57815-91ED-43cb-92C2-25804820EDAC}">
                        <c15:formulaRef>
                          <c15:sqref>'6. Summary Tracking Sheet'!$BP$3</c15:sqref>
                        </c15:formulaRef>
                      </c:ext>
                    </c:extLst>
                    <c:strCache>
                      <c:ptCount val="1"/>
                      <c:pt idx="0">
                        <c:v>TXReady_AC(SUM)</c:v>
                      </c:pt>
                    </c:strCache>
                  </c:strRef>
                </c:tx>
                <c:spPr>
                  <a:ln w="22225" cap="rnd">
                    <a:solidFill>
                      <a:schemeClr val="accent2">
                        <a:lumMod val="60000"/>
                      </a:schemeClr>
                    </a:solidFill>
                    <a:round/>
                  </a:ln>
                  <a:effectLst/>
                </c:spPr>
                <c:marker>
                  <c:symbol val="none"/>
                </c:marker>
                <c:val>
                  <c:numRef>
                    <c:extLst>
                      <c:ext xmlns:c15="http://schemas.microsoft.com/office/drawing/2012/chart" uri="{02D57815-91ED-43cb-92C2-25804820EDAC}">
                        <c15:fullRef>
                          <c15:sqref>'6. Summary Tracking Sheet'!$BR$4:$BR$44</c15:sqref>
                        </c15:fullRef>
                        <c15:formulaRef>
                          <c15:sqref>'6. Summary Tracking Sheet'!$BR$23:$BR$40</c15:sqref>
                        </c15:formulaRef>
                      </c:ext>
                    </c:extLst>
                    <c:numCache>
                      <c:formatCode>0;\-0;\-;@</c:formatCode>
                      <c:ptCount val="18"/>
                      <c:pt idx="0">
                        <c:v>0</c:v>
                      </c:pt>
                      <c:pt idx="1">
                        <c:v>0</c:v>
                      </c:pt>
                      <c:pt idx="2">
                        <c:v>0</c:v>
                      </c:pt>
                      <c:pt idx="3">
                        <c:v>0</c:v>
                      </c:pt>
                      <c:pt idx="4">
                        <c:v>0</c:v>
                      </c:pt>
                      <c:pt idx="5">
                        <c:v>0</c:v>
                      </c:pt>
                      <c:pt idx="6">
                        <c:v>0</c:v>
                      </c:pt>
                      <c:pt idx="7">
                        <c:v>500</c:v>
                      </c:pt>
                      <c:pt idx="8">
                        <c:v>2500</c:v>
                      </c:pt>
                      <c:pt idx="9">
                        <c:v>6000</c:v>
                      </c:pt>
                      <c:pt idx="10">
                        <c:v>12000</c:v>
                      </c:pt>
                      <c:pt idx="11">
                        <c:v>19000</c:v>
                      </c:pt>
                      <c:pt idx="12">
                        <c:v>24500</c:v>
                      </c:pt>
                      <c:pt idx="13">
                        <c:v>25500</c:v>
                      </c:pt>
                      <c:pt idx="14">
                        <c:v>25500</c:v>
                      </c:pt>
                      <c:pt idx="15">
                        <c:v>25500</c:v>
                      </c:pt>
                      <c:pt idx="16">
                        <c:v>25500</c:v>
                      </c:pt>
                      <c:pt idx="17">
                        <c:v>25500</c:v>
                      </c:pt>
                    </c:numCache>
                  </c:numRef>
                </c:val>
                <c:smooth val="0"/>
                <c:extLst xmlns:c15="http://schemas.microsoft.com/office/drawing/2012/chart">
                  <c:ext xmlns:c16="http://schemas.microsoft.com/office/drawing/2014/chart" uri="{C3380CC4-5D6E-409C-BE32-E72D297353CC}">
                    <c16:uniqueId val="{00000007-93E3-49A9-8940-BBD0BC26ECF7}"/>
                  </c:ext>
                </c:extLst>
              </c15:ser>
            </c15:filteredLineSeries>
            <c15:filteredLineSeries>
              <c15:ser>
                <c:idx val="8"/>
                <c:order val="8"/>
                <c:tx>
                  <c:strRef>
                    <c:extLst xmlns:c15="http://schemas.microsoft.com/office/drawing/2012/chart">
                      <c:ext xmlns:c15="http://schemas.microsoft.com/office/drawing/2012/chart" uri="{02D57815-91ED-43cb-92C2-25804820EDAC}">
                        <c15:formulaRef>
                          <c15:sqref>'6. Summary Tracking Sheet'!$BX$3</c15:sqref>
                        </c15:formulaRef>
                      </c:ext>
                    </c:extLst>
                    <c:strCache>
                      <c:ptCount val="1"/>
                      <c:pt idx="0">
                        <c:v>ReadyForInstallation_BL(SUM)</c:v>
                      </c:pt>
                    </c:strCache>
                  </c:strRef>
                </c:tx>
                <c:spPr>
                  <a:ln w="22225" cap="rnd">
                    <a:solidFill>
                      <a:schemeClr val="accent3">
                        <a:lumMod val="60000"/>
                      </a:schemeClr>
                    </a:solidFill>
                    <a:round/>
                  </a:ln>
                  <a:effectLst/>
                </c:spPr>
                <c:marker>
                  <c:symbol val="none"/>
                </c:marker>
                <c:val>
                  <c:numRef>
                    <c:extLst>
                      <c:ext xmlns:c15="http://schemas.microsoft.com/office/drawing/2012/chart" uri="{02D57815-91ED-43cb-92C2-25804820EDAC}">
                        <c15:fullRef>
                          <c15:sqref>'6. Summary Tracking Sheet'!$BZ$4:$BZ$44</c15:sqref>
                        </c15:fullRef>
                        <c15:formulaRef>
                          <c15:sqref>'6. Summary Tracking Sheet'!$BZ$23:$BZ$40</c15:sqref>
                        </c15:formulaRef>
                      </c:ext>
                    </c:extLst>
                    <c:numCache>
                      <c:formatCode>0;\-0;\-;@</c:formatCode>
                      <c:ptCount val="18"/>
                      <c:pt idx="0">
                        <c:v>0</c:v>
                      </c:pt>
                      <c:pt idx="1">
                        <c:v>0</c:v>
                      </c:pt>
                      <c:pt idx="2">
                        <c:v>0</c:v>
                      </c:pt>
                      <c:pt idx="3">
                        <c:v>0</c:v>
                      </c:pt>
                      <c:pt idx="4">
                        <c:v>0</c:v>
                      </c:pt>
                      <c:pt idx="5">
                        <c:v>0</c:v>
                      </c:pt>
                      <c:pt idx="6">
                        <c:v>0</c:v>
                      </c:pt>
                      <c:pt idx="7">
                        <c:v>1</c:v>
                      </c:pt>
                      <c:pt idx="8">
                        <c:v>5</c:v>
                      </c:pt>
                      <c:pt idx="9">
                        <c:v>12</c:v>
                      </c:pt>
                      <c:pt idx="10">
                        <c:v>24</c:v>
                      </c:pt>
                      <c:pt idx="11">
                        <c:v>38</c:v>
                      </c:pt>
                      <c:pt idx="12">
                        <c:v>49</c:v>
                      </c:pt>
                      <c:pt idx="13">
                        <c:v>51</c:v>
                      </c:pt>
                      <c:pt idx="14">
                        <c:v>51</c:v>
                      </c:pt>
                      <c:pt idx="15">
                        <c:v>51</c:v>
                      </c:pt>
                      <c:pt idx="16">
                        <c:v>51</c:v>
                      </c:pt>
                      <c:pt idx="17">
                        <c:v>51</c:v>
                      </c:pt>
                    </c:numCache>
                  </c:numRef>
                </c:val>
                <c:smooth val="0"/>
                <c:extLst xmlns:c15="http://schemas.microsoft.com/office/drawing/2012/chart">
                  <c:ext xmlns:c16="http://schemas.microsoft.com/office/drawing/2014/chart" uri="{C3380CC4-5D6E-409C-BE32-E72D297353CC}">
                    <c16:uniqueId val="{00000008-93E3-49A9-8940-BBD0BC26ECF7}"/>
                  </c:ext>
                </c:extLst>
              </c15:ser>
            </c15:filteredLineSeries>
            <c15:filteredLineSeries>
              <c15:ser>
                <c:idx val="9"/>
                <c:order val="9"/>
                <c:tx>
                  <c:strRef>
                    <c:extLst xmlns:c15="http://schemas.microsoft.com/office/drawing/2012/chart">
                      <c:ext xmlns:c15="http://schemas.microsoft.com/office/drawing/2012/chart" uri="{02D57815-91ED-43cb-92C2-25804820EDAC}">
                        <c15:formulaRef>
                          <c15:sqref>'6. Summary Tracking Sheet'!$BZ$3</c15:sqref>
                        </c15:formulaRef>
                      </c:ext>
                    </c:extLst>
                    <c:strCache>
                      <c:ptCount val="1"/>
                      <c:pt idx="0">
                        <c:v>ReadyForInstallation_AC(SUM)</c:v>
                      </c:pt>
                    </c:strCache>
                  </c:strRef>
                </c:tx>
                <c:spPr>
                  <a:ln w="22225" cap="rnd">
                    <a:solidFill>
                      <a:schemeClr val="accent4">
                        <a:lumMod val="60000"/>
                      </a:schemeClr>
                    </a:solidFill>
                    <a:round/>
                  </a:ln>
                  <a:effectLst/>
                </c:spPr>
                <c:marker>
                  <c:symbol val="none"/>
                </c:marker>
                <c:val>
                  <c:numRef>
                    <c:extLst>
                      <c:ext xmlns:c15="http://schemas.microsoft.com/office/drawing/2012/chart" uri="{02D57815-91ED-43cb-92C2-25804820EDAC}">
                        <c15:fullRef>
                          <c15:sqref>'6. Summary Tracking Sheet'!$CB$4:$CB$44</c15:sqref>
                        </c15:fullRef>
                        <c15:formulaRef>
                          <c15:sqref>'6. Summary Tracking Sheet'!$CB$23:$CB$40</c15:sqref>
                        </c15:formulaRef>
                      </c:ext>
                    </c:extLst>
                    <c:numCache>
                      <c:formatCode>0;\-0;\-;@</c:formatCode>
                      <c:ptCount val="18"/>
                      <c:pt idx="0">
                        <c:v>0</c:v>
                      </c:pt>
                      <c:pt idx="1">
                        <c:v>0</c:v>
                      </c:pt>
                      <c:pt idx="2">
                        <c:v>0</c:v>
                      </c:pt>
                      <c:pt idx="3">
                        <c:v>0</c:v>
                      </c:pt>
                      <c:pt idx="4">
                        <c:v>0</c:v>
                      </c:pt>
                      <c:pt idx="5">
                        <c:v>0</c:v>
                      </c:pt>
                      <c:pt idx="6">
                        <c:v>0</c:v>
                      </c:pt>
                      <c:pt idx="7">
                        <c:v>0</c:v>
                      </c:pt>
                      <c:pt idx="8">
                        <c:v>5000</c:v>
                      </c:pt>
                      <c:pt idx="9">
                        <c:v>17500</c:v>
                      </c:pt>
                      <c:pt idx="10">
                        <c:v>40000</c:v>
                      </c:pt>
                      <c:pt idx="11">
                        <c:v>70000</c:v>
                      </c:pt>
                      <c:pt idx="12">
                        <c:v>95000</c:v>
                      </c:pt>
                      <c:pt idx="13">
                        <c:v>100000</c:v>
                      </c:pt>
                      <c:pt idx="14">
                        <c:v>100000</c:v>
                      </c:pt>
                      <c:pt idx="15">
                        <c:v>100000</c:v>
                      </c:pt>
                      <c:pt idx="16">
                        <c:v>100000</c:v>
                      </c:pt>
                      <c:pt idx="17">
                        <c:v>100000</c:v>
                      </c:pt>
                    </c:numCache>
                  </c:numRef>
                </c:val>
                <c:smooth val="0"/>
                <c:extLst xmlns:c15="http://schemas.microsoft.com/office/drawing/2012/chart">
                  <c:ext xmlns:c16="http://schemas.microsoft.com/office/drawing/2014/chart" uri="{C3380CC4-5D6E-409C-BE32-E72D297353CC}">
                    <c16:uniqueId val="{00000009-93E3-49A9-8940-BBD0BC26ECF7}"/>
                  </c:ext>
                </c:extLst>
              </c15:ser>
            </c15:filteredLineSeries>
            <c15:filteredLineSeries>
              <c15:ser>
                <c:idx val="10"/>
                <c:order val="10"/>
                <c:tx>
                  <c:strRef>
                    <c:extLst xmlns:c15="http://schemas.microsoft.com/office/drawing/2012/chart">
                      <c:ext xmlns:c15="http://schemas.microsoft.com/office/drawing/2012/chart" uri="{02D57815-91ED-43cb-92C2-25804820EDAC}">
                        <c15:formulaRef>
                          <c15:sqref>'6. Summary Tracking Sheet'!$CH$3</c15:sqref>
                        </c15:formulaRef>
                      </c:ext>
                    </c:extLst>
                    <c:strCache>
                      <c:ptCount val="1"/>
                      <c:pt idx="0">
                        <c:v>ReadyForIntegration_BL(SUM)</c:v>
                      </c:pt>
                    </c:strCache>
                  </c:strRef>
                </c:tx>
                <c:spPr>
                  <a:ln w="22225" cap="rnd">
                    <a:solidFill>
                      <a:schemeClr val="accent5">
                        <a:lumMod val="60000"/>
                      </a:schemeClr>
                    </a:solidFill>
                    <a:round/>
                  </a:ln>
                  <a:effectLst/>
                </c:spPr>
                <c:marker>
                  <c:symbol val="none"/>
                </c:marker>
                <c:val>
                  <c:numRef>
                    <c:extLst>
                      <c:ext xmlns:c15="http://schemas.microsoft.com/office/drawing/2012/chart" uri="{02D57815-91ED-43cb-92C2-25804820EDAC}">
                        <c15:fullRef>
                          <c15:sqref>'6. Summary Tracking Sheet'!$CJ$4:$CJ$44</c15:sqref>
                        </c15:fullRef>
                        <c15:formulaRef>
                          <c15:sqref>'6. Summary Tracking Sheet'!$CJ$23:$CJ$40</c15:sqref>
                        </c15:formulaRef>
                      </c:ext>
                    </c:extLst>
                    <c:numCache>
                      <c:formatCode>0;\-0;\-;@</c:formatCode>
                      <c:ptCount val="18"/>
                      <c:pt idx="0">
                        <c:v>0</c:v>
                      </c:pt>
                      <c:pt idx="1">
                        <c:v>0</c:v>
                      </c:pt>
                      <c:pt idx="2">
                        <c:v>0</c:v>
                      </c:pt>
                      <c:pt idx="3">
                        <c:v>0</c:v>
                      </c:pt>
                      <c:pt idx="4">
                        <c:v>0</c:v>
                      </c:pt>
                      <c:pt idx="5">
                        <c:v>0</c:v>
                      </c:pt>
                      <c:pt idx="6">
                        <c:v>0</c:v>
                      </c:pt>
                      <c:pt idx="7">
                        <c:v>0</c:v>
                      </c:pt>
                      <c:pt idx="8">
                        <c:v>2</c:v>
                      </c:pt>
                      <c:pt idx="9">
                        <c:v>7</c:v>
                      </c:pt>
                      <c:pt idx="10">
                        <c:v>16</c:v>
                      </c:pt>
                      <c:pt idx="11">
                        <c:v>28</c:v>
                      </c:pt>
                      <c:pt idx="12">
                        <c:v>38</c:v>
                      </c:pt>
                      <c:pt idx="13">
                        <c:v>40</c:v>
                      </c:pt>
                      <c:pt idx="14">
                        <c:v>40</c:v>
                      </c:pt>
                      <c:pt idx="15">
                        <c:v>40</c:v>
                      </c:pt>
                      <c:pt idx="16">
                        <c:v>40</c:v>
                      </c:pt>
                      <c:pt idx="17">
                        <c:v>40</c:v>
                      </c:pt>
                    </c:numCache>
                  </c:numRef>
                </c:val>
                <c:smooth val="0"/>
                <c:extLst xmlns:c15="http://schemas.microsoft.com/office/drawing/2012/chart">
                  <c:ext xmlns:c16="http://schemas.microsoft.com/office/drawing/2014/chart" uri="{C3380CC4-5D6E-409C-BE32-E72D297353CC}">
                    <c16:uniqueId val="{0000000A-93E3-49A9-8940-BBD0BC26ECF7}"/>
                  </c:ext>
                </c:extLst>
              </c15:ser>
            </c15:filteredLineSeries>
            <c15:filteredLineSeries>
              <c15:ser>
                <c:idx val="11"/>
                <c:order val="11"/>
                <c:tx>
                  <c:strRef>
                    <c:extLst xmlns:c15="http://schemas.microsoft.com/office/drawing/2012/chart">
                      <c:ext xmlns:c15="http://schemas.microsoft.com/office/drawing/2012/chart" uri="{02D57815-91ED-43cb-92C2-25804820EDAC}">
                        <c15:formulaRef>
                          <c15:sqref>'6. Summary Tracking Sheet'!$CJ$3</c15:sqref>
                        </c15:formulaRef>
                      </c:ext>
                    </c:extLst>
                    <c:strCache>
                      <c:ptCount val="1"/>
                      <c:pt idx="0">
                        <c:v>ReadyForIntegration_AC(SUM)</c:v>
                      </c:pt>
                    </c:strCache>
                  </c:strRef>
                </c:tx>
                <c:spPr>
                  <a:ln w="22225" cap="rnd">
                    <a:solidFill>
                      <a:schemeClr val="accent6">
                        <a:lumMod val="60000"/>
                      </a:schemeClr>
                    </a:solidFill>
                    <a:round/>
                  </a:ln>
                  <a:effectLst/>
                </c:spPr>
                <c:marker>
                  <c:symbol val="none"/>
                </c:marker>
                <c:val>
                  <c:numRef>
                    <c:extLst>
                      <c:ext xmlns:c15="http://schemas.microsoft.com/office/drawing/2012/chart" uri="{02D57815-91ED-43cb-92C2-25804820EDAC}">
                        <c15:fullRef>
                          <c15:sqref>'6. Summary Tracking Sheet'!$CL$4:$CL$44</c15:sqref>
                        </c15:fullRef>
                        <c15:formulaRef>
                          <c15:sqref>'6. Summary Tracking Sheet'!$CL$23:$CL$40</c15:sqref>
                        </c15:formulaRef>
                      </c:ext>
                    </c:extLst>
                    <c:numCache>
                      <c:formatCode>0;\-0;\-;@</c:formatCode>
                      <c:ptCount val="18"/>
                      <c:pt idx="0">
                        <c:v>0</c:v>
                      </c:pt>
                      <c:pt idx="1">
                        <c:v>0</c:v>
                      </c:pt>
                      <c:pt idx="2">
                        <c:v>0</c:v>
                      </c:pt>
                      <c:pt idx="3">
                        <c:v>0</c:v>
                      </c:pt>
                      <c:pt idx="4">
                        <c:v>0</c:v>
                      </c:pt>
                      <c:pt idx="5">
                        <c:v>0</c:v>
                      </c:pt>
                      <c:pt idx="6">
                        <c:v>0</c:v>
                      </c:pt>
                      <c:pt idx="7">
                        <c:v>0</c:v>
                      </c:pt>
                      <c:pt idx="8">
                        <c:v>500</c:v>
                      </c:pt>
                      <c:pt idx="9">
                        <c:v>3000</c:v>
                      </c:pt>
                      <c:pt idx="10">
                        <c:v>5000</c:v>
                      </c:pt>
                      <c:pt idx="11">
                        <c:v>10500</c:v>
                      </c:pt>
                      <c:pt idx="12">
                        <c:v>14000</c:v>
                      </c:pt>
                      <c:pt idx="13">
                        <c:v>15000</c:v>
                      </c:pt>
                      <c:pt idx="14">
                        <c:v>15000</c:v>
                      </c:pt>
                      <c:pt idx="15">
                        <c:v>15000</c:v>
                      </c:pt>
                      <c:pt idx="16">
                        <c:v>15000</c:v>
                      </c:pt>
                      <c:pt idx="17">
                        <c:v>15000</c:v>
                      </c:pt>
                    </c:numCache>
                  </c:numRef>
                </c:val>
                <c:smooth val="0"/>
                <c:extLst xmlns:c15="http://schemas.microsoft.com/office/drawing/2012/chart">
                  <c:ext xmlns:c16="http://schemas.microsoft.com/office/drawing/2014/chart" uri="{C3380CC4-5D6E-409C-BE32-E72D297353CC}">
                    <c16:uniqueId val="{0000000B-93E3-49A9-8940-BBD0BC26ECF7}"/>
                  </c:ext>
                </c:extLst>
              </c15:ser>
            </c15:filteredLineSeries>
            <c15:filteredLineSeries>
              <c15:ser>
                <c:idx val="12"/>
                <c:order val="12"/>
                <c:tx>
                  <c:strRef>
                    <c:extLst xmlns:c15="http://schemas.microsoft.com/office/drawing/2012/chart">
                      <c:ext xmlns:c15="http://schemas.microsoft.com/office/drawing/2012/chart" uri="{02D57815-91ED-43cb-92C2-25804820EDAC}">
                        <c15:formulaRef>
                          <c15:sqref>'6. Summary Tracking Sheet'!$CR$3</c15:sqref>
                        </c15:formulaRef>
                      </c:ext>
                    </c:extLst>
                    <c:strCache>
                      <c:ptCount val="1"/>
                      <c:pt idx="0">
                        <c:v>SiteOnAir_BL(SUM)</c:v>
                      </c:pt>
                    </c:strCache>
                  </c:strRef>
                </c:tx>
                <c:spPr>
                  <a:ln w="22225" cap="rnd">
                    <a:solidFill>
                      <a:schemeClr val="accent1">
                        <a:lumMod val="80000"/>
                        <a:lumOff val="20000"/>
                      </a:schemeClr>
                    </a:solidFill>
                    <a:round/>
                  </a:ln>
                  <a:effectLst/>
                </c:spPr>
                <c:marker>
                  <c:symbol val="none"/>
                </c:marker>
                <c:val>
                  <c:numRef>
                    <c:extLst>
                      <c:ext xmlns:c15="http://schemas.microsoft.com/office/drawing/2012/chart" uri="{02D57815-91ED-43cb-92C2-25804820EDAC}">
                        <c15:fullRef>
                          <c15:sqref>'6. Summary Tracking Sheet'!$CT$4:$CT$44</c15:sqref>
                        </c15:fullRef>
                        <c15:formulaRef>
                          <c15:sqref>'6. Summary Tracking Sheet'!$CT$23:$CT$40</c15:sqref>
                        </c15:formulaRef>
                      </c:ext>
                    </c:extLst>
                    <c:numCache>
                      <c:formatCode>0;\-0;\-;@</c:formatCode>
                      <c:ptCount val="18"/>
                      <c:pt idx="0">
                        <c:v>0</c:v>
                      </c:pt>
                      <c:pt idx="1">
                        <c:v>0</c:v>
                      </c:pt>
                      <c:pt idx="2">
                        <c:v>0</c:v>
                      </c:pt>
                      <c:pt idx="3">
                        <c:v>0</c:v>
                      </c:pt>
                      <c:pt idx="4">
                        <c:v>0</c:v>
                      </c:pt>
                      <c:pt idx="5">
                        <c:v>0</c:v>
                      </c:pt>
                      <c:pt idx="6">
                        <c:v>0</c:v>
                      </c:pt>
                      <c:pt idx="7">
                        <c:v>0</c:v>
                      </c:pt>
                      <c:pt idx="8">
                        <c:v>1</c:v>
                      </c:pt>
                      <c:pt idx="9">
                        <c:v>6</c:v>
                      </c:pt>
                      <c:pt idx="10">
                        <c:v>10</c:v>
                      </c:pt>
                      <c:pt idx="11">
                        <c:v>21</c:v>
                      </c:pt>
                      <c:pt idx="12">
                        <c:v>28</c:v>
                      </c:pt>
                      <c:pt idx="13">
                        <c:v>30</c:v>
                      </c:pt>
                      <c:pt idx="14">
                        <c:v>30</c:v>
                      </c:pt>
                      <c:pt idx="15">
                        <c:v>30</c:v>
                      </c:pt>
                      <c:pt idx="16">
                        <c:v>30</c:v>
                      </c:pt>
                      <c:pt idx="17">
                        <c:v>30</c:v>
                      </c:pt>
                    </c:numCache>
                  </c:numRef>
                </c:val>
                <c:smooth val="0"/>
                <c:extLst xmlns:c15="http://schemas.microsoft.com/office/drawing/2012/chart">
                  <c:ext xmlns:c16="http://schemas.microsoft.com/office/drawing/2014/chart" uri="{C3380CC4-5D6E-409C-BE32-E72D297353CC}">
                    <c16:uniqueId val="{0000000C-93E3-49A9-8940-BBD0BC26ECF7}"/>
                  </c:ext>
                </c:extLst>
              </c15:ser>
            </c15:filteredLineSeries>
            <c15:filteredLineSeries>
              <c15:ser>
                <c:idx val="13"/>
                <c:order val="13"/>
                <c:tx>
                  <c:strRef>
                    <c:extLst xmlns:c15="http://schemas.microsoft.com/office/drawing/2012/chart">
                      <c:ext xmlns:c15="http://schemas.microsoft.com/office/drawing/2012/chart" uri="{02D57815-91ED-43cb-92C2-25804820EDAC}">
                        <c15:formulaRef>
                          <c15:sqref>'6. Summary Tracking Sheet'!$CT$3</c15:sqref>
                        </c15:formulaRef>
                      </c:ext>
                    </c:extLst>
                    <c:strCache>
                      <c:ptCount val="1"/>
                      <c:pt idx="0">
                        <c:v>SiteOnAir_AC(SUM)</c:v>
                      </c:pt>
                    </c:strCache>
                  </c:strRef>
                </c:tx>
                <c:spPr>
                  <a:ln w="22225" cap="rnd">
                    <a:solidFill>
                      <a:schemeClr val="accent2">
                        <a:lumMod val="80000"/>
                        <a:lumOff val="20000"/>
                      </a:schemeClr>
                    </a:solidFill>
                    <a:round/>
                  </a:ln>
                  <a:effectLst/>
                </c:spPr>
                <c:marker>
                  <c:symbol val="none"/>
                </c:marker>
                <c:val>
                  <c:numRef>
                    <c:extLst>
                      <c:ext xmlns:c15="http://schemas.microsoft.com/office/drawing/2012/chart" uri="{02D57815-91ED-43cb-92C2-25804820EDAC}">
                        <c15:fullRef>
                          <c15:sqref>'6. Summary Tracking Sheet'!$CV$4:$CV$44</c15:sqref>
                        </c15:fullRef>
                        <c15:formulaRef>
                          <c15:sqref>'6. Summary Tracking Sheet'!$CV$23:$CV$40</c15:sqref>
                        </c15:formulaRef>
                      </c:ext>
                    </c:extLst>
                    <c:numCache>
                      <c:formatCode>0;\-0;\-;@</c:formatCode>
                      <c:ptCount val="18"/>
                      <c:pt idx="0">
                        <c:v>0</c:v>
                      </c:pt>
                      <c:pt idx="1">
                        <c:v>0</c:v>
                      </c:pt>
                      <c:pt idx="2">
                        <c:v>0</c:v>
                      </c:pt>
                      <c:pt idx="3">
                        <c:v>0</c:v>
                      </c:pt>
                      <c:pt idx="4">
                        <c:v>0</c:v>
                      </c:pt>
                      <c:pt idx="5">
                        <c:v>0</c:v>
                      </c:pt>
                      <c:pt idx="6">
                        <c:v>0</c:v>
                      </c:pt>
                      <c:pt idx="7">
                        <c:v>0</c:v>
                      </c:pt>
                      <c:pt idx="8">
                        <c:v>0</c:v>
                      </c:pt>
                      <c:pt idx="9">
                        <c:v>500</c:v>
                      </c:pt>
                      <c:pt idx="10">
                        <c:v>1250</c:v>
                      </c:pt>
                      <c:pt idx="11">
                        <c:v>3750</c:v>
                      </c:pt>
                      <c:pt idx="12">
                        <c:v>4750</c:v>
                      </c:pt>
                      <c:pt idx="13">
                        <c:v>5000</c:v>
                      </c:pt>
                      <c:pt idx="14">
                        <c:v>5000</c:v>
                      </c:pt>
                      <c:pt idx="15">
                        <c:v>5000</c:v>
                      </c:pt>
                      <c:pt idx="16">
                        <c:v>5000</c:v>
                      </c:pt>
                      <c:pt idx="17">
                        <c:v>5000</c:v>
                      </c:pt>
                    </c:numCache>
                  </c:numRef>
                </c:val>
                <c:smooth val="0"/>
                <c:extLst xmlns:c15="http://schemas.microsoft.com/office/drawing/2012/chart">
                  <c:ext xmlns:c16="http://schemas.microsoft.com/office/drawing/2014/chart" uri="{C3380CC4-5D6E-409C-BE32-E72D297353CC}">
                    <c16:uniqueId val="{0000000D-93E3-49A9-8940-BBD0BC26ECF7}"/>
                  </c:ext>
                </c:extLst>
              </c15:ser>
            </c15:filteredLineSeries>
            <c15:filteredLineSeries>
              <c15:ser>
                <c:idx val="14"/>
                <c:order val="14"/>
                <c:tx>
                  <c:strRef>
                    <c:extLst xmlns:c15="http://schemas.microsoft.com/office/drawing/2012/chart">
                      <c:ext xmlns:c15="http://schemas.microsoft.com/office/drawing/2012/chart" uri="{02D57815-91ED-43cb-92C2-25804820EDAC}">
                        <c15:formulaRef>
                          <c15:sqref>'6. Summary Tracking Sheet'!$DB$3</c15:sqref>
                        </c15:formulaRef>
                      </c:ext>
                    </c:extLst>
                    <c:strCache>
                      <c:ptCount val="1"/>
                      <c:pt idx="0">
                        <c:v>SiteAccepted_BL(SUM)</c:v>
                      </c:pt>
                    </c:strCache>
                  </c:strRef>
                </c:tx>
                <c:spPr>
                  <a:ln w="22225" cap="rnd">
                    <a:solidFill>
                      <a:schemeClr val="accent3">
                        <a:lumMod val="80000"/>
                        <a:lumOff val="20000"/>
                      </a:schemeClr>
                    </a:solidFill>
                    <a:round/>
                  </a:ln>
                  <a:effectLst/>
                </c:spPr>
                <c:marker>
                  <c:symbol val="none"/>
                </c:marker>
                <c:val>
                  <c:numRef>
                    <c:extLst>
                      <c:ext xmlns:c15="http://schemas.microsoft.com/office/drawing/2012/chart" uri="{02D57815-91ED-43cb-92C2-25804820EDAC}">
                        <c15:fullRef>
                          <c15:sqref>'6. Summary Tracking Sheet'!$DD$4:$DD$44</c15:sqref>
                        </c15:fullRef>
                        <c15:formulaRef>
                          <c15:sqref>'6. Summary Tracking Sheet'!$DD$23:$DD$40</c15:sqref>
                        </c15:formulaRef>
                      </c:ext>
                    </c:extLst>
                    <c:numCache>
                      <c:formatCode>0;\-0;\-;@</c:formatCode>
                      <c:ptCount val="18"/>
                      <c:pt idx="0">
                        <c:v>0</c:v>
                      </c:pt>
                      <c:pt idx="1">
                        <c:v>0</c:v>
                      </c:pt>
                      <c:pt idx="2">
                        <c:v>0</c:v>
                      </c:pt>
                      <c:pt idx="3">
                        <c:v>0</c:v>
                      </c:pt>
                      <c:pt idx="4">
                        <c:v>0</c:v>
                      </c:pt>
                      <c:pt idx="5">
                        <c:v>0</c:v>
                      </c:pt>
                      <c:pt idx="6">
                        <c:v>0</c:v>
                      </c:pt>
                      <c:pt idx="7">
                        <c:v>0</c:v>
                      </c:pt>
                      <c:pt idx="8">
                        <c:v>0</c:v>
                      </c:pt>
                      <c:pt idx="9">
                        <c:v>2</c:v>
                      </c:pt>
                      <c:pt idx="10">
                        <c:v>5</c:v>
                      </c:pt>
                      <c:pt idx="11">
                        <c:v>15</c:v>
                      </c:pt>
                      <c:pt idx="12">
                        <c:v>19</c:v>
                      </c:pt>
                      <c:pt idx="13">
                        <c:v>20</c:v>
                      </c:pt>
                      <c:pt idx="14">
                        <c:v>20</c:v>
                      </c:pt>
                      <c:pt idx="15">
                        <c:v>20</c:v>
                      </c:pt>
                      <c:pt idx="16">
                        <c:v>20</c:v>
                      </c:pt>
                      <c:pt idx="17">
                        <c:v>20</c:v>
                      </c:pt>
                    </c:numCache>
                  </c:numRef>
                </c:val>
                <c:smooth val="0"/>
                <c:extLst xmlns:c15="http://schemas.microsoft.com/office/drawing/2012/chart">
                  <c:ext xmlns:c16="http://schemas.microsoft.com/office/drawing/2014/chart" uri="{C3380CC4-5D6E-409C-BE32-E72D297353CC}">
                    <c16:uniqueId val="{0000000E-93E3-49A9-8940-BBD0BC26ECF7}"/>
                  </c:ext>
                </c:extLst>
              </c15:ser>
            </c15:filteredLineSeries>
            <c15:filteredLineSeries>
              <c15:ser>
                <c:idx val="15"/>
                <c:order val="15"/>
                <c:tx>
                  <c:strRef>
                    <c:extLst xmlns:c15="http://schemas.microsoft.com/office/drawing/2012/chart">
                      <c:ext xmlns:c15="http://schemas.microsoft.com/office/drawing/2012/chart" uri="{02D57815-91ED-43cb-92C2-25804820EDAC}">
                        <c15:formulaRef>
                          <c15:sqref>'6. Summary Tracking Sheet'!$DD$3</c15:sqref>
                        </c15:formulaRef>
                      </c:ext>
                    </c:extLst>
                    <c:strCache>
                      <c:ptCount val="1"/>
                      <c:pt idx="0">
                        <c:v>SiteAccepted_AC(SUM)</c:v>
                      </c:pt>
                    </c:strCache>
                  </c:strRef>
                </c:tx>
                <c:spPr>
                  <a:ln w="22225" cap="rnd">
                    <a:solidFill>
                      <a:schemeClr val="accent4">
                        <a:lumMod val="80000"/>
                        <a:lumOff val="20000"/>
                      </a:schemeClr>
                    </a:solidFill>
                    <a:round/>
                  </a:ln>
                  <a:effectLst/>
                </c:spPr>
                <c:marker>
                  <c:symbol val="none"/>
                </c:marker>
                <c:val>
                  <c:numRef>
                    <c:extLst>
                      <c:ext xmlns:c15="http://schemas.microsoft.com/office/drawing/2012/chart" uri="{02D57815-91ED-43cb-92C2-25804820EDAC}">
                        <c15:fullRef>
                          <c15:sqref>'6. Summary Tracking Sheet'!$DF$4:$DF$44</c15:sqref>
                        </c15:fullRef>
                        <c15:formulaRef>
                          <c15:sqref>'6. Summary Tracking Sheet'!$DF$23:$DF$40</c15:sqref>
                        </c15:formulaRef>
                      </c:ext>
                    </c:extLst>
                    <c:numCache>
                      <c:formatCode>0;\-0;\-;@</c:formatCode>
                      <c:ptCount val="18"/>
                      <c:pt idx="0">
                        <c:v>0</c:v>
                      </c:pt>
                      <c:pt idx="1">
                        <c:v>0</c:v>
                      </c:pt>
                      <c:pt idx="2">
                        <c:v>0</c:v>
                      </c:pt>
                      <c:pt idx="3">
                        <c:v>0</c:v>
                      </c:pt>
                      <c:pt idx="4">
                        <c:v>0</c:v>
                      </c:pt>
                      <c:pt idx="5">
                        <c:v>0</c:v>
                      </c:pt>
                      <c:pt idx="6">
                        <c:v>0</c:v>
                      </c:pt>
                      <c:pt idx="7">
                        <c:v>0</c:v>
                      </c:pt>
                      <c:pt idx="8">
                        <c:v>0</c:v>
                      </c:pt>
                      <c:pt idx="9">
                        <c:v>0</c:v>
                      </c:pt>
                      <c:pt idx="10">
                        <c:v>200</c:v>
                      </c:pt>
                      <c:pt idx="11">
                        <c:v>600</c:v>
                      </c:pt>
                      <c:pt idx="12">
                        <c:v>1400</c:v>
                      </c:pt>
                      <c:pt idx="13">
                        <c:v>1800</c:v>
                      </c:pt>
                      <c:pt idx="14">
                        <c:v>2000</c:v>
                      </c:pt>
                      <c:pt idx="15">
                        <c:v>2000</c:v>
                      </c:pt>
                      <c:pt idx="16">
                        <c:v>2000</c:v>
                      </c:pt>
                      <c:pt idx="17">
                        <c:v>2000</c:v>
                      </c:pt>
                    </c:numCache>
                  </c:numRef>
                </c:val>
                <c:smooth val="0"/>
                <c:extLst xmlns:c15="http://schemas.microsoft.com/office/drawing/2012/chart">
                  <c:ext xmlns:c16="http://schemas.microsoft.com/office/drawing/2014/chart" uri="{C3380CC4-5D6E-409C-BE32-E72D297353CC}">
                    <c16:uniqueId val="{0000000F-93E3-49A9-8940-BBD0BC26ECF7}"/>
                  </c:ext>
                </c:extLst>
              </c15:ser>
            </c15:filteredLineSeries>
            <c15:filteredLineSeries>
              <c15:ser>
                <c:idx val="16"/>
                <c:order val="16"/>
                <c:tx>
                  <c:strRef>
                    <c:extLst xmlns:c15="http://schemas.microsoft.com/office/drawing/2012/chart">
                      <c:ext xmlns:c15="http://schemas.microsoft.com/office/drawing/2012/chart" uri="{02D57815-91ED-43cb-92C2-25804820EDAC}">
                        <c15:formulaRef>
                          <c15:sqref>'6. Summary Tracking Sheet'!$DL$3</c15:sqref>
                        </c15:formulaRef>
                      </c:ext>
                    </c:extLst>
                    <c:strCache>
                      <c:ptCount val="1"/>
                      <c:pt idx="0">
                        <c:v>SiteInOperations_BL(SUM)</c:v>
                      </c:pt>
                    </c:strCache>
                  </c:strRef>
                </c:tx>
                <c:spPr>
                  <a:ln w="22225" cap="rnd">
                    <a:solidFill>
                      <a:schemeClr val="accent5">
                        <a:lumMod val="80000"/>
                        <a:lumOff val="20000"/>
                      </a:schemeClr>
                    </a:solidFill>
                    <a:round/>
                  </a:ln>
                  <a:effectLst/>
                </c:spPr>
                <c:marker>
                  <c:symbol val="none"/>
                </c:marker>
                <c:val>
                  <c:numRef>
                    <c:extLst>
                      <c:ext xmlns:c15="http://schemas.microsoft.com/office/drawing/2012/chart" uri="{02D57815-91ED-43cb-92C2-25804820EDAC}">
                        <c15:fullRef>
                          <c15:sqref>'6. Summary Tracking Sheet'!$DN$4:$DN$44</c15:sqref>
                        </c15:fullRef>
                        <c15:formulaRef>
                          <c15:sqref>'6. Summary Tracking Sheet'!$DN$23:$DN$40</c15:sqref>
                        </c15:formulaRef>
                      </c:ext>
                    </c:extLst>
                    <c:numCache>
                      <c:formatCode>0;\-0;\-;@</c:formatCode>
                      <c:ptCount val="18"/>
                      <c:pt idx="0">
                        <c:v>0</c:v>
                      </c:pt>
                      <c:pt idx="1">
                        <c:v>0</c:v>
                      </c:pt>
                      <c:pt idx="2">
                        <c:v>0</c:v>
                      </c:pt>
                      <c:pt idx="3">
                        <c:v>0</c:v>
                      </c:pt>
                      <c:pt idx="4">
                        <c:v>0</c:v>
                      </c:pt>
                      <c:pt idx="5">
                        <c:v>0</c:v>
                      </c:pt>
                      <c:pt idx="6">
                        <c:v>0</c:v>
                      </c:pt>
                      <c:pt idx="7">
                        <c:v>0</c:v>
                      </c:pt>
                      <c:pt idx="8">
                        <c:v>0</c:v>
                      </c:pt>
                      <c:pt idx="9">
                        <c:v>0</c:v>
                      </c:pt>
                      <c:pt idx="10">
                        <c:v>1</c:v>
                      </c:pt>
                      <c:pt idx="11">
                        <c:v>3</c:v>
                      </c:pt>
                      <c:pt idx="12">
                        <c:v>7</c:v>
                      </c:pt>
                      <c:pt idx="13">
                        <c:v>9</c:v>
                      </c:pt>
                      <c:pt idx="14">
                        <c:v>10</c:v>
                      </c:pt>
                      <c:pt idx="15">
                        <c:v>10</c:v>
                      </c:pt>
                      <c:pt idx="16">
                        <c:v>10</c:v>
                      </c:pt>
                      <c:pt idx="17">
                        <c:v>10</c:v>
                      </c:pt>
                    </c:numCache>
                  </c:numRef>
                </c:val>
                <c:smooth val="0"/>
                <c:extLst xmlns:c15="http://schemas.microsoft.com/office/drawing/2012/chart">
                  <c:ext xmlns:c16="http://schemas.microsoft.com/office/drawing/2014/chart" uri="{C3380CC4-5D6E-409C-BE32-E72D297353CC}">
                    <c16:uniqueId val="{00000010-93E3-49A9-8940-BBD0BC26ECF7}"/>
                  </c:ext>
                </c:extLst>
              </c15:ser>
            </c15:filteredLineSeries>
            <c15:filteredLineSeries>
              <c15:ser>
                <c:idx val="17"/>
                <c:order val="17"/>
                <c:tx>
                  <c:strRef>
                    <c:extLst xmlns:c15="http://schemas.microsoft.com/office/drawing/2012/chart">
                      <c:ext xmlns:c15="http://schemas.microsoft.com/office/drawing/2012/chart" uri="{02D57815-91ED-43cb-92C2-25804820EDAC}">
                        <c15:formulaRef>
                          <c15:sqref>'6. Summary Tracking Sheet'!$DN$3</c15:sqref>
                        </c15:formulaRef>
                      </c:ext>
                    </c:extLst>
                    <c:strCache>
                      <c:ptCount val="1"/>
                      <c:pt idx="0">
                        <c:v>SiteInOperations_AC(SUM)</c:v>
                      </c:pt>
                    </c:strCache>
                  </c:strRef>
                </c:tx>
                <c:spPr>
                  <a:ln w="22225" cap="rnd">
                    <a:solidFill>
                      <a:schemeClr val="accent6">
                        <a:lumMod val="80000"/>
                        <a:lumOff val="20000"/>
                      </a:schemeClr>
                    </a:solidFill>
                    <a:round/>
                  </a:ln>
                  <a:effectLst/>
                </c:spPr>
                <c:marker>
                  <c:symbol val="none"/>
                </c:marker>
                <c:val>
                  <c:numRef>
                    <c:extLst>
                      <c:ext xmlns:c15="http://schemas.microsoft.com/office/drawing/2012/chart" uri="{02D57815-91ED-43cb-92C2-25804820EDAC}">
                        <c15:fullRef>
                          <c15:sqref>'6. Summary Tracking Sheet'!$DP$4:$DP$44</c15:sqref>
                        </c15:fullRef>
                        <c15:formulaRef>
                          <c15:sqref>'6. Summary Tracking Sheet'!$DP$23:$DP$40</c15:sqref>
                        </c15:formulaRef>
                      </c:ext>
                    </c:extLst>
                    <c:numCache>
                      <c:formatCode>_(* #,##0_);_(* \(#,##0\);_(* "-"??_);_(@_)</c:formatCode>
                      <c:ptCount val="18"/>
                      <c:pt idx="0">
                        <c:v>0</c:v>
                      </c:pt>
                      <c:pt idx="1">
                        <c:v>0</c:v>
                      </c:pt>
                      <c:pt idx="2">
                        <c:v>1000</c:v>
                      </c:pt>
                      <c:pt idx="3">
                        <c:v>7000</c:v>
                      </c:pt>
                      <c:pt idx="4">
                        <c:v>20350</c:v>
                      </c:pt>
                      <c:pt idx="5">
                        <c:v>44150</c:v>
                      </c:pt>
                      <c:pt idx="6">
                        <c:v>73500</c:v>
                      </c:pt>
                      <c:pt idx="7">
                        <c:v>124200</c:v>
                      </c:pt>
                      <c:pt idx="8">
                        <c:v>190800</c:v>
                      </c:pt>
                      <c:pt idx="9">
                        <c:v>279500</c:v>
                      </c:pt>
                      <c:pt idx="10">
                        <c:v>387900</c:v>
                      </c:pt>
                      <c:pt idx="11">
                        <c:v>480700</c:v>
                      </c:pt>
                      <c:pt idx="12">
                        <c:v>602700</c:v>
                      </c:pt>
                      <c:pt idx="13">
                        <c:v>686850</c:v>
                      </c:pt>
                      <c:pt idx="14">
                        <c:v>742450</c:v>
                      </c:pt>
                      <c:pt idx="15">
                        <c:v>760150</c:v>
                      </c:pt>
                      <c:pt idx="16">
                        <c:v>767200</c:v>
                      </c:pt>
                      <c:pt idx="17">
                        <c:v>770000</c:v>
                      </c:pt>
                    </c:numCache>
                  </c:numRef>
                </c:val>
                <c:smooth val="0"/>
                <c:extLst xmlns:c15="http://schemas.microsoft.com/office/drawing/2012/chart">
                  <c:ext xmlns:c16="http://schemas.microsoft.com/office/drawing/2014/chart" uri="{C3380CC4-5D6E-409C-BE32-E72D297353CC}">
                    <c16:uniqueId val="{00000011-93E3-49A9-8940-BBD0BC26ECF7}"/>
                  </c:ext>
                </c:extLst>
              </c15:ser>
            </c15:filteredLineSeries>
          </c:ext>
        </c:extLst>
      </c:lineChart>
      <c:catAx>
        <c:axId val="550300207"/>
        <c:scaling>
          <c:orientation val="minMax"/>
        </c:scaling>
        <c:delete val="0"/>
        <c:axPos val="b"/>
        <c:majorGridlines>
          <c:spPr>
            <a:ln w="9525" cap="flat" cmpd="sng" algn="ctr">
              <a:solidFill>
                <a:schemeClr val="dk1">
                  <a:lumMod val="15000"/>
                  <a:lumOff val="85000"/>
                  <a:alpha val="54000"/>
                </a:schemeClr>
              </a:solidFill>
              <a:round/>
            </a:ln>
            <a:effectLst/>
          </c:spPr>
        </c:majorGridlines>
        <c:minorGridlines>
          <c:spPr>
            <a:ln w="9525" cap="flat" cmpd="sng" algn="ctr">
              <a:solidFill>
                <a:schemeClr val="dk1">
                  <a:lumMod val="15000"/>
                  <a:lumOff val="85000"/>
                  <a:alpha val="51000"/>
                </a:schemeClr>
              </a:solidFill>
              <a:round/>
            </a:ln>
            <a:effectLst/>
          </c:spPr>
        </c:minorGridlines>
        <c:title>
          <c:tx>
            <c:rich>
              <a:bodyPr rot="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r>
                  <a:rPr lang="en-US"/>
                  <a:t>Week</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endParaRPr lang="en-US"/>
            </a:p>
          </c:txPr>
        </c:title>
        <c:numFmt formatCode="General" sourceLinked="0"/>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cap="none" spc="0" normalizeH="0" baseline="0">
                <a:solidFill>
                  <a:schemeClr val="dk1">
                    <a:lumMod val="65000"/>
                    <a:lumOff val="35000"/>
                  </a:schemeClr>
                </a:solidFill>
                <a:latin typeface="+mn-lt"/>
                <a:ea typeface="+mn-ea"/>
                <a:cs typeface="+mn-cs"/>
              </a:defRPr>
            </a:pPr>
            <a:endParaRPr lang="en-US"/>
          </a:p>
        </c:txPr>
        <c:crossAx val="506817855"/>
        <c:crosses val="autoZero"/>
        <c:auto val="1"/>
        <c:lblAlgn val="ctr"/>
        <c:lblOffset val="100"/>
        <c:noMultiLvlLbl val="0"/>
      </c:catAx>
      <c:valAx>
        <c:axId val="506817855"/>
        <c:scaling>
          <c:orientation val="minMax"/>
        </c:scaling>
        <c:delete val="0"/>
        <c:axPos val="l"/>
        <c:majorGridlines>
          <c:spPr>
            <a:ln w="9525" cap="flat" cmpd="sng" algn="ctr">
              <a:solidFill>
                <a:schemeClr val="dk1">
                  <a:lumMod val="15000"/>
                  <a:lumOff val="85000"/>
                  <a:alpha val="54000"/>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r>
                  <a:rPr lang="en-US"/>
                  <a:t>Sites</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endParaRPr lang="en-US"/>
            </a:p>
          </c:txPr>
        </c:title>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crossAx val="550300207"/>
        <c:crosses val="autoZero"/>
        <c:crossBetween val="between"/>
      </c:valAx>
      <c:dTable>
        <c:showHorzBorder val="1"/>
        <c:showVertBorder val="1"/>
        <c:showOutline val="1"/>
        <c:showKeys val="1"/>
        <c:spPr>
          <a:noFill/>
          <a:ln w="9525" cap="flat" cmpd="sng" algn="ctr">
            <a:solidFill>
              <a:schemeClr val="dk1">
                <a:lumMod val="15000"/>
                <a:lumOff val="85000"/>
              </a:schemeClr>
            </a:solidFill>
            <a:round/>
          </a:ln>
          <a:effectLst/>
        </c:spPr>
        <c:txPr>
          <a:bodyPr rot="0" spcFirstLastPara="1" vertOverflow="ellipsis" vert="horz" wrap="square" anchor="ctr" anchorCtr="1"/>
          <a:lstStyle/>
          <a:p>
            <a:pPr rtl="0">
              <a:defRPr sz="800" b="0" i="0" u="none" strike="noStrike" kern="1200" baseline="0">
                <a:solidFill>
                  <a:schemeClr val="dk1">
                    <a:lumMod val="65000"/>
                    <a:lumOff val="35000"/>
                  </a:schemeClr>
                </a:solidFill>
                <a:latin typeface="+mn-lt"/>
                <a:ea typeface="+mn-ea"/>
                <a:cs typeface="+mn-cs"/>
              </a:defRPr>
            </a:pPr>
            <a:endParaRPr lang="en-US"/>
          </a:p>
        </c:txPr>
      </c:dTable>
      <c:spPr>
        <a:pattFill prst="ltDnDiag">
          <a:fgClr>
            <a:schemeClr val="dk1">
              <a:lumMod val="15000"/>
              <a:lumOff val="85000"/>
            </a:schemeClr>
          </a:fgClr>
          <a:bgClr>
            <a:schemeClr val="lt1"/>
          </a:bgClr>
        </a:patt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4"/>
          <c:order val="4"/>
          <c:tx>
            <c:strRef>
              <c:f>'6. Summary Tracking Sheet'!$BD$3</c:f>
              <c:strCache>
                <c:ptCount val="1"/>
                <c:pt idx="0">
                  <c:v>ReadyForPower_BL(SUM)</c:v>
                </c:pt>
              </c:strCache>
              <c:extLst xmlns:c15="http://schemas.microsoft.com/office/drawing/2012/chart"/>
            </c:strRef>
          </c:tx>
          <c:spPr>
            <a:ln w="22225" cap="rnd">
              <a:solidFill>
                <a:schemeClr val="accent5"/>
              </a:solidFill>
              <a:round/>
            </a:ln>
            <a:effectLst/>
          </c:spPr>
          <c:marker>
            <c:symbol val="none"/>
          </c:marker>
          <c:cat>
            <c:strLit>
              <c:ptCount val="18"/>
              <c:pt idx="0">
                <c:v>20</c:v>
              </c:pt>
              <c:pt idx="1">
                <c:v>21</c:v>
              </c:pt>
              <c:pt idx="2">
                <c:v>22</c:v>
              </c:pt>
              <c:pt idx="3">
                <c:v>23</c:v>
              </c:pt>
              <c:pt idx="4">
                <c:v>24</c:v>
              </c:pt>
              <c:pt idx="5">
                <c:v>25</c:v>
              </c:pt>
              <c:pt idx="6">
                <c:v>26</c:v>
              </c:pt>
              <c:pt idx="7">
                <c:v>27</c:v>
              </c:pt>
              <c:pt idx="8">
                <c:v>28</c:v>
              </c:pt>
              <c:pt idx="9">
                <c:v>29</c:v>
              </c:pt>
              <c:pt idx="10">
                <c:v>30</c:v>
              </c:pt>
              <c:pt idx="11">
                <c:v>31</c:v>
              </c:pt>
              <c:pt idx="12">
                <c:v>32</c:v>
              </c:pt>
              <c:pt idx="13">
                <c:v>33</c:v>
              </c:pt>
              <c:pt idx="14">
                <c:v>34</c:v>
              </c:pt>
              <c:pt idx="15">
                <c:v>35</c:v>
              </c:pt>
              <c:pt idx="16">
                <c:v>36</c:v>
              </c:pt>
              <c:pt idx="17">
                <c:v>37</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'6. Summary Tracking Sheet'!$BD$4:$BD$44</c15:sqref>
                  </c15:fullRef>
                </c:ext>
              </c:extLst>
              <c:f>'6. Summary Tracking Sheet'!$BD$23:$BD$40</c:f>
              <c:numCache>
                <c:formatCode>0;\-0;\-;@</c:formatCode>
                <c:ptCount val="18"/>
                <c:pt idx="0">
                  <c:v>0</c:v>
                </c:pt>
                <c:pt idx="1">
                  <c:v>0</c:v>
                </c:pt>
                <c:pt idx="2">
                  <c:v>0</c:v>
                </c:pt>
                <c:pt idx="3">
                  <c:v>0</c:v>
                </c:pt>
                <c:pt idx="4">
                  <c:v>0</c:v>
                </c:pt>
                <c:pt idx="5">
                  <c:v>1</c:v>
                </c:pt>
                <c:pt idx="6">
                  <c:v>7</c:v>
                </c:pt>
                <c:pt idx="7">
                  <c:v>16</c:v>
                </c:pt>
                <c:pt idx="8">
                  <c:v>26</c:v>
                </c:pt>
                <c:pt idx="9">
                  <c:v>38</c:v>
                </c:pt>
                <c:pt idx="10">
                  <c:v>67</c:v>
                </c:pt>
                <c:pt idx="11">
                  <c:v>86</c:v>
                </c:pt>
                <c:pt idx="12">
                  <c:v>100</c:v>
                </c:pt>
                <c:pt idx="13">
                  <c:v>100</c:v>
                </c:pt>
                <c:pt idx="14">
                  <c:v>100</c:v>
                </c:pt>
                <c:pt idx="15">
                  <c:v>100</c:v>
                </c:pt>
                <c:pt idx="16">
                  <c:v>100</c:v>
                </c:pt>
                <c:pt idx="17">
                  <c:v>100</c:v>
                </c:pt>
              </c:numCache>
            </c:numRef>
          </c:val>
          <c:smooth val="0"/>
          <c:extLst>
            <c:ext xmlns:c16="http://schemas.microsoft.com/office/drawing/2014/chart" uri="{C3380CC4-5D6E-409C-BE32-E72D297353CC}">
              <c16:uniqueId val="{00000004-B40D-4BD3-8F1F-77F4302B1AB6}"/>
            </c:ext>
          </c:extLst>
        </c:ser>
        <c:ser>
          <c:idx val="5"/>
          <c:order val="5"/>
          <c:tx>
            <c:strRef>
              <c:f>'6. Summary Tracking Sheet'!$BF$3</c:f>
              <c:strCache>
                <c:ptCount val="1"/>
                <c:pt idx="0">
                  <c:v>ReadyForPower_AC(SUM)</c:v>
                </c:pt>
              </c:strCache>
              <c:extLst xmlns:c15="http://schemas.microsoft.com/office/drawing/2012/chart"/>
            </c:strRef>
          </c:tx>
          <c:spPr>
            <a:ln w="22225" cap="rnd">
              <a:solidFill>
                <a:schemeClr val="accent6"/>
              </a:solidFill>
              <a:round/>
            </a:ln>
            <a:effectLst/>
          </c:spPr>
          <c:marker>
            <c:symbol val="none"/>
          </c:marker>
          <c:cat>
            <c:strLit>
              <c:ptCount val="18"/>
              <c:pt idx="0">
                <c:v>20</c:v>
              </c:pt>
              <c:pt idx="1">
                <c:v>21</c:v>
              </c:pt>
              <c:pt idx="2">
                <c:v>22</c:v>
              </c:pt>
              <c:pt idx="3">
                <c:v>23</c:v>
              </c:pt>
              <c:pt idx="4">
                <c:v>24</c:v>
              </c:pt>
              <c:pt idx="5">
                <c:v>25</c:v>
              </c:pt>
              <c:pt idx="6">
                <c:v>26</c:v>
              </c:pt>
              <c:pt idx="7">
                <c:v>27</c:v>
              </c:pt>
              <c:pt idx="8">
                <c:v>28</c:v>
              </c:pt>
              <c:pt idx="9">
                <c:v>29</c:v>
              </c:pt>
              <c:pt idx="10">
                <c:v>30</c:v>
              </c:pt>
              <c:pt idx="11">
                <c:v>31</c:v>
              </c:pt>
              <c:pt idx="12">
                <c:v>32</c:v>
              </c:pt>
              <c:pt idx="13">
                <c:v>33</c:v>
              </c:pt>
              <c:pt idx="14">
                <c:v>34</c:v>
              </c:pt>
              <c:pt idx="15">
                <c:v>35</c:v>
              </c:pt>
              <c:pt idx="16">
                <c:v>36</c:v>
              </c:pt>
              <c:pt idx="17">
                <c:v>37</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'6. Summary Tracking Sheet'!$BF$4:$BF$44</c15:sqref>
                  </c15:fullRef>
                </c:ext>
              </c:extLst>
              <c:f>'6. Summary Tracking Sheet'!$BF$23:$BF$40</c:f>
              <c:numCache>
                <c:formatCode>0;\-0;\-;@</c:formatCode>
                <c:ptCount val="18"/>
                <c:pt idx="0">
                  <c:v>0</c:v>
                </c:pt>
                <c:pt idx="1">
                  <c:v>0</c:v>
                </c:pt>
                <c:pt idx="2">
                  <c:v>0</c:v>
                </c:pt>
                <c:pt idx="3">
                  <c:v>0</c:v>
                </c:pt>
                <c:pt idx="4">
                  <c:v>0</c:v>
                </c:pt>
                <c:pt idx="5">
                  <c:v>1</c:v>
                </c:pt>
                <c:pt idx="6">
                  <c:v>6</c:v>
                </c:pt>
                <c:pt idx="7">
                  <c:v>10</c:v>
                </c:pt>
                <c:pt idx="8">
                  <c:v>22</c:v>
                </c:pt>
                <c:pt idx="9">
                  <c:v>35</c:v>
                </c:pt>
                <c:pt idx="10">
                  <c:v>52</c:v>
                </c:pt>
                <c:pt idx="11">
                  <c:v>67</c:v>
                </c:pt>
                <c:pt idx="12">
                  <c:v>70</c:v>
                </c:pt>
                <c:pt idx="13">
                  <c:v>70</c:v>
                </c:pt>
                <c:pt idx="14">
                  <c:v>70</c:v>
                </c:pt>
                <c:pt idx="15">
                  <c:v>70</c:v>
                </c:pt>
                <c:pt idx="16">
                  <c:v>70</c:v>
                </c:pt>
                <c:pt idx="17">
                  <c:v>70</c:v>
                </c:pt>
              </c:numCache>
            </c:numRef>
          </c:val>
          <c:smooth val="0"/>
          <c:extLst>
            <c:ext xmlns:c16="http://schemas.microsoft.com/office/drawing/2014/chart" uri="{C3380CC4-5D6E-409C-BE32-E72D297353CC}">
              <c16:uniqueId val="{00000005-B40D-4BD3-8F1F-77F4302B1AB6}"/>
            </c:ext>
          </c:extLst>
        </c:ser>
        <c:dLbls>
          <c:showLegendKey val="0"/>
          <c:showVal val="0"/>
          <c:showCatName val="0"/>
          <c:showSerName val="0"/>
          <c:showPercent val="0"/>
          <c:showBubbleSize val="0"/>
        </c:dLbls>
        <c:smooth val="0"/>
        <c:axId val="550300207"/>
        <c:axId val="506817855"/>
        <c:extLst>
          <c:ext xmlns:c15="http://schemas.microsoft.com/office/drawing/2012/chart" uri="{02D57815-91ED-43cb-92C2-25804820EDAC}">
            <c15:filteredLineSeries>
              <c15:ser>
                <c:idx val="1"/>
                <c:order val="0"/>
                <c:tx>
                  <c:strRef>
                    <c:extLst>
                      <c:ext uri="{02D57815-91ED-43cb-92C2-25804820EDAC}">
                        <c15:formulaRef>
                          <c15:sqref>'6. Summary Tracking Sheet'!$P$3</c15:sqref>
                        </c15:formulaRef>
                      </c:ext>
                    </c:extLst>
                    <c:strCache>
                      <c:ptCount val="1"/>
                      <c:pt idx="0">
                        <c:v>SiteDesignReady_BL(SUM)</c:v>
                      </c:pt>
                    </c:strCache>
                  </c:strRef>
                </c:tx>
                <c:spPr>
                  <a:ln w="22225" cap="rnd">
                    <a:solidFill>
                      <a:schemeClr val="accent2"/>
                    </a:solidFill>
                    <a:round/>
                  </a:ln>
                  <a:effectLst/>
                </c:spPr>
                <c:marker>
                  <c:symbol val="none"/>
                </c:marker>
                <c:val>
                  <c:numRef>
                    <c:extLst>
                      <c:ext uri="{02D57815-91ED-43cb-92C2-25804820EDAC}">
                        <c15:fullRef>
                          <c15:sqref>'6. Summary Tracking Sheet'!$P$4:$P$44</c15:sqref>
                        </c15:fullRef>
                        <c15:formulaRef>
                          <c15:sqref>'6. Summary Tracking Sheet'!$P$23:$P$40</c15:sqref>
                        </c15:formulaRef>
                      </c:ext>
                    </c:extLst>
                    <c:numCache>
                      <c:formatCode>0;\-0;\-;@</c:formatCode>
                      <c:ptCount val="18"/>
                      <c:pt idx="0">
                        <c:v>0</c:v>
                      </c:pt>
                      <c:pt idx="1">
                        <c:v>0</c:v>
                      </c:pt>
                      <c:pt idx="2">
                        <c:v>1</c:v>
                      </c:pt>
                      <c:pt idx="3">
                        <c:v>7</c:v>
                      </c:pt>
                      <c:pt idx="4">
                        <c:v>16</c:v>
                      </c:pt>
                      <c:pt idx="5">
                        <c:v>38</c:v>
                      </c:pt>
                      <c:pt idx="6">
                        <c:v>51</c:v>
                      </c:pt>
                      <c:pt idx="7">
                        <c:v>67</c:v>
                      </c:pt>
                      <c:pt idx="8">
                        <c:v>86</c:v>
                      </c:pt>
                      <c:pt idx="9">
                        <c:v>100</c:v>
                      </c:pt>
                      <c:pt idx="10">
                        <c:v>100</c:v>
                      </c:pt>
                      <c:pt idx="11">
                        <c:v>100</c:v>
                      </c:pt>
                      <c:pt idx="12">
                        <c:v>100</c:v>
                      </c:pt>
                      <c:pt idx="13">
                        <c:v>100</c:v>
                      </c:pt>
                      <c:pt idx="14">
                        <c:v>100</c:v>
                      </c:pt>
                      <c:pt idx="15">
                        <c:v>100</c:v>
                      </c:pt>
                      <c:pt idx="16">
                        <c:v>100</c:v>
                      </c:pt>
                      <c:pt idx="17">
                        <c:v>100</c:v>
                      </c:pt>
                    </c:numCache>
                  </c:numRef>
                </c:val>
                <c:smooth val="0"/>
                <c:extLst>
                  <c:ext xmlns:c16="http://schemas.microsoft.com/office/drawing/2014/chart" uri="{C3380CC4-5D6E-409C-BE32-E72D297353CC}">
                    <c16:uniqueId val="{00000002-B40D-4BD3-8F1F-77F4302B1AB6}"/>
                  </c:ext>
                </c:extLst>
              </c15:ser>
            </c15:filteredLineSeries>
            <c15:filteredLineSeries>
              <c15:ser>
                <c:idx val="0"/>
                <c:order val="1"/>
                <c:tx>
                  <c:strRef>
                    <c:extLst xmlns:c15="http://schemas.microsoft.com/office/drawing/2012/chart">
                      <c:ext xmlns:c15="http://schemas.microsoft.com/office/drawing/2012/chart" uri="{02D57815-91ED-43cb-92C2-25804820EDAC}">
                        <c15:formulaRef>
                          <c15:sqref>'6. Summary Tracking Sheet'!$R$3</c15:sqref>
                        </c15:formulaRef>
                      </c:ext>
                    </c:extLst>
                    <c:strCache>
                      <c:ptCount val="1"/>
                      <c:pt idx="0">
                        <c:v>SiteDesignReady_AC(SUM)</c:v>
                      </c:pt>
                    </c:strCache>
                  </c:strRef>
                </c:tx>
                <c:spPr>
                  <a:ln w="22225" cap="rnd">
                    <a:solidFill>
                      <a:schemeClr val="accent1"/>
                    </a:solidFill>
                    <a:round/>
                  </a:ln>
                  <a:effectLst/>
                </c:spPr>
                <c:marker>
                  <c:symbol val="none"/>
                </c:marker>
                <c:val>
                  <c:numRef>
                    <c:extLst>
                      <c:ext xmlns:c15="http://schemas.microsoft.com/office/drawing/2012/chart" uri="{02D57815-91ED-43cb-92C2-25804820EDAC}">
                        <c15:fullRef>
                          <c15:sqref>'6. Summary Tracking Sheet'!$R$4:$R$44</c15:sqref>
                        </c15:fullRef>
                        <c15:formulaRef>
                          <c15:sqref>'6. Summary Tracking Sheet'!$R$23:$R$40</c15:sqref>
                        </c15:formulaRef>
                      </c:ext>
                    </c:extLst>
                    <c:numCache>
                      <c:formatCode>0;\-0;\-;@</c:formatCode>
                      <c:ptCount val="18"/>
                      <c:pt idx="0">
                        <c:v>0</c:v>
                      </c:pt>
                      <c:pt idx="1">
                        <c:v>0</c:v>
                      </c:pt>
                      <c:pt idx="2">
                        <c:v>1</c:v>
                      </c:pt>
                      <c:pt idx="3">
                        <c:v>7</c:v>
                      </c:pt>
                      <c:pt idx="4">
                        <c:v>16</c:v>
                      </c:pt>
                      <c:pt idx="5">
                        <c:v>27</c:v>
                      </c:pt>
                      <c:pt idx="6">
                        <c:v>40</c:v>
                      </c:pt>
                      <c:pt idx="7">
                        <c:v>66</c:v>
                      </c:pt>
                      <c:pt idx="8">
                        <c:v>85</c:v>
                      </c:pt>
                      <c:pt idx="9">
                        <c:v>90</c:v>
                      </c:pt>
                      <c:pt idx="10">
                        <c:v>90</c:v>
                      </c:pt>
                      <c:pt idx="11">
                        <c:v>90</c:v>
                      </c:pt>
                      <c:pt idx="12">
                        <c:v>90</c:v>
                      </c:pt>
                      <c:pt idx="13">
                        <c:v>90</c:v>
                      </c:pt>
                      <c:pt idx="14">
                        <c:v>90</c:v>
                      </c:pt>
                      <c:pt idx="15">
                        <c:v>90</c:v>
                      </c:pt>
                      <c:pt idx="16">
                        <c:v>90</c:v>
                      </c:pt>
                      <c:pt idx="17">
                        <c:v>90</c:v>
                      </c:pt>
                    </c:numCache>
                  </c:numRef>
                </c:val>
                <c:smooth val="0"/>
                <c:extLst xmlns:c15="http://schemas.microsoft.com/office/drawing/2012/chart">
                  <c:ext xmlns:c16="http://schemas.microsoft.com/office/drawing/2014/chart" uri="{C3380CC4-5D6E-409C-BE32-E72D297353CC}">
                    <c16:uniqueId val="{00000003-B40D-4BD3-8F1F-77F4302B1AB6}"/>
                  </c:ext>
                </c:extLst>
              </c15:ser>
            </c15:filteredLineSeries>
            <c15:filteredLineSeries>
              <c15:ser>
                <c:idx val="2"/>
                <c:order val="2"/>
                <c:tx>
                  <c:strRef>
                    <c:extLst xmlns:c15="http://schemas.microsoft.com/office/drawing/2012/chart">
                      <c:ext xmlns:c15="http://schemas.microsoft.com/office/drawing/2012/chart" uri="{02D57815-91ED-43cb-92C2-25804820EDAC}">
                        <c15:formulaRef>
                          <c15:sqref>'6. Summary Tracking Sheet'!$AT$3</c15:sqref>
                        </c15:formulaRef>
                      </c:ext>
                    </c:extLst>
                    <c:strCache>
                      <c:ptCount val="1"/>
                      <c:pt idx="0">
                        <c:v>ReadyForCW_BL(SUM)</c:v>
                      </c:pt>
                    </c:strCache>
                  </c:strRef>
                </c:tx>
                <c:spPr>
                  <a:ln w="22225" cap="rnd">
                    <a:solidFill>
                      <a:schemeClr val="accent3"/>
                    </a:solidFill>
                    <a:round/>
                  </a:ln>
                  <a:effectLst/>
                </c:spPr>
                <c:marker>
                  <c:symbol val="none"/>
                </c:marker>
                <c:val>
                  <c:numRef>
                    <c:extLst>
                      <c:ext xmlns:c15="http://schemas.microsoft.com/office/drawing/2012/chart" uri="{02D57815-91ED-43cb-92C2-25804820EDAC}">
                        <c15:fullRef>
                          <c15:sqref>'6. Summary Tracking Sheet'!$AV$4:$AV$44</c15:sqref>
                        </c15:fullRef>
                        <c15:formulaRef>
                          <c15:sqref>'6. Summary Tracking Sheet'!$AV$23:$AV$40</c15:sqref>
                        </c15:formulaRef>
                      </c:ext>
                    </c:extLst>
                    <c:numCache>
                      <c:formatCode>0;\-0;\-;@</c:formatCode>
                      <c:ptCount val="18"/>
                      <c:pt idx="0">
                        <c:v>0</c:v>
                      </c:pt>
                      <c:pt idx="1">
                        <c:v>0</c:v>
                      </c:pt>
                      <c:pt idx="2">
                        <c:v>0</c:v>
                      </c:pt>
                      <c:pt idx="3">
                        <c:v>0</c:v>
                      </c:pt>
                      <c:pt idx="4">
                        <c:v>1</c:v>
                      </c:pt>
                      <c:pt idx="5">
                        <c:v>5</c:v>
                      </c:pt>
                      <c:pt idx="6">
                        <c:v>15</c:v>
                      </c:pt>
                      <c:pt idx="7">
                        <c:v>25</c:v>
                      </c:pt>
                      <c:pt idx="8">
                        <c:v>38</c:v>
                      </c:pt>
                      <c:pt idx="9">
                        <c:v>61</c:v>
                      </c:pt>
                      <c:pt idx="10">
                        <c:v>71</c:v>
                      </c:pt>
                      <c:pt idx="11">
                        <c:v>80</c:v>
                      </c:pt>
                      <c:pt idx="12">
                        <c:v>80</c:v>
                      </c:pt>
                      <c:pt idx="13">
                        <c:v>80</c:v>
                      </c:pt>
                      <c:pt idx="14">
                        <c:v>80</c:v>
                      </c:pt>
                      <c:pt idx="15">
                        <c:v>80</c:v>
                      </c:pt>
                      <c:pt idx="16">
                        <c:v>80</c:v>
                      </c:pt>
                      <c:pt idx="17">
                        <c:v>80</c:v>
                      </c:pt>
                    </c:numCache>
                  </c:numRef>
                </c:val>
                <c:smooth val="0"/>
                <c:extLst xmlns:c15="http://schemas.microsoft.com/office/drawing/2012/chart">
                  <c:ext xmlns:c16="http://schemas.microsoft.com/office/drawing/2014/chart" uri="{C3380CC4-5D6E-409C-BE32-E72D297353CC}">
                    <c16:uniqueId val="{00000000-B40D-4BD3-8F1F-77F4302B1AB6}"/>
                  </c:ext>
                </c:extLst>
              </c15:ser>
            </c15:filteredLineSeries>
            <c15:filteredLineSeries>
              <c15:ser>
                <c:idx val="3"/>
                <c:order val="3"/>
                <c:tx>
                  <c:strRef>
                    <c:extLst xmlns:c15="http://schemas.microsoft.com/office/drawing/2012/chart">
                      <c:ext xmlns:c15="http://schemas.microsoft.com/office/drawing/2012/chart" uri="{02D57815-91ED-43cb-92C2-25804820EDAC}">
                        <c15:formulaRef>
                          <c15:sqref>'6. Summary Tracking Sheet'!$AV$3</c15:sqref>
                        </c15:formulaRef>
                      </c:ext>
                    </c:extLst>
                    <c:strCache>
                      <c:ptCount val="1"/>
                      <c:pt idx="0">
                        <c:v>ReadyForCW_AC(SUM)</c:v>
                      </c:pt>
                    </c:strCache>
                  </c:strRef>
                </c:tx>
                <c:spPr>
                  <a:ln w="22225" cap="rnd">
                    <a:solidFill>
                      <a:schemeClr val="accent4"/>
                    </a:solidFill>
                    <a:round/>
                  </a:ln>
                  <a:effectLst/>
                </c:spPr>
                <c:marker>
                  <c:symbol val="none"/>
                </c:marker>
                <c:val>
                  <c:numRef>
                    <c:extLst>
                      <c:ext xmlns:c15="http://schemas.microsoft.com/office/drawing/2012/chart" uri="{02D57815-91ED-43cb-92C2-25804820EDAC}">
                        <c15:fullRef>
                          <c15:sqref>'6. Summary Tracking Sheet'!$AX$4:$AX$44</c15:sqref>
                        </c15:fullRef>
                        <c15:formulaRef>
                          <c15:sqref>'6. Summary Tracking Sheet'!$AX$23:$AX$40</c15:sqref>
                        </c15:formulaRef>
                      </c:ext>
                    </c:extLst>
                    <c:numCache>
                      <c:formatCode>0;\-0;\-;@</c:formatCode>
                      <c:ptCount val="18"/>
                      <c:pt idx="0">
                        <c:v>0</c:v>
                      </c:pt>
                      <c:pt idx="1">
                        <c:v>0</c:v>
                      </c:pt>
                      <c:pt idx="2">
                        <c:v>0</c:v>
                      </c:pt>
                      <c:pt idx="3">
                        <c:v>0</c:v>
                      </c:pt>
                      <c:pt idx="4">
                        <c:v>0</c:v>
                      </c:pt>
                      <c:pt idx="5">
                        <c:v>1500</c:v>
                      </c:pt>
                      <c:pt idx="6">
                        <c:v>9000</c:v>
                      </c:pt>
                      <c:pt idx="7">
                        <c:v>15000</c:v>
                      </c:pt>
                      <c:pt idx="8">
                        <c:v>33000</c:v>
                      </c:pt>
                      <c:pt idx="9">
                        <c:v>52500</c:v>
                      </c:pt>
                      <c:pt idx="10">
                        <c:v>78000</c:v>
                      </c:pt>
                      <c:pt idx="11">
                        <c:v>100500</c:v>
                      </c:pt>
                      <c:pt idx="12">
                        <c:v>105000</c:v>
                      </c:pt>
                      <c:pt idx="13">
                        <c:v>105000</c:v>
                      </c:pt>
                      <c:pt idx="14">
                        <c:v>105000</c:v>
                      </c:pt>
                      <c:pt idx="15">
                        <c:v>105000</c:v>
                      </c:pt>
                      <c:pt idx="16">
                        <c:v>105000</c:v>
                      </c:pt>
                      <c:pt idx="17">
                        <c:v>105000</c:v>
                      </c:pt>
                    </c:numCache>
                  </c:numRef>
                </c:val>
                <c:smooth val="0"/>
                <c:extLst xmlns:c15="http://schemas.microsoft.com/office/drawing/2012/chart">
                  <c:ext xmlns:c16="http://schemas.microsoft.com/office/drawing/2014/chart" uri="{C3380CC4-5D6E-409C-BE32-E72D297353CC}">
                    <c16:uniqueId val="{00000001-B40D-4BD3-8F1F-77F4302B1AB6}"/>
                  </c:ext>
                </c:extLst>
              </c15:ser>
            </c15:filteredLineSeries>
            <c15:filteredLineSeries>
              <c15:ser>
                <c:idx val="6"/>
                <c:order val="6"/>
                <c:tx>
                  <c:strRef>
                    <c:extLst xmlns:c15="http://schemas.microsoft.com/office/drawing/2012/chart">
                      <c:ext xmlns:c15="http://schemas.microsoft.com/office/drawing/2012/chart" uri="{02D57815-91ED-43cb-92C2-25804820EDAC}">
                        <c15:formulaRef>
                          <c15:sqref>'6. Summary Tracking Sheet'!$BN$3</c15:sqref>
                        </c15:formulaRef>
                      </c:ext>
                    </c:extLst>
                    <c:strCache>
                      <c:ptCount val="1"/>
                      <c:pt idx="0">
                        <c:v>TXReady_BL(SUM)</c:v>
                      </c:pt>
                    </c:strCache>
                  </c:strRef>
                </c:tx>
                <c:spPr>
                  <a:ln w="22225" cap="rnd">
                    <a:solidFill>
                      <a:schemeClr val="accent1">
                        <a:lumMod val="60000"/>
                      </a:schemeClr>
                    </a:solidFill>
                    <a:round/>
                  </a:ln>
                  <a:effectLst/>
                </c:spPr>
                <c:marker>
                  <c:symbol val="none"/>
                </c:marker>
                <c:val>
                  <c:numRef>
                    <c:extLst>
                      <c:ext xmlns:c15="http://schemas.microsoft.com/office/drawing/2012/chart" uri="{02D57815-91ED-43cb-92C2-25804820EDAC}">
                        <c15:fullRef>
                          <c15:sqref>'6. Summary Tracking Sheet'!$BP$4:$BP$44</c15:sqref>
                        </c15:fullRef>
                        <c15:formulaRef>
                          <c15:sqref>'6. Summary Tracking Sheet'!$BP$23:$BP$40</c15:sqref>
                        </c15:formulaRef>
                      </c:ext>
                    </c:extLst>
                    <c:numCache>
                      <c:formatCode>0;\-0;\-;@</c:formatCode>
                      <c:ptCount val="18"/>
                      <c:pt idx="0">
                        <c:v>0</c:v>
                      </c:pt>
                      <c:pt idx="1">
                        <c:v>0</c:v>
                      </c:pt>
                      <c:pt idx="2">
                        <c:v>0</c:v>
                      </c:pt>
                      <c:pt idx="3">
                        <c:v>0</c:v>
                      </c:pt>
                      <c:pt idx="4">
                        <c:v>0</c:v>
                      </c:pt>
                      <c:pt idx="5">
                        <c:v>0</c:v>
                      </c:pt>
                      <c:pt idx="6">
                        <c:v>1</c:v>
                      </c:pt>
                      <c:pt idx="7">
                        <c:v>4</c:v>
                      </c:pt>
                      <c:pt idx="8">
                        <c:v>15</c:v>
                      </c:pt>
                      <c:pt idx="9">
                        <c:v>25</c:v>
                      </c:pt>
                      <c:pt idx="10">
                        <c:v>38</c:v>
                      </c:pt>
                      <c:pt idx="11">
                        <c:v>54</c:v>
                      </c:pt>
                      <c:pt idx="12">
                        <c:v>59</c:v>
                      </c:pt>
                      <c:pt idx="13">
                        <c:v>60</c:v>
                      </c:pt>
                      <c:pt idx="14">
                        <c:v>60</c:v>
                      </c:pt>
                      <c:pt idx="15">
                        <c:v>60</c:v>
                      </c:pt>
                      <c:pt idx="16">
                        <c:v>60</c:v>
                      </c:pt>
                      <c:pt idx="17">
                        <c:v>60</c:v>
                      </c:pt>
                    </c:numCache>
                  </c:numRef>
                </c:val>
                <c:smooth val="0"/>
                <c:extLst xmlns:c15="http://schemas.microsoft.com/office/drawing/2012/chart">
                  <c:ext xmlns:c16="http://schemas.microsoft.com/office/drawing/2014/chart" uri="{C3380CC4-5D6E-409C-BE32-E72D297353CC}">
                    <c16:uniqueId val="{00000006-B40D-4BD3-8F1F-77F4302B1AB6}"/>
                  </c:ext>
                </c:extLst>
              </c15:ser>
            </c15:filteredLineSeries>
            <c15:filteredLineSeries>
              <c15:ser>
                <c:idx val="7"/>
                <c:order val="7"/>
                <c:tx>
                  <c:strRef>
                    <c:extLst xmlns:c15="http://schemas.microsoft.com/office/drawing/2012/chart">
                      <c:ext xmlns:c15="http://schemas.microsoft.com/office/drawing/2012/chart" uri="{02D57815-91ED-43cb-92C2-25804820EDAC}">
                        <c15:formulaRef>
                          <c15:sqref>'6. Summary Tracking Sheet'!$BP$3</c15:sqref>
                        </c15:formulaRef>
                      </c:ext>
                    </c:extLst>
                    <c:strCache>
                      <c:ptCount val="1"/>
                      <c:pt idx="0">
                        <c:v>TXReady_AC(SUM)</c:v>
                      </c:pt>
                    </c:strCache>
                  </c:strRef>
                </c:tx>
                <c:spPr>
                  <a:ln w="22225" cap="rnd">
                    <a:solidFill>
                      <a:schemeClr val="accent2">
                        <a:lumMod val="60000"/>
                      </a:schemeClr>
                    </a:solidFill>
                    <a:round/>
                  </a:ln>
                  <a:effectLst/>
                </c:spPr>
                <c:marker>
                  <c:symbol val="none"/>
                </c:marker>
                <c:val>
                  <c:numRef>
                    <c:extLst>
                      <c:ext xmlns:c15="http://schemas.microsoft.com/office/drawing/2012/chart" uri="{02D57815-91ED-43cb-92C2-25804820EDAC}">
                        <c15:fullRef>
                          <c15:sqref>'6. Summary Tracking Sheet'!$BR$4:$BR$44</c15:sqref>
                        </c15:fullRef>
                        <c15:formulaRef>
                          <c15:sqref>'6. Summary Tracking Sheet'!$BR$23:$BR$40</c15:sqref>
                        </c15:formulaRef>
                      </c:ext>
                    </c:extLst>
                    <c:numCache>
                      <c:formatCode>0;\-0;\-;@</c:formatCode>
                      <c:ptCount val="18"/>
                      <c:pt idx="0">
                        <c:v>0</c:v>
                      </c:pt>
                      <c:pt idx="1">
                        <c:v>0</c:v>
                      </c:pt>
                      <c:pt idx="2">
                        <c:v>0</c:v>
                      </c:pt>
                      <c:pt idx="3">
                        <c:v>0</c:v>
                      </c:pt>
                      <c:pt idx="4">
                        <c:v>0</c:v>
                      </c:pt>
                      <c:pt idx="5">
                        <c:v>0</c:v>
                      </c:pt>
                      <c:pt idx="6">
                        <c:v>0</c:v>
                      </c:pt>
                      <c:pt idx="7">
                        <c:v>500</c:v>
                      </c:pt>
                      <c:pt idx="8">
                        <c:v>2500</c:v>
                      </c:pt>
                      <c:pt idx="9">
                        <c:v>6000</c:v>
                      </c:pt>
                      <c:pt idx="10">
                        <c:v>12000</c:v>
                      </c:pt>
                      <c:pt idx="11">
                        <c:v>19000</c:v>
                      </c:pt>
                      <c:pt idx="12">
                        <c:v>24500</c:v>
                      </c:pt>
                      <c:pt idx="13">
                        <c:v>25500</c:v>
                      </c:pt>
                      <c:pt idx="14">
                        <c:v>25500</c:v>
                      </c:pt>
                      <c:pt idx="15">
                        <c:v>25500</c:v>
                      </c:pt>
                      <c:pt idx="16">
                        <c:v>25500</c:v>
                      </c:pt>
                      <c:pt idx="17">
                        <c:v>25500</c:v>
                      </c:pt>
                    </c:numCache>
                  </c:numRef>
                </c:val>
                <c:smooth val="0"/>
                <c:extLst xmlns:c15="http://schemas.microsoft.com/office/drawing/2012/chart">
                  <c:ext xmlns:c16="http://schemas.microsoft.com/office/drawing/2014/chart" uri="{C3380CC4-5D6E-409C-BE32-E72D297353CC}">
                    <c16:uniqueId val="{00000007-B40D-4BD3-8F1F-77F4302B1AB6}"/>
                  </c:ext>
                </c:extLst>
              </c15:ser>
            </c15:filteredLineSeries>
            <c15:filteredLineSeries>
              <c15:ser>
                <c:idx val="8"/>
                <c:order val="8"/>
                <c:tx>
                  <c:strRef>
                    <c:extLst xmlns:c15="http://schemas.microsoft.com/office/drawing/2012/chart">
                      <c:ext xmlns:c15="http://schemas.microsoft.com/office/drawing/2012/chart" uri="{02D57815-91ED-43cb-92C2-25804820EDAC}">
                        <c15:formulaRef>
                          <c15:sqref>'6. Summary Tracking Sheet'!$BX$3</c15:sqref>
                        </c15:formulaRef>
                      </c:ext>
                    </c:extLst>
                    <c:strCache>
                      <c:ptCount val="1"/>
                      <c:pt idx="0">
                        <c:v>ReadyForInstallation_BL(SUM)</c:v>
                      </c:pt>
                    </c:strCache>
                  </c:strRef>
                </c:tx>
                <c:spPr>
                  <a:ln w="22225" cap="rnd">
                    <a:solidFill>
                      <a:schemeClr val="accent3">
                        <a:lumMod val="60000"/>
                      </a:schemeClr>
                    </a:solidFill>
                    <a:round/>
                  </a:ln>
                  <a:effectLst/>
                </c:spPr>
                <c:marker>
                  <c:symbol val="none"/>
                </c:marker>
                <c:val>
                  <c:numRef>
                    <c:extLst>
                      <c:ext xmlns:c15="http://schemas.microsoft.com/office/drawing/2012/chart" uri="{02D57815-91ED-43cb-92C2-25804820EDAC}">
                        <c15:fullRef>
                          <c15:sqref>'6. Summary Tracking Sheet'!$BZ$4:$BZ$44</c15:sqref>
                        </c15:fullRef>
                        <c15:formulaRef>
                          <c15:sqref>'6. Summary Tracking Sheet'!$BZ$23:$BZ$40</c15:sqref>
                        </c15:formulaRef>
                      </c:ext>
                    </c:extLst>
                    <c:numCache>
                      <c:formatCode>0;\-0;\-;@</c:formatCode>
                      <c:ptCount val="18"/>
                      <c:pt idx="0">
                        <c:v>0</c:v>
                      </c:pt>
                      <c:pt idx="1">
                        <c:v>0</c:v>
                      </c:pt>
                      <c:pt idx="2">
                        <c:v>0</c:v>
                      </c:pt>
                      <c:pt idx="3">
                        <c:v>0</c:v>
                      </c:pt>
                      <c:pt idx="4">
                        <c:v>0</c:v>
                      </c:pt>
                      <c:pt idx="5">
                        <c:v>0</c:v>
                      </c:pt>
                      <c:pt idx="6">
                        <c:v>0</c:v>
                      </c:pt>
                      <c:pt idx="7">
                        <c:v>1</c:v>
                      </c:pt>
                      <c:pt idx="8">
                        <c:v>5</c:v>
                      </c:pt>
                      <c:pt idx="9">
                        <c:v>12</c:v>
                      </c:pt>
                      <c:pt idx="10">
                        <c:v>24</c:v>
                      </c:pt>
                      <c:pt idx="11">
                        <c:v>38</c:v>
                      </c:pt>
                      <c:pt idx="12">
                        <c:v>49</c:v>
                      </c:pt>
                      <c:pt idx="13">
                        <c:v>51</c:v>
                      </c:pt>
                      <c:pt idx="14">
                        <c:v>51</c:v>
                      </c:pt>
                      <c:pt idx="15">
                        <c:v>51</c:v>
                      </c:pt>
                      <c:pt idx="16">
                        <c:v>51</c:v>
                      </c:pt>
                      <c:pt idx="17">
                        <c:v>51</c:v>
                      </c:pt>
                    </c:numCache>
                  </c:numRef>
                </c:val>
                <c:smooth val="0"/>
                <c:extLst xmlns:c15="http://schemas.microsoft.com/office/drawing/2012/chart">
                  <c:ext xmlns:c16="http://schemas.microsoft.com/office/drawing/2014/chart" uri="{C3380CC4-5D6E-409C-BE32-E72D297353CC}">
                    <c16:uniqueId val="{00000008-B40D-4BD3-8F1F-77F4302B1AB6}"/>
                  </c:ext>
                </c:extLst>
              </c15:ser>
            </c15:filteredLineSeries>
            <c15:filteredLineSeries>
              <c15:ser>
                <c:idx val="9"/>
                <c:order val="9"/>
                <c:tx>
                  <c:strRef>
                    <c:extLst xmlns:c15="http://schemas.microsoft.com/office/drawing/2012/chart">
                      <c:ext xmlns:c15="http://schemas.microsoft.com/office/drawing/2012/chart" uri="{02D57815-91ED-43cb-92C2-25804820EDAC}">
                        <c15:formulaRef>
                          <c15:sqref>'6. Summary Tracking Sheet'!$BZ$3</c15:sqref>
                        </c15:formulaRef>
                      </c:ext>
                    </c:extLst>
                    <c:strCache>
                      <c:ptCount val="1"/>
                      <c:pt idx="0">
                        <c:v>ReadyForInstallation_AC(SUM)</c:v>
                      </c:pt>
                    </c:strCache>
                  </c:strRef>
                </c:tx>
                <c:spPr>
                  <a:ln w="22225" cap="rnd">
                    <a:solidFill>
                      <a:schemeClr val="accent4">
                        <a:lumMod val="60000"/>
                      </a:schemeClr>
                    </a:solidFill>
                    <a:round/>
                  </a:ln>
                  <a:effectLst/>
                </c:spPr>
                <c:marker>
                  <c:symbol val="none"/>
                </c:marker>
                <c:val>
                  <c:numRef>
                    <c:extLst>
                      <c:ext xmlns:c15="http://schemas.microsoft.com/office/drawing/2012/chart" uri="{02D57815-91ED-43cb-92C2-25804820EDAC}">
                        <c15:fullRef>
                          <c15:sqref>'6. Summary Tracking Sheet'!$CB$4:$CB$44</c15:sqref>
                        </c15:fullRef>
                        <c15:formulaRef>
                          <c15:sqref>'6. Summary Tracking Sheet'!$CB$23:$CB$40</c15:sqref>
                        </c15:formulaRef>
                      </c:ext>
                    </c:extLst>
                    <c:numCache>
                      <c:formatCode>0;\-0;\-;@</c:formatCode>
                      <c:ptCount val="18"/>
                      <c:pt idx="0">
                        <c:v>0</c:v>
                      </c:pt>
                      <c:pt idx="1">
                        <c:v>0</c:v>
                      </c:pt>
                      <c:pt idx="2">
                        <c:v>0</c:v>
                      </c:pt>
                      <c:pt idx="3">
                        <c:v>0</c:v>
                      </c:pt>
                      <c:pt idx="4">
                        <c:v>0</c:v>
                      </c:pt>
                      <c:pt idx="5">
                        <c:v>0</c:v>
                      </c:pt>
                      <c:pt idx="6">
                        <c:v>0</c:v>
                      </c:pt>
                      <c:pt idx="7">
                        <c:v>0</c:v>
                      </c:pt>
                      <c:pt idx="8">
                        <c:v>5000</c:v>
                      </c:pt>
                      <c:pt idx="9">
                        <c:v>17500</c:v>
                      </c:pt>
                      <c:pt idx="10">
                        <c:v>40000</c:v>
                      </c:pt>
                      <c:pt idx="11">
                        <c:v>70000</c:v>
                      </c:pt>
                      <c:pt idx="12">
                        <c:v>95000</c:v>
                      </c:pt>
                      <c:pt idx="13">
                        <c:v>100000</c:v>
                      </c:pt>
                      <c:pt idx="14">
                        <c:v>100000</c:v>
                      </c:pt>
                      <c:pt idx="15">
                        <c:v>100000</c:v>
                      </c:pt>
                      <c:pt idx="16">
                        <c:v>100000</c:v>
                      </c:pt>
                      <c:pt idx="17">
                        <c:v>100000</c:v>
                      </c:pt>
                    </c:numCache>
                  </c:numRef>
                </c:val>
                <c:smooth val="0"/>
                <c:extLst xmlns:c15="http://schemas.microsoft.com/office/drawing/2012/chart">
                  <c:ext xmlns:c16="http://schemas.microsoft.com/office/drawing/2014/chart" uri="{C3380CC4-5D6E-409C-BE32-E72D297353CC}">
                    <c16:uniqueId val="{00000009-B40D-4BD3-8F1F-77F4302B1AB6}"/>
                  </c:ext>
                </c:extLst>
              </c15:ser>
            </c15:filteredLineSeries>
            <c15:filteredLineSeries>
              <c15:ser>
                <c:idx val="10"/>
                <c:order val="10"/>
                <c:tx>
                  <c:strRef>
                    <c:extLst xmlns:c15="http://schemas.microsoft.com/office/drawing/2012/chart">
                      <c:ext xmlns:c15="http://schemas.microsoft.com/office/drawing/2012/chart" uri="{02D57815-91ED-43cb-92C2-25804820EDAC}">
                        <c15:formulaRef>
                          <c15:sqref>'6. Summary Tracking Sheet'!$CH$3</c15:sqref>
                        </c15:formulaRef>
                      </c:ext>
                    </c:extLst>
                    <c:strCache>
                      <c:ptCount val="1"/>
                      <c:pt idx="0">
                        <c:v>ReadyForIntegration_BL(SUM)</c:v>
                      </c:pt>
                    </c:strCache>
                  </c:strRef>
                </c:tx>
                <c:spPr>
                  <a:ln w="22225" cap="rnd">
                    <a:solidFill>
                      <a:schemeClr val="accent5">
                        <a:lumMod val="60000"/>
                      </a:schemeClr>
                    </a:solidFill>
                    <a:round/>
                  </a:ln>
                  <a:effectLst/>
                </c:spPr>
                <c:marker>
                  <c:symbol val="none"/>
                </c:marker>
                <c:val>
                  <c:numRef>
                    <c:extLst>
                      <c:ext xmlns:c15="http://schemas.microsoft.com/office/drawing/2012/chart" uri="{02D57815-91ED-43cb-92C2-25804820EDAC}">
                        <c15:fullRef>
                          <c15:sqref>'6. Summary Tracking Sheet'!$CJ$4:$CJ$44</c15:sqref>
                        </c15:fullRef>
                        <c15:formulaRef>
                          <c15:sqref>'6. Summary Tracking Sheet'!$CJ$23:$CJ$40</c15:sqref>
                        </c15:formulaRef>
                      </c:ext>
                    </c:extLst>
                    <c:numCache>
                      <c:formatCode>0;\-0;\-;@</c:formatCode>
                      <c:ptCount val="18"/>
                      <c:pt idx="0">
                        <c:v>0</c:v>
                      </c:pt>
                      <c:pt idx="1">
                        <c:v>0</c:v>
                      </c:pt>
                      <c:pt idx="2">
                        <c:v>0</c:v>
                      </c:pt>
                      <c:pt idx="3">
                        <c:v>0</c:v>
                      </c:pt>
                      <c:pt idx="4">
                        <c:v>0</c:v>
                      </c:pt>
                      <c:pt idx="5">
                        <c:v>0</c:v>
                      </c:pt>
                      <c:pt idx="6">
                        <c:v>0</c:v>
                      </c:pt>
                      <c:pt idx="7">
                        <c:v>0</c:v>
                      </c:pt>
                      <c:pt idx="8">
                        <c:v>2</c:v>
                      </c:pt>
                      <c:pt idx="9">
                        <c:v>7</c:v>
                      </c:pt>
                      <c:pt idx="10">
                        <c:v>16</c:v>
                      </c:pt>
                      <c:pt idx="11">
                        <c:v>28</c:v>
                      </c:pt>
                      <c:pt idx="12">
                        <c:v>38</c:v>
                      </c:pt>
                      <c:pt idx="13">
                        <c:v>40</c:v>
                      </c:pt>
                      <c:pt idx="14">
                        <c:v>40</c:v>
                      </c:pt>
                      <c:pt idx="15">
                        <c:v>40</c:v>
                      </c:pt>
                      <c:pt idx="16">
                        <c:v>40</c:v>
                      </c:pt>
                      <c:pt idx="17">
                        <c:v>40</c:v>
                      </c:pt>
                    </c:numCache>
                  </c:numRef>
                </c:val>
                <c:smooth val="0"/>
                <c:extLst xmlns:c15="http://schemas.microsoft.com/office/drawing/2012/chart">
                  <c:ext xmlns:c16="http://schemas.microsoft.com/office/drawing/2014/chart" uri="{C3380CC4-5D6E-409C-BE32-E72D297353CC}">
                    <c16:uniqueId val="{0000000A-B40D-4BD3-8F1F-77F4302B1AB6}"/>
                  </c:ext>
                </c:extLst>
              </c15:ser>
            </c15:filteredLineSeries>
            <c15:filteredLineSeries>
              <c15:ser>
                <c:idx val="11"/>
                <c:order val="11"/>
                <c:tx>
                  <c:strRef>
                    <c:extLst xmlns:c15="http://schemas.microsoft.com/office/drawing/2012/chart">
                      <c:ext xmlns:c15="http://schemas.microsoft.com/office/drawing/2012/chart" uri="{02D57815-91ED-43cb-92C2-25804820EDAC}">
                        <c15:formulaRef>
                          <c15:sqref>'6. Summary Tracking Sheet'!$CJ$3</c15:sqref>
                        </c15:formulaRef>
                      </c:ext>
                    </c:extLst>
                    <c:strCache>
                      <c:ptCount val="1"/>
                      <c:pt idx="0">
                        <c:v>ReadyForIntegration_AC(SUM)</c:v>
                      </c:pt>
                    </c:strCache>
                  </c:strRef>
                </c:tx>
                <c:spPr>
                  <a:ln w="22225" cap="rnd">
                    <a:solidFill>
                      <a:schemeClr val="accent6">
                        <a:lumMod val="60000"/>
                      </a:schemeClr>
                    </a:solidFill>
                    <a:round/>
                  </a:ln>
                  <a:effectLst/>
                </c:spPr>
                <c:marker>
                  <c:symbol val="none"/>
                </c:marker>
                <c:val>
                  <c:numRef>
                    <c:extLst>
                      <c:ext xmlns:c15="http://schemas.microsoft.com/office/drawing/2012/chart" uri="{02D57815-91ED-43cb-92C2-25804820EDAC}">
                        <c15:fullRef>
                          <c15:sqref>'6. Summary Tracking Sheet'!$CL$4:$CL$44</c15:sqref>
                        </c15:fullRef>
                        <c15:formulaRef>
                          <c15:sqref>'6. Summary Tracking Sheet'!$CL$23:$CL$40</c15:sqref>
                        </c15:formulaRef>
                      </c:ext>
                    </c:extLst>
                    <c:numCache>
                      <c:formatCode>0;\-0;\-;@</c:formatCode>
                      <c:ptCount val="18"/>
                      <c:pt idx="0">
                        <c:v>0</c:v>
                      </c:pt>
                      <c:pt idx="1">
                        <c:v>0</c:v>
                      </c:pt>
                      <c:pt idx="2">
                        <c:v>0</c:v>
                      </c:pt>
                      <c:pt idx="3">
                        <c:v>0</c:v>
                      </c:pt>
                      <c:pt idx="4">
                        <c:v>0</c:v>
                      </c:pt>
                      <c:pt idx="5">
                        <c:v>0</c:v>
                      </c:pt>
                      <c:pt idx="6">
                        <c:v>0</c:v>
                      </c:pt>
                      <c:pt idx="7">
                        <c:v>0</c:v>
                      </c:pt>
                      <c:pt idx="8">
                        <c:v>500</c:v>
                      </c:pt>
                      <c:pt idx="9">
                        <c:v>3000</c:v>
                      </c:pt>
                      <c:pt idx="10">
                        <c:v>5000</c:v>
                      </c:pt>
                      <c:pt idx="11">
                        <c:v>10500</c:v>
                      </c:pt>
                      <c:pt idx="12">
                        <c:v>14000</c:v>
                      </c:pt>
                      <c:pt idx="13">
                        <c:v>15000</c:v>
                      </c:pt>
                      <c:pt idx="14">
                        <c:v>15000</c:v>
                      </c:pt>
                      <c:pt idx="15">
                        <c:v>15000</c:v>
                      </c:pt>
                      <c:pt idx="16">
                        <c:v>15000</c:v>
                      </c:pt>
                      <c:pt idx="17">
                        <c:v>15000</c:v>
                      </c:pt>
                    </c:numCache>
                  </c:numRef>
                </c:val>
                <c:smooth val="0"/>
                <c:extLst xmlns:c15="http://schemas.microsoft.com/office/drawing/2012/chart">
                  <c:ext xmlns:c16="http://schemas.microsoft.com/office/drawing/2014/chart" uri="{C3380CC4-5D6E-409C-BE32-E72D297353CC}">
                    <c16:uniqueId val="{0000000B-B40D-4BD3-8F1F-77F4302B1AB6}"/>
                  </c:ext>
                </c:extLst>
              </c15:ser>
            </c15:filteredLineSeries>
            <c15:filteredLineSeries>
              <c15:ser>
                <c:idx val="12"/>
                <c:order val="12"/>
                <c:tx>
                  <c:strRef>
                    <c:extLst xmlns:c15="http://schemas.microsoft.com/office/drawing/2012/chart">
                      <c:ext xmlns:c15="http://schemas.microsoft.com/office/drawing/2012/chart" uri="{02D57815-91ED-43cb-92C2-25804820EDAC}">
                        <c15:formulaRef>
                          <c15:sqref>'6. Summary Tracking Sheet'!$CR$3</c15:sqref>
                        </c15:formulaRef>
                      </c:ext>
                    </c:extLst>
                    <c:strCache>
                      <c:ptCount val="1"/>
                      <c:pt idx="0">
                        <c:v>SiteOnAir_BL(SUM)</c:v>
                      </c:pt>
                    </c:strCache>
                  </c:strRef>
                </c:tx>
                <c:spPr>
                  <a:ln w="22225" cap="rnd">
                    <a:solidFill>
                      <a:schemeClr val="accent1">
                        <a:lumMod val="80000"/>
                        <a:lumOff val="20000"/>
                      </a:schemeClr>
                    </a:solidFill>
                    <a:round/>
                  </a:ln>
                  <a:effectLst/>
                </c:spPr>
                <c:marker>
                  <c:symbol val="none"/>
                </c:marker>
                <c:val>
                  <c:numRef>
                    <c:extLst>
                      <c:ext xmlns:c15="http://schemas.microsoft.com/office/drawing/2012/chart" uri="{02D57815-91ED-43cb-92C2-25804820EDAC}">
                        <c15:fullRef>
                          <c15:sqref>'6. Summary Tracking Sheet'!$CT$4:$CT$44</c15:sqref>
                        </c15:fullRef>
                        <c15:formulaRef>
                          <c15:sqref>'6. Summary Tracking Sheet'!$CT$23:$CT$40</c15:sqref>
                        </c15:formulaRef>
                      </c:ext>
                    </c:extLst>
                    <c:numCache>
                      <c:formatCode>0;\-0;\-;@</c:formatCode>
                      <c:ptCount val="18"/>
                      <c:pt idx="0">
                        <c:v>0</c:v>
                      </c:pt>
                      <c:pt idx="1">
                        <c:v>0</c:v>
                      </c:pt>
                      <c:pt idx="2">
                        <c:v>0</c:v>
                      </c:pt>
                      <c:pt idx="3">
                        <c:v>0</c:v>
                      </c:pt>
                      <c:pt idx="4">
                        <c:v>0</c:v>
                      </c:pt>
                      <c:pt idx="5">
                        <c:v>0</c:v>
                      </c:pt>
                      <c:pt idx="6">
                        <c:v>0</c:v>
                      </c:pt>
                      <c:pt idx="7">
                        <c:v>0</c:v>
                      </c:pt>
                      <c:pt idx="8">
                        <c:v>1</c:v>
                      </c:pt>
                      <c:pt idx="9">
                        <c:v>6</c:v>
                      </c:pt>
                      <c:pt idx="10">
                        <c:v>10</c:v>
                      </c:pt>
                      <c:pt idx="11">
                        <c:v>21</c:v>
                      </c:pt>
                      <c:pt idx="12">
                        <c:v>28</c:v>
                      </c:pt>
                      <c:pt idx="13">
                        <c:v>30</c:v>
                      </c:pt>
                      <c:pt idx="14">
                        <c:v>30</c:v>
                      </c:pt>
                      <c:pt idx="15">
                        <c:v>30</c:v>
                      </c:pt>
                      <c:pt idx="16">
                        <c:v>30</c:v>
                      </c:pt>
                      <c:pt idx="17">
                        <c:v>30</c:v>
                      </c:pt>
                    </c:numCache>
                  </c:numRef>
                </c:val>
                <c:smooth val="0"/>
                <c:extLst xmlns:c15="http://schemas.microsoft.com/office/drawing/2012/chart">
                  <c:ext xmlns:c16="http://schemas.microsoft.com/office/drawing/2014/chart" uri="{C3380CC4-5D6E-409C-BE32-E72D297353CC}">
                    <c16:uniqueId val="{0000000C-B40D-4BD3-8F1F-77F4302B1AB6}"/>
                  </c:ext>
                </c:extLst>
              </c15:ser>
            </c15:filteredLineSeries>
            <c15:filteredLineSeries>
              <c15:ser>
                <c:idx val="13"/>
                <c:order val="13"/>
                <c:tx>
                  <c:strRef>
                    <c:extLst xmlns:c15="http://schemas.microsoft.com/office/drawing/2012/chart">
                      <c:ext xmlns:c15="http://schemas.microsoft.com/office/drawing/2012/chart" uri="{02D57815-91ED-43cb-92C2-25804820EDAC}">
                        <c15:formulaRef>
                          <c15:sqref>'6. Summary Tracking Sheet'!$CT$3</c15:sqref>
                        </c15:formulaRef>
                      </c:ext>
                    </c:extLst>
                    <c:strCache>
                      <c:ptCount val="1"/>
                      <c:pt idx="0">
                        <c:v>SiteOnAir_AC(SUM)</c:v>
                      </c:pt>
                    </c:strCache>
                  </c:strRef>
                </c:tx>
                <c:spPr>
                  <a:ln w="22225" cap="rnd">
                    <a:solidFill>
                      <a:schemeClr val="accent2">
                        <a:lumMod val="80000"/>
                        <a:lumOff val="20000"/>
                      </a:schemeClr>
                    </a:solidFill>
                    <a:round/>
                  </a:ln>
                  <a:effectLst/>
                </c:spPr>
                <c:marker>
                  <c:symbol val="none"/>
                </c:marker>
                <c:val>
                  <c:numRef>
                    <c:extLst>
                      <c:ext xmlns:c15="http://schemas.microsoft.com/office/drawing/2012/chart" uri="{02D57815-91ED-43cb-92C2-25804820EDAC}">
                        <c15:fullRef>
                          <c15:sqref>'6. Summary Tracking Sheet'!$CV$4:$CV$44</c15:sqref>
                        </c15:fullRef>
                        <c15:formulaRef>
                          <c15:sqref>'6. Summary Tracking Sheet'!$CV$23:$CV$40</c15:sqref>
                        </c15:formulaRef>
                      </c:ext>
                    </c:extLst>
                    <c:numCache>
                      <c:formatCode>0;\-0;\-;@</c:formatCode>
                      <c:ptCount val="18"/>
                      <c:pt idx="0">
                        <c:v>0</c:v>
                      </c:pt>
                      <c:pt idx="1">
                        <c:v>0</c:v>
                      </c:pt>
                      <c:pt idx="2">
                        <c:v>0</c:v>
                      </c:pt>
                      <c:pt idx="3">
                        <c:v>0</c:v>
                      </c:pt>
                      <c:pt idx="4">
                        <c:v>0</c:v>
                      </c:pt>
                      <c:pt idx="5">
                        <c:v>0</c:v>
                      </c:pt>
                      <c:pt idx="6">
                        <c:v>0</c:v>
                      </c:pt>
                      <c:pt idx="7">
                        <c:v>0</c:v>
                      </c:pt>
                      <c:pt idx="8">
                        <c:v>0</c:v>
                      </c:pt>
                      <c:pt idx="9">
                        <c:v>500</c:v>
                      </c:pt>
                      <c:pt idx="10">
                        <c:v>1250</c:v>
                      </c:pt>
                      <c:pt idx="11">
                        <c:v>3750</c:v>
                      </c:pt>
                      <c:pt idx="12">
                        <c:v>4750</c:v>
                      </c:pt>
                      <c:pt idx="13">
                        <c:v>5000</c:v>
                      </c:pt>
                      <c:pt idx="14">
                        <c:v>5000</c:v>
                      </c:pt>
                      <c:pt idx="15">
                        <c:v>5000</c:v>
                      </c:pt>
                      <c:pt idx="16">
                        <c:v>5000</c:v>
                      </c:pt>
                      <c:pt idx="17">
                        <c:v>5000</c:v>
                      </c:pt>
                    </c:numCache>
                  </c:numRef>
                </c:val>
                <c:smooth val="0"/>
                <c:extLst xmlns:c15="http://schemas.microsoft.com/office/drawing/2012/chart">
                  <c:ext xmlns:c16="http://schemas.microsoft.com/office/drawing/2014/chart" uri="{C3380CC4-5D6E-409C-BE32-E72D297353CC}">
                    <c16:uniqueId val="{0000000D-B40D-4BD3-8F1F-77F4302B1AB6}"/>
                  </c:ext>
                </c:extLst>
              </c15:ser>
            </c15:filteredLineSeries>
            <c15:filteredLineSeries>
              <c15:ser>
                <c:idx val="14"/>
                <c:order val="14"/>
                <c:tx>
                  <c:strRef>
                    <c:extLst xmlns:c15="http://schemas.microsoft.com/office/drawing/2012/chart">
                      <c:ext xmlns:c15="http://schemas.microsoft.com/office/drawing/2012/chart" uri="{02D57815-91ED-43cb-92C2-25804820EDAC}">
                        <c15:formulaRef>
                          <c15:sqref>'6. Summary Tracking Sheet'!$DB$3</c15:sqref>
                        </c15:formulaRef>
                      </c:ext>
                    </c:extLst>
                    <c:strCache>
                      <c:ptCount val="1"/>
                      <c:pt idx="0">
                        <c:v>SiteAccepted_BL(SUM)</c:v>
                      </c:pt>
                    </c:strCache>
                  </c:strRef>
                </c:tx>
                <c:spPr>
                  <a:ln w="22225" cap="rnd">
                    <a:solidFill>
                      <a:schemeClr val="accent3">
                        <a:lumMod val="80000"/>
                        <a:lumOff val="20000"/>
                      </a:schemeClr>
                    </a:solidFill>
                    <a:round/>
                  </a:ln>
                  <a:effectLst/>
                </c:spPr>
                <c:marker>
                  <c:symbol val="none"/>
                </c:marker>
                <c:val>
                  <c:numRef>
                    <c:extLst>
                      <c:ext xmlns:c15="http://schemas.microsoft.com/office/drawing/2012/chart" uri="{02D57815-91ED-43cb-92C2-25804820EDAC}">
                        <c15:fullRef>
                          <c15:sqref>'6. Summary Tracking Sheet'!$DD$4:$DD$44</c15:sqref>
                        </c15:fullRef>
                        <c15:formulaRef>
                          <c15:sqref>'6. Summary Tracking Sheet'!$DD$23:$DD$40</c15:sqref>
                        </c15:formulaRef>
                      </c:ext>
                    </c:extLst>
                    <c:numCache>
                      <c:formatCode>0;\-0;\-;@</c:formatCode>
                      <c:ptCount val="18"/>
                      <c:pt idx="0">
                        <c:v>0</c:v>
                      </c:pt>
                      <c:pt idx="1">
                        <c:v>0</c:v>
                      </c:pt>
                      <c:pt idx="2">
                        <c:v>0</c:v>
                      </c:pt>
                      <c:pt idx="3">
                        <c:v>0</c:v>
                      </c:pt>
                      <c:pt idx="4">
                        <c:v>0</c:v>
                      </c:pt>
                      <c:pt idx="5">
                        <c:v>0</c:v>
                      </c:pt>
                      <c:pt idx="6">
                        <c:v>0</c:v>
                      </c:pt>
                      <c:pt idx="7">
                        <c:v>0</c:v>
                      </c:pt>
                      <c:pt idx="8">
                        <c:v>0</c:v>
                      </c:pt>
                      <c:pt idx="9">
                        <c:v>2</c:v>
                      </c:pt>
                      <c:pt idx="10">
                        <c:v>5</c:v>
                      </c:pt>
                      <c:pt idx="11">
                        <c:v>15</c:v>
                      </c:pt>
                      <c:pt idx="12">
                        <c:v>19</c:v>
                      </c:pt>
                      <c:pt idx="13">
                        <c:v>20</c:v>
                      </c:pt>
                      <c:pt idx="14">
                        <c:v>20</c:v>
                      </c:pt>
                      <c:pt idx="15">
                        <c:v>20</c:v>
                      </c:pt>
                      <c:pt idx="16">
                        <c:v>20</c:v>
                      </c:pt>
                      <c:pt idx="17">
                        <c:v>20</c:v>
                      </c:pt>
                    </c:numCache>
                  </c:numRef>
                </c:val>
                <c:smooth val="0"/>
                <c:extLst xmlns:c15="http://schemas.microsoft.com/office/drawing/2012/chart">
                  <c:ext xmlns:c16="http://schemas.microsoft.com/office/drawing/2014/chart" uri="{C3380CC4-5D6E-409C-BE32-E72D297353CC}">
                    <c16:uniqueId val="{0000000E-B40D-4BD3-8F1F-77F4302B1AB6}"/>
                  </c:ext>
                </c:extLst>
              </c15:ser>
            </c15:filteredLineSeries>
            <c15:filteredLineSeries>
              <c15:ser>
                <c:idx val="15"/>
                <c:order val="15"/>
                <c:tx>
                  <c:strRef>
                    <c:extLst xmlns:c15="http://schemas.microsoft.com/office/drawing/2012/chart">
                      <c:ext xmlns:c15="http://schemas.microsoft.com/office/drawing/2012/chart" uri="{02D57815-91ED-43cb-92C2-25804820EDAC}">
                        <c15:formulaRef>
                          <c15:sqref>'6. Summary Tracking Sheet'!$DD$3</c15:sqref>
                        </c15:formulaRef>
                      </c:ext>
                    </c:extLst>
                    <c:strCache>
                      <c:ptCount val="1"/>
                      <c:pt idx="0">
                        <c:v>SiteAccepted_AC(SUM)</c:v>
                      </c:pt>
                    </c:strCache>
                  </c:strRef>
                </c:tx>
                <c:spPr>
                  <a:ln w="22225" cap="rnd">
                    <a:solidFill>
                      <a:schemeClr val="accent4">
                        <a:lumMod val="80000"/>
                        <a:lumOff val="20000"/>
                      </a:schemeClr>
                    </a:solidFill>
                    <a:round/>
                  </a:ln>
                  <a:effectLst/>
                </c:spPr>
                <c:marker>
                  <c:symbol val="none"/>
                </c:marker>
                <c:val>
                  <c:numRef>
                    <c:extLst>
                      <c:ext xmlns:c15="http://schemas.microsoft.com/office/drawing/2012/chart" uri="{02D57815-91ED-43cb-92C2-25804820EDAC}">
                        <c15:fullRef>
                          <c15:sqref>'6. Summary Tracking Sheet'!$DF$4:$DF$44</c15:sqref>
                        </c15:fullRef>
                        <c15:formulaRef>
                          <c15:sqref>'6. Summary Tracking Sheet'!$DF$23:$DF$40</c15:sqref>
                        </c15:formulaRef>
                      </c:ext>
                    </c:extLst>
                    <c:numCache>
                      <c:formatCode>0;\-0;\-;@</c:formatCode>
                      <c:ptCount val="18"/>
                      <c:pt idx="0">
                        <c:v>0</c:v>
                      </c:pt>
                      <c:pt idx="1">
                        <c:v>0</c:v>
                      </c:pt>
                      <c:pt idx="2">
                        <c:v>0</c:v>
                      </c:pt>
                      <c:pt idx="3">
                        <c:v>0</c:v>
                      </c:pt>
                      <c:pt idx="4">
                        <c:v>0</c:v>
                      </c:pt>
                      <c:pt idx="5">
                        <c:v>0</c:v>
                      </c:pt>
                      <c:pt idx="6">
                        <c:v>0</c:v>
                      </c:pt>
                      <c:pt idx="7">
                        <c:v>0</c:v>
                      </c:pt>
                      <c:pt idx="8">
                        <c:v>0</c:v>
                      </c:pt>
                      <c:pt idx="9">
                        <c:v>0</c:v>
                      </c:pt>
                      <c:pt idx="10">
                        <c:v>200</c:v>
                      </c:pt>
                      <c:pt idx="11">
                        <c:v>600</c:v>
                      </c:pt>
                      <c:pt idx="12">
                        <c:v>1400</c:v>
                      </c:pt>
                      <c:pt idx="13">
                        <c:v>1800</c:v>
                      </c:pt>
                      <c:pt idx="14">
                        <c:v>2000</c:v>
                      </c:pt>
                      <c:pt idx="15">
                        <c:v>2000</c:v>
                      </c:pt>
                      <c:pt idx="16">
                        <c:v>2000</c:v>
                      </c:pt>
                      <c:pt idx="17">
                        <c:v>2000</c:v>
                      </c:pt>
                    </c:numCache>
                  </c:numRef>
                </c:val>
                <c:smooth val="0"/>
                <c:extLst xmlns:c15="http://schemas.microsoft.com/office/drawing/2012/chart">
                  <c:ext xmlns:c16="http://schemas.microsoft.com/office/drawing/2014/chart" uri="{C3380CC4-5D6E-409C-BE32-E72D297353CC}">
                    <c16:uniqueId val="{0000000F-B40D-4BD3-8F1F-77F4302B1AB6}"/>
                  </c:ext>
                </c:extLst>
              </c15:ser>
            </c15:filteredLineSeries>
            <c15:filteredLineSeries>
              <c15:ser>
                <c:idx val="16"/>
                <c:order val="16"/>
                <c:tx>
                  <c:strRef>
                    <c:extLst xmlns:c15="http://schemas.microsoft.com/office/drawing/2012/chart">
                      <c:ext xmlns:c15="http://schemas.microsoft.com/office/drawing/2012/chart" uri="{02D57815-91ED-43cb-92C2-25804820EDAC}">
                        <c15:formulaRef>
                          <c15:sqref>'6. Summary Tracking Sheet'!$DL$3</c15:sqref>
                        </c15:formulaRef>
                      </c:ext>
                    </c:extLst>
                    <c:strCache>
                      <c:ptCount val="1"/>
                      <c:pt idx="0">
                        <c:v>SiteInOperations_BL(SUM)</c:v>
                      </c:pt>
                    </c:strCache>
                  </c:strRef>
                </c:tx>
                <c:spPr>
                  <a:ln w="22225" cap="rnd">
                    <a:solidFill>
                      <a:schemeClr val="accent5">
                        <a:lumMod val="80000"/>
                        <a:lumOff val="20000"/>
                      </a:schemeClr>
                    </a:solidFill>
                    <a:round/>
                  </a:ln>
                  <a:effectLst/>
                </c:spPr>
                <c:marker>
                  <c:symbol val="none"/>
                </c:marker>
                <c:val>
                  <c:numRef>
                    <c:extLst>
                      <c:ext xmlns:c15="http://schemas.microsoft.com/office/drawing/2012/chart" uri="{02D57815-91ED-43cb-92C2-25804820EDAC}">
                        <c15:fullRef>
                          <c15:sqref>'6. Summary Tracking Sheet'!$DN$4:$DN$44</c15:sqref>
                        </c15:fullRef>
                        <c15:formulaRef>
                          <c15:sqref>'6. Summary Tracking Sheet'!$DN$23:$DN$40</c15:sqref>
                        </c15:formulaRef>
                      </c:ext>
                    </c:extLst>
                    <c:numCache>
                      <c:formatCode>0;\-0;\-;@</c:formatCode>
                      <c:ptCount val="18"/>
                      <c:pt idx="0">
                        <c:v>0</c:v>
                      </c:pt>
                      <c:pt idx="1">
                        <c:v>0</c:v>
                      </c:pt>
                      <c:pt idx="2">
                        <c:v>0</c:v>
                      </c:pt>
                      <c:pt idx="3">
                        <c:v>0</c:v>
                      </c:pt>
                      <c:pt idx="4">
                        <c:v>0</c:v>
                      </c:pt>
                      <c:pt idx="5">
                        <c:v>0</c:v>
                      </c:pt>
                      <c:pt idx="6">
                        <c:v>0</c:v>
                      </c:pt>
                      <c:pt idx="7">
                        <c:v>0</c:v>
                      </c:pt>
                      <c:pt idx="8">
                        <c:v>0</c:v>
                      </c:pt>
                      <c:pt idx="9">
                        <c:v>0</c:v>
                      </c:pt>
                      <c:pt idx="10">
                        <c:v>1</c:v>
                      </c:pt>
                      <c:pt idx="11">
                        <c:v>3</c:v>
                      </c:pt>
                      <c:pt idx="12">
                        <c:v>7</c:v>
                      </c:pt>
                      <c:pt idx="13">
                        <c:v>9</c:v>
                      </c:pt>
                      <c:pt idx="14">
                        <c:v>10</c:v>
                      </c:pt>
                      <c:pt idx="15">
                        <c:v>10</c:v>
                      </c:pt>
                      <c:pt idx="16">
                        <c:v>10</c:v>
                      </c:pt>
                      <c:pt idx="17">
                        <c:v>10</c:v>
                      </c:pt>
                    </c:numCache>
                  </c:numRef>
                </c:val>
                <c:smooth val="0"/>
                <c:extLst xmlns:c15="http://schemas.microsoft.com/office/drawing/2012/chart">
                  <c:ext xmlns:c16="http://schemas.microsoft.com/office/drawing/2014/chart" uri="{C3380CC4-5D6E-409C-BE32-E72D297353CC}">
                    <c16:uniqueId val="{00000010-B40D-4BD3-8F1F-77F4302B1AB6}"/>
                  </c:ext>
                </c:extLst>
              </c15:ser>
            </c15:filteredLineSeries>
            <c15:filteredLineSeries>
              <c15:ser>
                <c:idx val="17"/>
                <c:order val="17"/>
                <c:tx>
                  <c:strRef>
                    <c:extLst xmlns:c15="http://schemas.microsoft.com/office/drawing/2012/chart">
                      <c:ext xmlns:c15="http://schemas.microsoft.com/office/drawing/2012/chart" uri="{02D57815-91ED-43cb-92C2-25804820EDAC}">
                        <c15:formulaRef>
                          <c15:sqref>'6. Summary Tracking Sheet'!$DN$3</c15:sqref>
                        </c15:formulaRef>
                      </c:ext>
                    </c:extLst>
                    <c:strCache>
                      <c:ptCount val="1"/>
                      <c:pt idx="0">
                        <c:v>SiteInOperations_AC(SUM)</c:v>
                      </c:pt>
                    </c:strCache>
                  </c:strRef>
                </c:tx>
                <c:spPr>
                  <a:ln w="22225" cap="rnd">
                    <a:solidFill>
                      <a:schemeClr val="accent6">
                        <a:lumMod val="80000"/>
                        <a:lumOff val="20000"/>
                      </a:schemeClr>
                    </a:solidFill>
                    <a:round/>
                  </a:ln>
                  <a:effectLst/>
                </c:spPr>
                <c:marker>
                  <c:symbol val="none"/>
                </c:marker>
                <c:val>
                  <c:numRef>
                    <c:extLst>
                      <c:ext xmlns:c15="http://schemas.microsoft.com/office/drawing/2012/chart" uri="{02D57815-91ED-43cb-92C2-25804820EDAC}">
                        <c15:fullRef>
                          <c15:sqref>'6. Summary Tracking Sheet'!$DP$4:$DP$44</c15:sqref>
                        </c15:fullRef>
                        <c15:formulaRef>
                          <c15:sqref>'6. Summary Tracking Sheet'!$DP$23:$DP$40</c15:sqref>
                        </c15:formulaRef>
                      </c:ext>
                    </c:extLst>
                    <c:numCache>
                      <c:formatCode>_(* #,##0_);_(* \(#,##0\);_(* "-"??_);_(@_)</c:formatCode>
                      <c:ptCount val="18"/>
                      <c:pt idx="0">
                        <c:v>0</c:v>
                      </c:pt>
                      <c:pt idx="1">
                        <c:v>0</c:v>
                      </c:pt>
                      <c:pt idx="2">
                        <c:v>1000</c:v>
                      </c:pt>
                      <c:pt idx="3">
                        <c:v>7000</c:v>
                      </c:pt>
                      <c:pt idx="4">
                        <c:v>20350</c:v>
                      </c:pt>
                      <c:pt idx="5">
                        <c:v>44150</c:v>
                      </c:pt>
                      <c:pt idx="6">
                        <c:v>73500</c:v>
                      </c:pt>
                      <c:pt idx="7">
                        <c:v>124200</c:v>
                      </c:pt>
                      <c:pt idx="8">
                        <c:v>190800</c:v>
                      </c:pt>
                      <c:pt idx="9">
                        <c:v>279500</c:v>
                      </c:pt>
                      <c:pt idx="10">
                        <c:v>387900</c:v>
                      </c:pt>
                      <c:pt idx="11">
                        <c:v>480700</c:v>
                      </c:pt>
                      <c:pt idx="12">
                        <c:v>602700</c:v>
                      </c:pt>
                      <c:pt idx="13">
                        <c:v>686850</c:v>
                      </c:pt>
                      <c:pt idx="14">
                        <c:v>742450</c:v>
                      </c:pt>
                      <c:pt idx="15">
                        <c:v>760150</c:v>
                      </c:pt>
                      <c:pt idx="16">
                        <c:v>767200</c:v>
                      </c:pt>
                      <c:pt idx="17">
                        <c:v>770000</c:v>
                      </c:pt>
                    </c:numCache>
                  </c:numRef>
                </c:val>
                <c:smooth val="0"/>
                <c:extLst xmlns:c15="http://schemas.microsoft.com/office/drawing/2012/chart">
                  <c:ext xmlns:c16="http://schemas.microsoft.com/office/drawing/2014/chart" uri="{C3380CC4-5D6E-409C-BE32-E72D297353CC}">
                    <c16:uniqueId val="{00000011-B40D-4BD3-8F1F-77F4302B1AB6}"/>
                  </c:ext>
                </c:extLst>
              </c15:ser>
            </c15:filteredLineSeries>
          </c:ext>
        </c:extLst>
      </c:lineChart>
      <c:catAx>
        <c:axId val="550300207"/>
        <c:scaling>
          <c:orientation val="minMax"/>
        </c:scaling>
        <c:delete val="0"/>
        <c:axPos val="b"/>
        <c:majorGridlines>
          <c:spPr>
            <a:ln w="9525" cap="flat" cmpd="sng" algn="ctr">
              <a:solidFill>
                <a:schemeClr val="dk1">
                  <a:lumMod val="15000"/>
                  <a:lumOff val="85000"/>
                  <a:alpha val="54000"/>
                </a:schemeClr>
              </a:solidFill>
              <a:round/>
            </a:ln>
            <a:effectLst/>
          </c:spPr>
        </c:majorGridlines>
        <c:minorGridlines>
          <c:spPr>
            <a:ln w="9525" cap="flat" cmpd="sng" algn="ctr">
              <a:solidFill>
                <a:schemeClr val="dk1">
                  <a:lumMod val="15000"/>
                  <a:lumOff val="85000"/>
                  <a:alpha val="51000"/>
                </a:schemeClr>
              </a:solidFill>
              <a:round/>
            </a:ln>
            <a:effectLst/>
          </c:spPr>
        </c:minorGridlines>
        <c:title>
          <c:tx>
            <c:rich>
              <a:bodyPr rot="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r>
                  <a:rPr lang="en-US"/>
                  <a:t>Week</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endParaRPr lang="en-US"/>
            </a:p>
          </c:txPr>
        </c:title>
        <c:numFmt formatCode="General" sourceLinked="0"/>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cap="none" spc="0" normalizeH="0" baseline="0">
                <a:solidFill>
                  <a:schemeClr val="dk1">
                    <a:lumMod val="65000"/>
                    <a:lumOff val="35000"/>
                  </a:schemeClr>
                </a:solidFill>
                <a:latin typeface="+mn-lt"/>
                <a:ea typeface="+mn-ea"/>
                <a:cs typeface="+mn-cs"/>
              </a:defRPr>
            </a:pPr>
            <a:endParaRPr lang="en-US"/>
          </a:p>
        </c:txPr>
        <c:crossAx val="506817855"/>
        <c:crosses val="autoZero"/>
        <c:auto val="1"/>
        <c:lblAlgn val="ctr"/>
        <c:lblOffset val="100"/>
        <c:noMultiLvlLbl val="0"/>
      </c:catAx>
      <c:valAx>
        <c:axId val="506817855"/>
        <c:scaling>
          <c:orientation val="minMax"/>
        </c:scaling>
        <c:delete val="0"/>
        <c:axPos val="l"/>
        <c:majorGridlines>
          <c:spPr>
            <a:ln w="9525" cap="flat" cmpd="sng" algn="ctr">
              <a:solidFill>
                <a:schemeClr val="dk1">
                  <a:lumMod val="15000"/>
                  <a:lumOff val="85000"/>
                  <a:alpha val="54000"/>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r>
                  <a:rPr lang="en-US"/>
                  <a:t>Sites</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endParaRPr lang="en-US"/>
            </a:p>
          </c:txPr>
        </c:title>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crossAx val="550300207"/>
        <c:crosses val="autoZero"/>
        <c:crossBetween val="between"/>
      </c:valAx>
      <c:dTable>
        <c:showHorzBorder val="1"/>
        <c:showVertBorder val="1"/>
        <c:showOutline val="1"/>
        <c:showKeys val="1"/>
        <c:spPr>
          <a:noFill/>
          <a:ln w="9525" cap="flat" cmpd="sng" algn="ctr">
            <a:solidFill>
              <a:schemeClr val="dk1">
                <a:lumMod val="15000"/>
                <a:lumOff val="85000"/>
              </a:schemeClr>
            </a:solidFill>
            <a:round/>
          </a:ln>
          <a:effectLst/>
        </c:spPr>
        <c:txPr>
          <a:bodyPr rot="0" spcFirstLastPara="1" vertOverflow="ellipsis" vert="horz" wrap="square" anchor="ctr" anchorCtr="1"/>
          <a:lstStyle/>
          <a:p>
            <a:pPr rtl="0">
              <a:defRPr sz="800" b="0" i="0" u="none" strike="noStrike" kern="1200" baseline="0">
                <a:solidFill>
                  <a:schemeClr val="dk1">
                    <a:lumMod val="65000"/>
                    <a:lumOff val="35000"/>
                  </a:schemeClr>
                </a:solidFill>
                <a:latin typeface="+mn-lt"/>
                <a:ea typeface="+mn-ea"/>
                <a:cs typeface="+mn-cs"/>
              </a:defRPr>
            </a:pPr>
            <a:endParaRPr lang="en-US"/>
          </a:p>
        </c:txPr>
      </c:dTable>
      <c:spPr>
        <a:pattFill prst="ltDnDiag">
          <a:fgClr>
            <a:schemeClr val="dk1">
              <a:lumMod val="15000"/>
              <a:lumOff val="85000"/>
            </a:schemeClr>
          </a:fgClr>
          <a:bgClr>
            <a:schemeClr val="lt1"/>
          </a:bgClr>
        </a:patt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6"/>
          <c:order val="6"/>
          <c:tx>
            <c:strRef>
              <c:f>'6. Summary Tracking Sheet'!$BN$3</c:f>
              <c:strCache>
                <c:ptCount val="1"/>
                <c:pt idx="0">
                  <c:v>TXReady_BL(SUM)</c:v>
                </c:pt>
              </c:strCache>
              <c:extLst xmlns:c15="http://schemas.microsoft.com/office/drawing/2012/chart"/>
            </c:strRef>
          </c:tx>
          <c:spPr>
            <a:ln w="22225" cap="rnd">
              <a:solidFill>
                <a:schemeClr val="accent1">
                  <a:lumMod val="60000"/>
                </a:schemeClr>
              </a:solidFill>
              <a:round/>
            </a:ln>
            <a:effectLst/>
          </c:spPr>
          <c:marker>
            <c:symbol val="none"/>
          </c:marker>
          <c:cat>
            <c:strLit>
              <c:ptCount val="18"/>
              <c:pt idx="0">
                <c:v>20</c:v>
              </c:pt>
              <c:pt idx="1">
                <c:v>21</c:v>
              </c:pt>
              <c:pt idx="2">
                <c:v>22</c:v>
              </c:pt>
              <c:pt idx="3">
                <c:v>23</c:v>
              </c:pt>
              <c:pt idx="4">
                <c:v>24</c:v>
              </c:pt>
              <c:pt idx="5">
                <c:v>25</c:v>
              </c:pt>
              <c:pt idx="6">
                <c:v>26</c:v>
              </c:pt>
              <c:pt idx="7">
                <c:v>27</c:v>
              </c:pt>
              <c:pt idx="8">
                <c:v>28</c:v>
              </c:pt>
              <c:pt idx="9">
                <c:v>29</c:v>
              </c:pt>
              <c:pt idx="10">
                <c:v>30</c:v>
              </c:pt>
              <c:pt idx="11">
                <c:v>31</c:v>
              </c:pt>
              <c:pt idx="12">
                <c:v>32</c:v>
              </c:pt>
              <c:pt idx="13">
                <c:v>33</c:v>
              </c:pt>
              <c:pt idx="14">
                <c:v>34</c:v>
              </c:pt>
              <c:pt idx="15">
                <c:v>35</c:v>
              </c:pt>
              <c:pt idx="16">
                <c:v>36</c:v>
              </c:pt>
              <c:pt idx="17">
                <c:v>37</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'6. Summary Tracking Sheet'!$BN$4:$BN$44</c15:sqref>
                  </c15:fullRef>
                </c:ext>
              </c:extLst>
              <c:f>'6. Summary Tracking Sheet'!$BN$23:$BN$40</c:f>
              <c:numCache>
                <c:formatCode>0;\-0;\-;@</c:formatCode>
                <c:ptCount val="18"/>
                <c:pt idx="0">
                  <c:v>0</c:v>
                </c:pt>
                <c:pt idx="1">
                  <c:v>0</c:v>
                </c:pt>
                <c:pt idx="2">
                  <c:v>0</c:v>
                </c:pt>
                <c:pt idx="3">
                  <c:v>0</c:v>
                </c:pt>
                <c:pt idx="4">
                  <c:v>0</c:v>
                </c:pt>
                <c:pt idx="5">
                  <c:v>0</c:v>
                </c:pt>
                <c:pt idx="6">
                  <c:v>1</c:v>
                </c:pt>
                <c:pt idx="7">
                  <c:v>7</c:v>
                </c:pt>
                <c:pt idx="8">
                  <c:v>16</c:v>
                </c:pt>
                <c:pt idx="9">
                  <c:v>38</c:v>
                </c:pt>
                <c:pt idx="10">
                  <c:v>51</c:v>
                </c:pt>
                <c:pt idx="11">
                  <c:v>67</c:v>
                </c:pt>
                <c:pt idx="12">
                  <c:v>86</c:v>
                </c:pt>
                <c:pt idx="13">
                  <c:v>100</c:v>
                </c:pt>
                <c:pt idx="14">
                  <c:v>100</c:v>
                </c:pt>
                <c:pt idx="15">
                  <c:v>100</c:v>
                </c:pt>
                <c:pt idx="16">
                  <c:v>100</c:v>
                </c:pt>
                <c:pt idx="17">
                  <c:v>100</c:v>
                </c:pt>
              </c:numCache>
            </c:numRef>
          </c:val>
          <c:smooth val="0"/>
          <c:extLst>
            <c:ext xmlns:c16="http://schemas.microsoft.com/office/drawing/2014/chart" uri="{C3380CC4-5D6E-409C-BE32-E72D297353CC}">
              <c16:uniqueId val="{00000006-8461-4E65-AB69-CB052534398B}"/>
            </c:ext>
          </c:extLst>
        </c:ser>
        <c:ser>
          <c:idx val="7"/>
          <c:order val="7"/>
          <c:tx>
            <c:strRef>
              <c:f>'6. Summary Tracking Sheet'!$BP$3</c:f>
              <c:strCache>
                <c:ptCount val="1"/>
                <c:pt idx="0">
                  <c:v>TXReady_AC(SUM)</c:v>
                </c:pt>
              </c:strCache>
              <c:extLst xmlns:c15="http://schemas.microsoft.com/office/drawing/2012/chart"/>
            </c:strRef>
          </c:tx>
          <c:spPr>
            <a:ln w="22225" cap="rnd">
              <a:solidFill>
                <a:schemeClr val="accent2">
                  <a:lumMod val="60000"/>
                </a:schemeClr>
              </a:solidFill>
              <a:round/>
            </a:ln>
            <a:effectLst/>
          </c:spPr>
          <c:marker>
            <c:symbol val="none"/>
          </c:marker>
          <c:cat>
            <c:strLit>
              <c:ptCount val="18"/>
              <c:pt idx="0">
                <c:v>20</c:v>
              </c:pt>
              <c:pt idx="1">
                <c:v>21</c:v>
              </c:pt>
              <c:pt idx="2">
                <c:v>22</c:v>
              </c:pt>
              <c:pt idx="3">
                <c:v>23</c:v>
              </c:pt>
              <c:pt idx="4">
                <c:v>24</c:v>
              </c:pt>
              <c:pt idx="5">
                <c:v>25</c:v>
              </c:pt>
              <c:pt idx="6">
                <c:v>26</c:v>
              </c:pt>
              <c:pt idx="7">
                <c:v>27</c:v>
              </c:pt>
              <c:pt idx="8">
                <c:v>28</c:v>
              </c:pt>
              <c:pt idx="9">
                <c:v>29</c:v>
              </c:pt>
              <c:pt idx="10">
                <c:v>30</c:v>
              </c:pt>
              <c:pt idx="11">
                <c:v>31</c:v>
              </c:pt>
              <c:pt idx="12">
                <c:v>32</c:v>
              </c:pt>
              <c:pt idx="13">
                <c:v>33</c:v>
              </c:pt>
              <c:pt idx="14">
                <c:v>34</c:v>
              </c:pt>
              <c:pt idx="15">
                <c:v>35</c:v>
              </c:pt>
              <c:pt idx="16">
                <c:v>36</c:v>
              </c:pt>
              <c:pt idx="17">
                <c:v>37</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'6. Summary Tracking Sheet'!$BP$4:$BP$44</c15:sqref>
                  </c15:fullRef>
                </c:ext>
              </c:extLst>
              <c:f>'6. Summary Tracking Sheet'!$BP$23:$BP$40</c:f>
              <c:numCache>
                <c:formatCode>0;\-0;\-;@</c:formatCode>
                <c:ptCount val="18"/>
                <c:pt idx="0">
                  <c:v>0</c:v>
                </c:pt>
                <c:pt idx="1">
                  <c:v>0</c:v>
                </c:pt>
                <c:pt idx="2">
                  <c:v>0</c:v>
                </c:pt>
                <c:pt idx="3">
                  <c:v>0</c:v>
                </c:pt>
                <c:pt idx="4">
                  <c:v>0</c:v>
                </c:pt>
                <c:pt idx="5">
                  <c:v>0</c:v>
                </c:pt>
                <c:pt idx="6">
                  <c:v>1</c:v>
                </c:pt>
                <c:pt idx="7">
                  <c:v>4</c:v>
                </c:pt>
                <c:pt idx="8">
                  <c:v>15</c:v>
                </c:pt>
                <c:pt idx="9">
                  <c:v>25</c:v>
                </c:pt>
                <c:pt idx="10">
                  <c:v>38</c:v>
                </c:pt>
                <c:pt idx="11">
                  <c:v>54</c:v>
                </c:pt>
                <c:pt idx="12">
                  <c:v>59</c:v>
                </c:pt>
                <c:pt idx="13">
                  <c:v>60</c:v>
                </c:pt>
                <c:pt idx="14">
                  <c:v>60</c:v>
                </c:pt>
                <c:pt idx="15">
                  <c:v>60</c:v>
                </c:pt>
                <c:pt idx="16">
                  <c:v>60</c:v>
                </c:pt>
                <c:pt idx="17">
                  <c:v>60</c:v>
                </c:pt>
              </c:numCache>
            </c:numRef>
          </c:val>
          <c:smooth val="0"/>
          <c:extLst>
            <c:ext xmlns:c16="http://schemas.microsoft.com/office/drawing/2014/chart" uri="{C3380CC4-5D6E-409C-BE32-E72D297353CC}">
              <c16:uniqueId val="{00000007-8461-4E65-AB69-CB052534398B}"/>
            </c:ext>
          </c:extLst>
        </c:ser>
        <c:dLbls>
          <c:showLegendKey val="0"/>
          <c:showVal val="0"/>
          <c:showCatName val="0"/>
          <c:showSerName val="0"/>
          <c:showPercent val="0"/>
          <c:showBubbleSize val="0"/>
        </c:dLbls>
        <c:smooth val="0"/>
        <c:axId val="550300207"/>
        <c:axId val="506817855"/>
        <c:extLst>
          <c:ext xmlns:c15="http://schemas.microsoft.com/office/drawing/2012/chart" uri="{02D57815-91ED-43cb-92C2-25804820EDAC}">
            <c15:filteredLineSeries>
              <c15:ser>
                <c:idx val="1"/>
                <c:order val="0"/>
                <c:tx>
                  <c:strRef>
                    <c:extLst>
                      <c:ext uri="{02D57815-91ED-43cb-92C2-25804820EDAC}">
                        <c15:formulaRef>
                          <c15:sqref>'6. Summary Tracking Sheet'!$P$3</c15:sqref>
                        </c15:formulaRef>
                      </c:ext>
                    </c:extLst>
                    <c:strCache>
                      <c:ptCount val="1"/>
                      <c:pt idx="0">
                        <c:v>SiteDesignReady_BL(SUM)</c:v>
                      </c:pt>
                    </c:strCache>
                  </c:strRef>
                </c:tx>
                <c:spPr>
                  <a:ln w="22225" cap="rnd">
                    <a:solidFill>
                      <a:schemeClr val="accent2"/>
                    </a:solidFill>
                    <a:round/>
                  </a:ln>
                  <a:effectLst/>
                </c:spPr>
                <c:marker>
                  <c:symbol val="none"/>
                </c:marker>
                <c:val>
                  <c:numRef>
                    <c:extLst>
                      <c:ext uri="{02D57815-91ED-43cb-92C2-25804820EDAC}">
                        <c15:fullRef>
                          <c15:sqref>'6. Summary Tracking Sheet'!$P$4:$P$44</c15:sqref>
                        </c15:fullRef>
                        <c15:formulaRef>
                          <c15:sqref>'6. Summary Tracking Sheet'!$P$23:$P$40</c15:sqref>
                        </c15:formulaRef>
                      </c:ext>
                    </c:extLst>
                    <c:numCache>
                      <c:formatCode>0;\-0;\-;@</c:formatCode>
                      <c:ptCount val="18"/>
                      <c:pt idx="0">
                        <c:v>0</c:v>
                      </c:pt>
                      <c:pt idx="1">
                        <c:v>0</c:v>
                      </c:pt>
                      <c:pt idx="2">
                        <c:v>1</c:v>
                      </c:pt>
                      <c:pt idx="3">
                        <c:v>7</c:v>
                      </c:pt>
                      <c:pt idx="4">
                        <c:v>16</c:v>
                      </c:pt>
                      <c:pt idx="5">
                        <c:v>38</c:v>
                      </c:pt>
                      <c:pt idx="6">
                        <c:v>51</c:v>
                      </c:pt>
                      <c:pt idx="7">
                        <c:v>67</c:v>
                      </c:pt>
                      <c:pt idx="8">
                        <c:v>86</c:v>
                      </c:pt>
                      <c:pt idx="9">
                        <c:v>100</c:v>
                      </c:pt>
                      <c:pt idx="10">
                        <c:v>100</c:v>
                      </c:pt>
                      <c:pt idx="11">
                        <c:v>100</c:v>
                      </c:pt>
                      <c:pt idx="12">
                        <c:v>100</c:v>
                      </c:pt>
                      <c:pt idx="13">
                        <c:v>100</c:v>
                      </c:pt>
                      <c:pt idx="14">
                        <c:v>100</c:v>
                      </c:pt>
                      <c:pt idx="15">
                        <c:v>100</c:v>
                      </c:pt>
                      <c:pt idx="16">
                        <c:v>100</c:v>
                      </c:pt>
                      <c:pt idx="17">
                        <c:v>100</c:v>
                      </c:pt>
                    </c:numCache>
                  </c:numRef>
                </c:val>
                <c:smooth val="0"/>
                <c:extLst>
                  <c:ext xmlns:c16="http://schemas.microsoft.com/office/drawing/2014/chart" uri="{C3380CC4-5D6E-409C-BE32-E72D297353CC}">
                    <c16:uniqueId val="{00000002-8461-4E65-AB69-CB052534398B}"/>
                  </c:ext>
                </c:extLst>
              </c15:ser>
            </c15:filteredLineSeries>
            <c15:filteredLineSeries>
              <c15:ser>
                <c:idx val="0"/>
                <c:order val="1"/>
                <c:tx>
                  <c:strRef>
                    <c:extLst xmlns:c15="http://schemas.microsoft.com/office/drawing/2012/chart">
                      <c:ext xmlns:c15="http://schemas.microsoft.com/office/drawing/2012/chart" uri="{02D57815-91ED-43cb-92C2-25804820EDAC}">
                        <c15:formulaRef>
                          <c15:sqref>'6. Summary Tracking Sheet'!$R$3</c15:sqref>
                        </c15:formulaRef>
                      </c:ext>
                    </c:extLst>
                    <c:strCache>
                      <c:ptCount val="1"/>
                      <c:pt idx="0">
                        <c:v>SiteDesignReady_AC(SUM)</c:v>
                      </c:pt>
                    </c:strCache>
                  </c:strRef>
                </c:tx>
                <c:spPr>
                  <a:ln w="22225" cap="rnd">
                    <a:solidFill>
                      <a:schemeClr val="accent1"/>
                    </a:solidFill>
                    <a:round/>
                  </a:ln>
                  <a:effectLst/>
                </c:spPr>
                <c:marker>
                  <c:symbol val="none"/>
                </c:marker>
                <c:val>
                  <c:numRef>
                    <c:extLst>
                      <c:ext xmlns:c15="http://schemas.microsoft.com/office/drawing/2012/chart" uri="{02D57815-91ED-43cb-92C2-25804820EDAC}">
                        <c15:fullRef>
                          <c15:sqref>'6. Summary Tracking Sheet'!$R$4:$R$44</c15:sqref>
                        </c15:fullRef>
                        <c15:formulaRef>
                          <c15:sqref>'6. Summary Tracking Sheet'!$R$23:$R$40</c15:sqref>
                        </c15:formulaRef>
                      </c:ext>
                    </c:extLst>
                    <c:numCache>
                      <c:formatCode>0;\-0;\-;@</c:formatCode>
                      <c:ptCount val="18"/>
                      <c:pt idx="0">
                        <c:v>0</c:v>
                      </c:pt>
                      <c:pt idx="1">
                        <c:v>0</c:v>
                      </c:pt>
                      <c:pt idx="2">
                        <c:v>1</c:v>
                      </c:pt>
                      <c:pt idx="3">
                        <c:v>7</c:v>
                      </c:pt>
                      <c:pt idx="4">
                        <c:v>16</c:v>
                      </c:pt>
                      <c:pt idx="5">
                        <c:v>27</c:v>
                      </c:pt>
                      <c:pt idx="6">
                        <c:v>40</c:v>
                      </c:pt>
                      <c:pt idx="7">
                        <c:v>66</c:v>
                      </c:pt>
                      <c:pt idx="8">
                        <c:v>85</c:v>
                      </c:pt>
                      <c:pt idx="9">
                        <c:v>90</c:v>
                      </c:pt>
                      <c:pt idx="10">
                        <c:v>90</c:v>
                      </c:pt>
                      <c:pt idx="11">
                        <c:v>90</c:v>
                      </c:pt>
                      <c:pt idx="12">
                        <c:v>90</c:v>
                      </c:pt>
                      <c:pt idx="13">
                        <c:v>90</c:v>
                      </c:pt>
                      <c:pt idx="14">
                        <c:v>90</c:v>
                      </c:pt>
                      <c:pt idx="15">
                        <c:v>90</c:v>
                      </c:pt>
                      <c:pt idx="16">
                        <c:v>90</c:v>
                      </c:pt>
                      <c:pt idx="17">
                        <c:v>90</c:v>
                      </c:pt>
                    </c:numCache>
                  </c:numRef>
                </c:val>
                <c:smooth val="0"/>
                <c:extLst xmlns:c15="http://schemas.microsoft.com/office/drawing/2012/chart">
                  <c:ext xmlns:c16="http://schemas.microsoft.com/office/drawing/2014/chart" uri="{C3380CC4-5D6E-409C-BE32-E72D297353CC}">
                    <c16:uniqueId val="{00000003-8461-4E65-AB69-CB052534398B}"/>
                  </c:ext>
                </c:extLst>
              </c15:ser>
            </c15:filteredLineSeries>
            <c15:filteredLineSeries>
              <c15:ser>
                <c:idx val="2"/>
                <c:order val="2"/>
                <c:tx>
                  <c:strRef>
                    <c:extLst xmlns:c15="http://schemas.microsoft.com/office/drawing/2012/chart">
                      <c:ext xmlns:c15="http://schemas.microsoft.com/office/drawing/2012/chart" uri="{02D57815-91ED-43cb-92C2-25804820EDAC}">
                        <c15:formulaRef>
                          <c15:sqref>'6. Summary Tracking Sheet'!$AT$3</c15:sqref>
                        </c15:formulaRef>
                      </c:ext>
                    </c:extLst>
                    <c:strCache>
                      <c:ptCount val="1"/>
                      <c:pt idx="0">
                        <c:v>ReadyForCW_BL(SUM)</c:v>
                      </c:pt>
                    </c:strCache>
                  </c:strRef>
                </c:tx>
                <c:spPr>
                  <a:ln w="22225" cap="rnd">
                    <a:solidFill>
                      <a:schemeClr val="accent3"/>
                    </a:solidFill>
                    <a:round/>
                  </a:ln>
                  <a:effectLst/>
                </c:spPr>
                <c:marker>
                  <c:symbol val="none"/>
                </c:marker>
                <c:val>
                  <c:numRef>
                    <c:extLst>
                      <c:ext xmlns:c15="http://schemas.microsoft.com/office/drawing/2012/chart" uri="{02D57815-91ED-43cb-92C2-25804820EDAC}">
                        <c15:fullRef>
                          <c15:sqref>'6. Summary Tracking Sheet'!$AV$4:$AV$44</c15:sqref>
                        </c15:fullRef>
                        <c15:formulaRef>
                          <c15:sqref>'6. Summary Tracking Sheet'!$AV$23:$AV$40</c15:sqref>
                        </c15:formulaRef>
                      </c:ext>
                    </c:extLst>
                    <c:numCache>
                      <c:formatCode>0;\-0;\-;@</c:formatCode>
                      <c:ptCount val="18"/>
                      <c:pt idx="0">
                        <c:v>0</c:v>
                      </c:pt>
                      <c:pt idx="1">
                        <c:v>0</c:v>
                      </c:pt>
                      <c:pt idx="2">
                        <c:v>0</c:v>
                      </c:pt>
                      <c:pt idx="3">
                        <c:v>0</c:v>
                      </c:pt>
                      <c:pt idx="4">
                        <c:v>1</c:v>
                      </c:pt>
                      <c:pt idx="5">
                        <c:v>5</c:v>
                      </c:pt>
                      <c:pt idx="6">
                        <c:v>15</c:v>
                      </c:pt>
                      <c:pt idx="7">
                        <c:v>25</c:v>
                      </c:pt>
                      <c:pt idx="8">
                        <c:v>38</c:v>
                      </c:pt>
                      <c:pt idx="9">
                        <c:v>61</c:v>
                      </c:pt>
                      <c:pt idx="10">
                        <c:v>71</c:v>
                      </c:pt>
                      <c:pt idx="11">
                        <c:v>80</c:v>
                      </c:pt>
                      <c:pt idx="12">
                        <c:v>80</c:v>
                      </c:pt>
                      <c:pt idx="13">
                        <c:v>80</c:v>
                      </c:pt>
                      <c:pt idx="14">
                        <c:v>80</c:v>
                      </c:pt>
                      <c:pt idx="15">
                        <c:v>80</c:v>
                      </c:pt>
                      <c:pt idx="16">
                        <c:v>80</c:v>
                      </c:pt>
                      <c:pt idx="17">
                        <c:v>80</c:v>
                      </c:pt>
                    </c:numCache>
                  </c:numRef>
                </c:val>
                <c:smooth val="0"/>
                <c:extLst xmlns:c15="http://schemas.microsoft.com/office/drawing/2012/chart">
                  <c:ext xmlns:c16="http://schemas.microsoft.com/office/drawing/2014/chart" uri="{C3380CC4-5D6E-409C-BE32-E72D297353CC}">
                    <c16:uniqueId val="{00000004-8461-4E65-AB69-CB052534398B}"/>
                  </c:ext>
                </c:extLst>
              </c15:ser>
            </c15:filteredLineSeries>
            <c15:filteredLineSeries>
              <c15:ser>
                <c:idx val="3"/>
                <c:order val="3"/>
                <c:tx>
                  <c:strRef>
                    <c:extLst xmlns:c15="http://schemas.microsoft.com/office/drawing/2012/chart">
                      <c:ext xmlns:c15="http://schemas.microsoft.com/office/drawing/2012/chart" uri="{02D57815-91ED-43cb-92C2-25804820EDAC}">
                        <c15:formulaRef>
                          <c15:sqref>'6. Summary Tracking Sheet'!$AV$3</c15:sqref>
                        </c15:formulaRef>
                      </c:ext>
                    </c:extLst>
                    <c:strCache>
                      <c:ptCount val="1"/>
                      <c:pt idx="0">
                        <c:v>ReadyForCW_AC(SUM)</c:v>
                      </c:pt>
                    </c:strCache>
                  </c:strRef>
                </c:tx>
                <c:spPr>
                  <a:ln w="22225" cap="rnd">
                    <a:solidFill>
                      <a:schemeClr val="accent4"/>
                    </a:solidFill>
                    <a:round/>
                  </a:ln>
                  <a:effectLst/>
                </c:spPr>
                <c:marker>
                  <c:symbol val="none"/>
                </c:marker>
                <c:val>
                  <c:numRef>
                    <c:extLst>
                      <c:ext xmlns:c15="http://schemas.microsoft.com/office/drawing/2012/chart" uri="{02D57815-91ED-43cb-92C2-25804820EDAC}">
                        <c15:fullRef>
                          <c15:sqref>'6. Summary Tracking Sheet'!$AX$4:$AX$44</c15:sqref>
                        </c15:fullRef>
                        <c15:formulaRef>
                          <c15:sqref>'6. Summary Tracking Sheet'!$AX$23:$AX$40</c15:sqref>
                        </c15:formulaRef>
                      </c:ext>
                    </c:extLst>
                    <c:numCache>
                      <c:formatCode>0;\-0;\-;@</c:formatCode>
                      <c:ptCount val="18"/>
                      <c:pt idx="0">
                        <c:v>0</c:v>
                      </c:pt>
                      <c:pt idx="1">
                        <c:v>0</c:v>
                      </c:pt>
                      <c:pt idx="2">
                        <c:v>0</c:v>
                      </c:pt>
                      <c:pt idx="3">
                        <c:v>0</c:v>
                      </c:pt>
                      <c:pt idx="4">
                        <c:v>0</c:v>
                      </c:pt>
                      <c:pt idx="5">
                        <c:v>1500</c:v>
                      </c:pt>
                      <c:pt idx="6">
                        <c:v>9000</c:v>
                      </c:pt>
                      <c:pt idx="7">
                        <c:v>15000</c:v>
                      </c:pt>
                      <c:pt idx="8">
                        <c:v>33000</c:v>
                      </c:pt>
                      <c:pt idx="9">
                        <c:v>52500</c:v>
                      </c:pt>
                      <c:pt idx="10">
                        <c:v>78000</c:v>
                      </c:pt>
                      <c:pt idx="11">
                        <c:v>100500</c:v>
                      </c:pt>
                      <c:pt idx="12">
                        <c:v>105000</c:v>
                      </c:pt>
                      <c:pt idx="13">
                        <c:v>105000</c:v>
                      </c:pt>
                      <c:pt idx="14">
                        <c:v>105000</c:v>
                      </c:pt>
                      <c:pt idx="15">
                        <c:v>105000</c:v>
                      </c:pt>
                      <c:pt idx="16">
                        <c:v>105000</c:v>
                      </c:pt>
                      <c:pt idx="17">
                        <c:v>105000</c:v>
                      </c:pt>
                    </c:numCache>
                  </c:numRef>
                </c:val>
                <c:smooth val="0"/>
                <c:extLst xmlns:c15="http://schemas.microsoft.com/office/drawing/2012/chart">
                  <c:ext xmlns:c16="http://schemas.microsoft.com/office/drawing/2014/chart" uri="{C3380CC4-5D6E-409C-BE32-E72D297353CC}">
                    <c16:uniqueId val="{00000005-8461-4E65-AB69-CB052534398B}"/>
                  </c:ext>
                </c:extLst>
              </c15:ser>
            </c15:filteredLineSeries>
            <c15:filteredLineSeries>
              <c15:ser>
                <c:idx val="4"/>
                <c:order val="4"/>
                <c:tx>
                  <c:strRef>
                    <c:extLst xmlns:c15="http://schemas.microsoft.com/office/drawing/2012/chart">
                      <c:ext xmlns:c15="http://schemas.microsoft.com/office/drawing/2012/chart" uri="{02D57815-91ED-43cb-92C2-25804820EDAC}">
                        <c15:formulaRef>
                          <c15:sqref>'6. Summary Tracking Sheet'!$BD$3</c15:sqref>
                        </c15:formulaRef>
                      </c:ext>
                    </c:extLst>
                    <c:strCache>
                      <c:ptCount val="1"/>
                      <c:pt idx="0">
                        <c:v>ReadyForPower_BL(SUM)</c:v>
                      </c:pt>
                    </c:strCache>
                  </c:strRef>
                </c:tx>
                <c:spPr>
                  <a:ln w="22225" cap="rnd">
                    <a:solidFill>
                      <a:schemeClr val="accent5"/>
                    </a:solidFill>
                    <a:round/>
                  </a:ln>
                  <a:effectLst/>
                </c:spPr>
                <c:marker>
                  <c:symbol val="none"/>
                </c:marker>
                <c:val>
                  <c:numRef>
                    <c:extLst>
                      <c:ext xmlns:c15="http://schemas.microsoft.com/office/drawing/2012/chart" uri="{02D57815-91ED-43cb-92C2-25804820EDAC}">
                        <c15:fullRef>
                          <c15:sqref>'6. Summary Tracking Sheet'!$BF$4:$BF$44</c15:sqref>
                        </c15:fullRef>
                        <c15:formulaRef>
                          <c15:sqref>'6. Summary Tracking Sheet'!$BF$23:$BF$40</c15:sqref>
                        </c15:formulaRef>
                      </c:ext>
                    </c:extLst>
                    <c:numCache>
                      <c:formatCode>0;\-0;\-;@</c:formatCode>
                      <c:ptCount val="18"/>
                      <c:pt idx="0">
                        <c:v>0</c:v>
                      </c:pt>
                      <c:pt idx="1">
                        <c:v>0</c:v>
                      </c:pt>
                      <c:pt idx="2">
                        <c:v>0</c:v>
                      </c:pt>
                      <c:pt idx="3">
                        <c:v>0</c:v>
                      </c:pt>
                      <c:pt idx="4">
                        <c:v>0</c:v>
                      </c:pt>
                      <c:pt idx="5">
                        <c:v>1</c:v>
                      </c:pt>
                      <c:pt idx="6">
                        <c:v>6</c:v>
                      </c:pt>
                      <c:pt idx="7">
                        <c:v>10</c:v>
                      </c:pt>
                      <c:pt idx="8">
                        <c:v>22</c:v>
                      </c:pt>
                      <c:pt idx="9">
                        <c:v>35</c:v>
                      </c:pt>
                      <c:pt idx="10">
                        <c:v>52</c:v>
                      </c:pt>
                      <c:pt idx="11">
                        <c:v>67</c:v>
                      </c:pt>
                      <c:pt idx="12">
                        <c:v>70</c:v>
                      </c:pt>
                      <c:pt idx="13">
                        <c:v>70</c:v>
                      </c:pt>
                      <c:pt idx="14">
                        <c:v>70</c:v>
                      </c:pt>
                      <c:pt idx="15">
                        <c:v>70</c:v>
                      </c:pt>
                      <c:pt idx="16">
                        <c:v>70</c:v>
                      </c:pt>
                      <c:pt idx="17">
                        <c:v>70</c:v>
                      </c:pt>
                    </c:numCache>
                  </c:numRef>
                </c:val>
                <c:smooth val="0"/>
                <c:extLst xmlns:c15="http://schemas.microsoft.com/office/drawing/2012/chart">
                  <c:ext xmlns:c16="http://schemas.microsoft.com/office/drawing/2014/chart" uri="{C3380CC4-5D6E-409C-BE32-E72D297353CC}">
                    <c16:uniqueId val="{00000000-8461-4E65-AB69-CB052534398B}"/>
                  </c:ext>
                </c:extLst>
              </c15:ser>
            </c15:filteredLineSeries>
            <c15:filteredLineSeries>
              <c15:ser>
                <c:idx val="5"/>
                <c:order val="5"/>
                <c:tx>
                  <c:strRef>
                    <c:extLst xmlns:c15="http://schemas.microsoft.com/office/drawing/2012/chart">
                      <c:ext xmlns:c15="http://schemas.microsoft.com/office/drawing/2012/chart" uri="{02D57815-91ED-43cb-92C2-25804820EDAC}">
                        <c15:formulaRef>
                          <c15:sqref>'6. Summary Tracking Sheet'!$BF$3</c15:sqref>
                        </c15:formulaRef>
                      </c:ext>
                    </c:extLst>
                    <c:strCache>
                      <c:ptCount val="1"/>
                      <c:pt idx="0">
                        <c:v>ReadyForPower_AC(SUM)</c:v>
                      </c:pt>
                    </c:strCache>
                  </c:strRef>
                </c:tx>
                <c:spPr>
                  <a:ln w="22225" cap="rnd">
                    <a:solidFill>
                      <a:schemeClr val="accent6"/>
                    </a:solidFill>
                    <a:round/>
                  </a:ln>
                  <a:effectLst/>
                </c:spPr>
                <c:marker>
                  <c:symbol val="none"/>
                </c:marker>
                <c:val>
                  <c:numRef>
                    <c:extLst>
                      <c:ext xmlns:c15="http://schemas.microsoft.com/office/drawing/2012/chart" uri="{02D57815-91ED-43cb-92C2-25804820EDAC}">
                        <c15:fullRef>
                          <c15:sqref>'6. Summary Tracking Sheet'!$BH$4:$BH$44</c15:sqref>
                        </c15:fullRef>
                        <c15:formulaRef>
                          <c15:sqref>'6. Summary Tracking Sheet'!$BH$23:$BH$40</c15:sqref>
                        </c15:formulaRef>
                      </c:ext>
                    </c:extLst>
                    <c:numCache>
                      <c:formatCode>0;\-0;\-;@</c:formatCode>
                      <c:ptCount val="18"/>
                      <c:pt idx="0">
                        <c:v>0</c:v>
                      </c:pt>
                      <c:pt idx="1">
                        <c:v>0</c:v>
                      </c:pt>
                      <c:pt idx="2">
                        <c:v>0</c:v>
                      </c:pt>
                      <c:pt idx="3">
                        <c:v>0</c:v>
                      </c:pt>
                      <c:pt idx="4">
                        <c:v>0</c:v>
                      </c:pt>
                      <c:pt idx="5">
                        <c:v>0</c:v>
                      </c:pt>
                      <c:pt idx="6">
                        <c:v>500</c:v>
                      </c:pt>
                      <c:pt idx="7">
                        <c:v>2000</c:v>
                      </c:pt>
                      <c:pt idx="8">
                        <c:v>7500</c:v>
                      </c:pt>
                      <c:pt idx="9">
                        <c:v>12500</c:v>
                      </c:pt>
                      <c:pt idx="10">
                        <c:v>19000</c:v>
                      </c:pt>
                      <c:pt idx="11">
                        <c:v>27000</c:v>
                      </c:pt>
                      <c:pt idx="12">
                        <c:v>29500</c:v>
                      </c:pt>
                      <c:pt idx="13">
                        <c:v>30000</c:v>
                      </c:pt>
                      <c:pt idx="14">
                        <c:v>30000</c:v>
                      </c:pt>
                      <c:pt idx="15">
                        <c:v>30000</c:v>
                      </c:pt>
                      <c:pt idx="16">
                        <c:v>30000</c:v>
                      </c:pt>
                      <c:pt idx="17">
                        <c:v>30000</c:v>
                      </c:pt>
                    </c:numCache>
                  </c:numRef>
                </c:val>
                <c:smooth val="0"/>
                <c:extLst xmlns:c15="http://schemas.microsoft.com/office/drawing/2012/chart">
                  <c:ext xmlns:c16="http://schemas.microsoft.com/office/drawing/2014/chart" uri="{C3380CC4-5D6E-409C-BE32-E72D297353CC}">
                    <c16:uniqueId val="{00000001-8461-4E65-AB69-CB052534398B}"/>
                  </c:ext>
                </c:extLst>
              </c15:ser>
            </c15:filteredLineSeries>
            <c15:filteredLineSeries>
              <c15:ser>
                <c:idx val="8"/>
                <c:order val="8"/>
                <c:tx>
                  <c:strRef>
                    <c:extLst xmlns:c15="http://schemas.microsoft.com/office/drawing/2012/chart">
                      <c:ext xmlns:c15="http://schemas.microsoft.com/office/drawing/2012/chart" uri="{02D57815-91ED-43cb-92C2-25804820EDAC}">
                        <c15:formulaRef>
                          <c15:sqref>'6. Summary Tracking Sheet'!$BX$3</c15:sqref>
                        </c15:formulaRef>
                      </c:ext>
                    </c:extLst>
                    <c:strCache>
                      <c:ptCount val="1"/>
                      <c:pt idx="0">
                        <c:v>ReadyForInstallation_BL(SUM)</c:v>
                      </c:pt>
                    </c:strCache>
                  </c:strRef>
                </c:tx>
                <c:spPr>
                  <a:ln w="22225" cap="rnd">
                    <a:solidFill>
                      <a:schemeClr val="accent3">
                        <a:lumMod val="60000"/>
                      </a:schemeClr>
                    </a:solidFill>
                    <a:round/>
                  </a:ln>
                  <a:effectLst/>
                </c:spPr>
                <c:marker>
                  <c:symbol val="none"/>
                </c:marker>
                <c:val>
                  <c:numRef>
                    <c:extLst>
                      <c:ext xmlns:c15="http://schemas.microsoft.com/office/drawing/2012/chart" uri="{02D57815-91ED-43cb-92C2-25804820EDAC}">
                        <c15:fullRef>
                          <c15:sqref>'6. Summary Tracking Sheet'!$BZ$4:$BZ$44</c15:sqref>
                        </c15:fullRef>
                        <c15:formulaRef>
                          <c15:sqref>'6. Summary Tracking Sheet'!$BZ$23:$BZ$40</c15:sqref>
                        </c15:formulaRef>
                      </c:ext>
                    </c:extLst>
                    <c:numCache>
                      <c:formatCode>0;\-0;\-;@</c:formatCode>
                      <c:ptCount val="18"/>
                      <c:pt idx="0">
                        <c:v>0</c:v>
                      </c:pt>
                      <c:pt idx="1">
                        <c:v>0</c:v>
                      </c:pt>
                      <c:pt idx="2">
                        <c:v>0</c:v>
                      </c:pt>
                      <c:pt idx="3">
                        <c:v>0</c:v>
                      </c:pt>
                      <c:pt idx="4">
                        <c:v>0</c:v>
                      </c:pt>
                      <c:pt idx="5">
                        <c:v>0</c:v>
                      </c:pt>
                      <c:pt idx="6">
                        <c:v>0</c:v>
                      </c:pt>
                      <c:pt idx="7">
                        <c:v>1</c:v>
                      </c:pt>
                      <c:pt idx="8">
                        <c:v>5</c:v>
                      </c:pt>
                      <c:pt idx="9">
                        <c:v>12</c:v>
                      </c:pt>
                      <c:pt idx="10">
                        <c:v>24</c:v>
                      </c:pt>
                      <c:pt idx="11">
                        <c:v>38</c:v>
                      </c:pt>
                      <c:pt idx="12">
                        <c:v>49</c:v>
                      </c:pt>
                      <c:pt idx="13">
                        <c:v>51</c:v>
                      </c:pt>
                      <c:pt idx="14">
                        <c:v>51</c:v>
                      </c:pt>
                      <c:pt idx="15">
                        <c:v>51</c:v>
                      </c:pt>
                      <c:pt idx="16">
                        <c:v>51</c:v>
                      </c:pt>
                      <c:pt idx="17">
                        <c:v>51</c:v>
                      </c:pt>
                    </c:numCache>
                  </c:numRef>
                </c:val>
                <c:smooth val="0"/>
                <c:extLst xmlns:c15="http://schemas.microsoft.com/office/drawing/2012/chart">
                  <c:ext xmlns:c16="http://schemas.microsoft.com/office/drawing/2014/chart" uri="{C3380CC4-5D6E-409C-BE32-E72D297353CC}">
                    <c16:uniqueId val="{00000008-8461-4E65-AB69-CB052534398B}"/>
                  </c:ext>
                </c:extLst>
              </c15:ser>
            </c15:filteredLineSeries>
            <c15:filteredLineSeries>
              <c15:ser>
                <c:idx val="9"/>
                <c:order val="9"/>
                <c:tx>
                  <c:strRef>
                    <c:extLst xmlns:c15="http://schemas.microsoft.com/office/drawing/2012/chart">
                      <c:ext xmlns:c15="http://schemas.microsoft.com/office/drawing/2012/chart" uri="{02D57815-91ED-43cb-92C2-25804820EDAC}">
                        <c15:formulaRef>
                          <c15:sqref>'6. Summary Tracking Sheet'!$BZ$3</c15:sqref>
                        </c15:formulaRef>
                      </c:ext>
                    </c:extLst>
                    <c:strCache>
                      <c:ptCount val="1"/>
                      <c:pt idx="0">
                        <c:v>ReadyForInstallation_AC(SUM)</c:v>
                      </c:pt>
                    </c:strCache>
                  </c:strRef>
                </c:tx>
                <c:spPr>
                  <a:ln w="22225" cap="rnd">
                    <a:solidFill>
                      <a:schemeClr val="accent4">
                        <a:lumMod val="60000"/>
                      </a:schemeClr>
                    </a:solidFill>
                    <a:round/>
                  </a:ln>
                  <a:effectLst/>
                </c:spPr>
                <c:marker>
                  <c:symbol val="none"/>
                </c:marker>
                <c:val>
                  <c:numRef>
                    <c:extLst>
                      <c:ext xmlns:c15="http://schemas.microsoft.com/office/drawing/2012/chart" uri="{02D57815-91ED-43cb-92C2-25804820EDAC}">
                        <c15:fullRef>
                          <c15:sqref>'6. Summary Tracking Sheet'!$CB$4:$CB$44</c15:sqref>
                        </c15:fullRef>
                        <c15:formulaRef>
                          <c15:sqref>'6. Summary Tracking Sheet'!$CB$23:$CB$40</c15:sqref>
                        </c15:formulaRef>
                      </c:ext>
                    </c:extLst>
                    <c:numCache>
                      <c:formatCode>0;\-0;\-;@</c:formatCode>
                      <c:ptCount val="18"/>
                      <c:pt idx="0">
                        <c:v>0</c:v>
                      </c:pt>
                      <c:pt idx="1">
                        <c:v>0</c:v>
                      </c:pt>
                      <c:pt idx="2">
                        <c:v>0</c:v>
                      </c:pt>
                      <c:pt idx="3">
                        <c:v>0</c:v>
                      </c:pt>
                      <c:pt idx="4">
                        <c:v>0</c:v>
                      </c:pt>
                      <c:pt idx="5">
                        <c:v>0</c:v>
                      </c:pt>
                      <c:pt idx="6">
                        <c:v>0</c:v>
                      </c:pt>
                      <c:pt idx="7">
                        <c:v>0</c:v>
                      </c:pt>
                      <c:pt idx="8">
                        <c:v>5000</c:v>
                      </c:pt>
                      <c:pt idx="9">
                        <c:v>17500</c:v>
                      </c:pt>
                      <c:pt idx="10">
                        <c:v>40000</c:v>
                      </c:pt>
                      <c:pt idx="11">
                        <c:v>70000</c:v>
                      </c:pt>
                      <c:pt idx="12">
                        <c:v>95000</c:v>
                      </c:pt>
                      <c:pt idx="13">
                        <c:v>100000</c:v>
                      </c:pt>
                      <c:pt idx="14">
                        <c:v>100000</c:v>
                      </c:pt>
                      <c:pt idx="15">
                        <c:v>100000</c:v>
                      </c:pt>
                      <c:pt idx="16">
                        <c:v>100000</c:v>
                      </c:pt>
                      <c:pt idx="17">
                        <c:v>100000</c:v>
                      </c:pt>
                    </c:numCache>
                  </c:numRef>
                </c:val>
                <c:smooth val="0"/>
                <c:extLst xmlns:c15="http://schemas.microsoft.com/office/drawing/2012/chart">
                  <c:ext xmlns:c16="http://schemas.microsoft.com/office/drawing/2014/chart" uri="{C3380CC4-5D6E-409C-BE32-E72D297353CC}">
                    <c16:uniqueId val="{00000009-8461-4E65-AB69-CB052534398B}"/>
                  </c:ext>
                </c:extLst>
              </c15:ser>
            </c15:filteredLineSeries>
            <c15:filteredLineSeries>
              <c15:ser>
                <c:idx val="10"/>
                <c:order val="10"/>
                <c:tx>
                  <c:strRef>
                    <c:extLst xmlns:c15="http://schemas.microsoft.com/office/drawing/2012/chart">
                      <c:ext xmlns:c15="http://schemas.microsoft.com/office/drawing/2012/chart" uri="{02D57815-91ED-43cb-92C2-25804820EDAC}">
                        <c15:formulaRef>
                          <c15:sqref>'6. Summary Tracking Sheet'!$CH$3</c15:sqref>
                        </c15:formulaRef>
                      </c:ext>
                    </c:extLst>
                    <c:strCache>
                      <c:ptCount val="1"/>
                      <c:pt idx="0">
                        <c:v>ReadyForIntegration_BL(SUM)</c:v>
                      </c:pt>
                    </c:strCache>
                  </c:strRef>
                </c:tx>
                <c:spPr>
                  <a:ln w="22225" cap="rnd">
                    <a:solidFill>
                      <a:schemeClr val="accent5">
                        <a:lumMod val="60000"/>
                      </a:schemeClr>
                    </a:solidFill>
                    <a:round/>
                  </a:ln>
                  <a:effectLst/>
                </c:spPr>
                <c:marker>
                  <c:symbol val="none"/>
                </c:marker>
                <c:val>
                  <c:numRef>
                    <c:extLst>
                      <c:ext xmlns:c15="http://schemas.microsoft.com/office/drawing/2012/chart" uri="{02D57815-91ED-43cb-92C2-25804820EDAC}">
                        <c15:fullRef>
                          <c15:sqref>'6. Summary Tracking Sheet'!$CJ$4:$CJ$44</c15:sqref>
                        </c15:fullRef>
                        <c15:formulaRef>
                          <c15:sqref>'6. Summary Tracking Sheet'!$CJ$23:$CJ$40</c15:sqref>
                        </c15:formulaRef>
                      </c:ext>
                    </c:extLst>
                    <c:numCache>
                      <c:formatCode>0;\-0;\-;@</c:formatCode>
                      <c:ptCount val="18"/>
                      <c:pt idx="0">
                        <c:v>0</c:v>
                      </c:pt>
                      <c:pt idx="1">
                        <c:v>0</c:v>
                      </c:pt>
                      <c:pt idx="2">
                        <c:v>0</c:v>
                      </c:pt>
                      <c:pt idx="3">
                        <c:v>0</c:v>
                      </c:pt>
                      <c:pt idx="4">
                        <c:v>0</c:v>
                      </c:pt>
                      <c:pt idx="5">
                        <c:v>0</c:v>
                      </c:pt>
                      <c:pt idx="6">
                        <c:v>0</c:v>
                      </c:pt>
                      <c:pt idx="7">
                        <c:v>0</c:v>
                      </c:pt>
                      <c:pt idx="8">
                        <c:v>2</c:v>
                      </c:pt>
                      <c:pt idx="9">
                        <c:v>7</c:v>
                      </c:pt>
                      <c:pt idx="10">
                        <c:v>16</c:v>
                      </c:pt>
                      <c:pt idx="11">
                        <c:v>28</c:v>
                      </c:pt>
                      <c:pt idx="12">
                        <c:v>38</c:v>
                      </c:pt>
                      <c:pt idx="13">
                        <c:v>40</c:v>
                      </c:pt>
                      <c:pt idx="14">
                        <c:v>40</c:v>
                      </c:pt>
                      <c:pt idx="15">
                        <c:v>40</c:v>
                      </c:pt>
                      <c:pt idx="16">
                        <c:v>40</c:v>
                      </c:pt>
                      <c:pt idx="17">
                        <c:v>40</c:v>
                      </c:pt>
                    </c:numCache>
                  </c:numRef>
                </c:val>
                <c:smooth val="0"/>
                <c:extLst xmlns:c15="http://schemas.microsoft.com/office/drawing/2012/chart">
                  <c:ext xmlns:c16="http://schemas.microsoft.com/office/drawing/2014/chart" uri="{C3380CC4-5D6E-409C-BE32-E72D297353CC}">
                    <c16:uniqueId val="{0000000A-8461-4E65-AB69-CB052534398B}"/>
                  </c:ext>
                </c:extLst>
              </c15:ser>
            </c15:filteredLineSeries>
            <c15:filteredLineSeries>
              <c15:ser>
                <c:idx val="11"/>
                <c:order val="11"/>
                <c:tx>
                  <c:strRef>
                    <c:extLst xmlns:c15="http://schemas.microsoft.com/office/drawing/2012/chart">
                      <c:ext xmlns:c15="http://schemas.microsoft.com/office/drawing/2012/chart" uri="{02D57815-91ED-43cb-92C2-25804820EDAC}">
                        <c15:formulaRef>
                          <c15:sqref>'6. Summary Tracking Sheet'!$CJ$3</c15:sqref>
                        </c15:formulaRef>
                      </c:ext>
                    </c:extLst>
                    <c:strCache>
                      <c:ptCount val="1"/>
                      <c:pt idx="0">
                        <c:v>ReadyForIntegration_AC(SUM)</c:v>
                      </c:pt>
                    </c:strCache>
                  </c:strRef>
                </c:tx>
                <c:spPr>
                  <a:ln w="22225" cap="rnd">
                    <a:solidFill>
                      <a:schemeClr val="accent6">
                        <a:lumMod val="60000"/>
                      </a:schemeClr>
                    </a:solidFill>
                    <a:round/>
                  </a:ln>
                  <a:effectLst/>
                </c:spPr>
                <c:marker>
                  <c:symbol val="none"/>
                </c:marker>
                <c:val>
                  <c:numRef>
                    <c:extLst>
                      <c:ext xmlns:c15="http://schemas.microsoft.com/office/drawing/2012/chart" uri="{02D57815-91ED-43cb-92C2-25804820EDAC}">
                        <c15:fullRef>
                          <c15:sqref>'6. Summary Tracking Sheet'!$CL$4:$CL$44</c15:sqref>
                        </c15:fullRef>
                        <c15:formulaRef>
                          <c15:sqref>'6. Summary Tracking Sheet'!$CL$23:$CL$40</c15:sqref>
                        </c15:formulaRef>
                      </c:ext>
                    </c:extLst>
                    <c:numCache>
                      <c:formatCode>0;\-0;\-;@</c:formatCode>
                      <c:ptCount val="18"/>
                      <c:pt idx="0">
                        <c:v>0</c:v>
                      </c:pt>
                      <c:pt idx="1">
                        <c:v>0</c:v>
                      </c:pt>
                      <c:pt idx="2">
                        <c:v>0</c:v>
                      </c:pt>
                      <c:pt idx="3">
                        <c:v>0</c:v>
                      </c:pt>
                      <c:pt idx="4">
                        <c:v>0</c:v>
                      </c:pt>
                      <c:pt idx="5">
                        <c:v>0</c:v>
                      </c:pt>
                      <c:pt idx="6">
                        <c:v>0</c:v>
                      </c:pt>
                      <c:pt idx="7">
                        <c:v>0</c:v>
                      </c:pt>
                      <c:pt idx="8">
                        <c:v>500</c:v>
                      </c:pt>
                      <c:pt idx="9">
                        <c:v>3000</c:v>
                      </c:pt>
                      <c:pt idx="10">
                        <c:v>5000</c:v>
                      </c:pt>
                      <c:pt idx="11">
                        <c:v>10500</c:v>
                      </c:pt>
                      <c:pt idx="12">
                        <c:v>14000</c:v>
                      </c:pt>
                      <c:pt idx="13">
                        <c:v>15000</c:v>
                      </c:pt>
                      <c:pt idx="14">
                        <c:v>15000</c:v>
                      </c:pt>
                      <c:pt idx="15">
                        <c:v>15000</c:v>
                      </c:pt>
                      <c:pt idx="16">
                        <c:v>15000</c:v>
                      </c:pt>
                      <c:pt idx="17">
                        <c:v>15000</c:v>
                      </c:pt>
                    </c:numCache>
                  </c:numRef>
                </c:val>
                <c:smooth val="0"/>
                <c:extLst xmlns:c15="http://schemas.microsoft.com/office/drawing/2012/chart">
                  <c:ext xmlns:c16="http://schemas.microsoft.com/office/drawing/2014/chart" uri="{C3380CC4-5D6E-409C-BE32-E72D297353CC}">
                    <c16:uniqueId val="{0000000B-8461-4E65-AB69-CB052534398B}"/>
                  </c:ext>
                </c:extLst>
              </c15:ser>
            </c15:filteredLineSeries>
            <c15:filteredLineSeries>
              <c15:ser>
                <c:idx val="12"/>
                <c:order val="12"/>
                <c:tx>
                  <c:strRef>
                    <c:extLst xmlns:c15="http://schemas.microsoft.com/office/drawing/2012/chart">
                      <c:ext xmlns:c15="http://schemas.microsoft.com/office/drawing/2012/chart" uri="{02D57815-91ED-43cb-92C2-25804820EDAC}">
                        <c15:formulaRef>
                          <c15:sqref>'6. Summary Tracking Sheet'!$CR$3</c15:sqref>
                        </c15:formulaRef>
                      </c:ext>
                    </c:extLst>
                    <c:strCache>
                      <c:ptCount val="1"/>
                      <c:pt idx="0">
                        <c:v>SiteOnAir_BL(SUM)</c:v>
                      </c:pt>
                    </c:strCache>
                  </c:strRef>
                </c:tx>
                <c:spPr>
                  <a:ln w="22225" cap="rnd">
                    <a:solidFill>
                      <a:schemeClr val="accent1">
                        <a:lumMod val="80000"/>
                        <a:lumOff val="20000"/>
                      </a:schemeClr>
                    </a:solidFill>
                    <a:round/>
                  </a:ln>
                  <a:effectLst/>
                </c:spPr>
                <c:marker>
                  <c:symbol val="none"/>
                </c:marker>
                <c:val>
                  <c:numRef>
                    <c:extLst>
                      <c:ext xmlns:c15="http://schemas.microsoft.com/office/drawing/2012/chart" uri="{02D57815-91ED-43cb-92C2-25804820EDAC}">
                        <c15:fullRef>
                          <c15:sqref>'6. Summary Tracking Sheet'!$CT$4:$CT$44</c15:sqref>
                        </c15:fullRef>
                        <c15:formulaRef>
                          <c15:sqref>'6. Summary Tracking Sheet'!$CT$23:$CT$40</c15:sqref>
                        </c15:formulaRef>
                      </c:ext>
                    </c:extLst>
                    <c:numCache>
                      <c:formatCode>0;\-0;\-;@</c:formatCode>
                      <c:ptCount val="18"/>
                      <c:pt idx="0">
                        <c:v>0</c:v>
                      </c:pt>
                      <c:pt idx="1">
                        <c:v>0</c:v>
                      </c:pt>
                      <c:pt idx="2">
                        <c:v>0</c:v>
                      </c:pt>
                      <c:pt idx="3">
                        <c:v>0</c:v>
                      </c:pt>
                      <c:pt idx="4">
                        <c:v>0</c:v>
                      </c:pt>
                      <c:pt idx="5">
                        <c:v>0</c:v>
                      </c:pt>
                      <c:pt idx="6">
                        <c:v>0</c:v>
                      </c:pt>
                      <c:pt idx="7">
                        <c:v>0</c:v>
                      </c:pt>
                      <c:pt idx="8">
                        <c:v>1</c:v>
                      </c:pt>
                      <c:pt idx="9">
                        <c:v>6</c:v>
                      </c:pt>
                      <c:pt idx="10">
                        <c:v>10</c:v>
                      </c:pt>
                      <c:pt idx="11">
                        <c:v>21</c:v>
                      </c:pt>
                      <c:pt idx="12">
                        <c:v>28</c:v>
                      </c:pt>
                      <c:pt idx="13">
                        <c:v>30</c:v>
                      </c:pt>
                      <c:pt idx="14">
                        <c:v>30</c:v>
                      </c:pt>
                      <c:pt idx="15">
                        <c:v>30</c:v>
                      </c:pt>
                      <c:pt idx="16">
                        <c:v>30</c:v>
                      </c:pt>
                      <c:pt idx="17">
                        <c:v>30</c:v>
                      </c:pt>
                    </c:numCache>
                  </c:numRef>
                </c:val>
                <c:smooth val="0"/>
                <c:extLst xmlns:c15="http://schemas.microsoft.com/office/drawing/2012/chart">
                  <c:ext xmlns:c16="http://schemas.microsoft.com/office/drawing/2014/chart" uri="{C3380CC4-5D6E-409C-BE32-E72D297353CC}">
                    <c16:uniqueId val="{0000000C-8461-4E65-AB69-CB052534398B}"/>
                  </c:ext>
                </c:extLst>
              </c15:ser>
            </c15:filteredLineSeries>
            <c15:filteredLineSeries>
              <c15:ser>
                <c:idx val="13"/>
                <c:order val="13"/>
                <c:tx>
                  <c:strRef>
                    <c:extLst xmlns:c15="http://schemas.microsoft.com/office/drawing/2012/chart">
                      <c:ext xmlns:c15="http://schemas.microsoft.com/office/drawing/2012/chart" uri="{02D57815-91ED-43cb-92C2-25804820EDAC}">
                        <c15:formulaRef>
                          <c15:sqref>'6. Summary Tracking Sheet'!$CT$3</c15:sqref>
                        </c15:formulaRef>
                      </c:ext>
                    </c:extLst>
                    <c:strCache>
                      <c:ptCount val="1"/>
                      <c:pt idx="0">
                        <c:v>SiteOnAir_AC(SUM)</c:v>
                      </c:pt>
                    </c:strCache>
                  </c:strRef>
                </c:tx>
                <c:spPr>
                  <a:ln w="22225" cap="rnd">
                    <a:solidFill>
                      <a:schemeClr val="accent2">
                        <a:lumMod val="80000"/>
                        <a:lumOff val="20000"/>
                      </a:schemeClr>
                    </a:solidFill>
                    <a:round/>
                  </a:ln>
                  <a:effectLst/>
                </c:spPr>
                <c:marker>
                  <c:symbol val="none"/>
                </c:marker>
                <c:val>
                  <c:numRef>
                    <c:extLst>
                      <c:ext xmlns:c15="http://schemas.microsoft.com/office/drawing/2012/chart" uri="{02D57815-91ED-43cb-92C2-25804820EDAC}">
                        <c15:fullRef>
                          <c15:sqref>'6. Summary Tracking Sheet'!$CV$4:$CV$44</c15:sqref>
                        </c15:fullRef>
                        <c15:formulaRef>
                          <c15:sqref>'6. Summary Tracking Sheet'!$CV$23:$CV$40</c15:sqref>
                        </c15:formulaRef>
                      </c:ext>
                    </c:extLst>
                    <c:numCache>
                      <c:formatCode>0;\-0;\-;@</c:formatCode>
                      <c:ptCount val="18"/>
                      <c:pt idx="0">
                        <c:v>0</c:v>
                      </c:pt>
                      <c:pt idx="1">
                        <c:v>0</c:v>
                      </c:pt>
                      <c:pt idx="2">
                        <c:v>0</c:v>
                      </c:pt>
                      <c:pt idx="3">
                        <c:v>0</c:v>
                      </c:pt>
                      <c:pt idx="4">
                        <c:v>0</c:v>
                      </c:pt>
                      <c:pt idx="5">
                        <c:v>0</c:v>
                      </c:pt>
                      <c:pt idx="6">
                        <c:v>0</c:v>
                      </c:pt>
                      <c:pt idx="7">
                        <c:v>0</c:v>
                      </c:pt>
                      <c:pt idx="8">
                        <c:v>0</c:v>
                      </c:pt>
                      <c:pt idx="9">
                        <c:v>500</c:v>
                      </c:pt>
                      <c:pt idx="10">
                        <c:v>1250</c:v>
                      </c:pt>
                      <c:pt idx="11">
                        <c:v>3750</c:v>
                      </c:pt>
                      <c:pt idx="12">
                        <c:v>4750</c:v>
                      </c:pt>
                      <c:pt idx="13">
                        <c:v>5000</c:v>
                      </c:pt>
                      <c:pt idx="14">
                        <c:v>5000</c:v>
                      </c:pt>
                      <c:pt idx="15">
                        <c:v>5000</c:v>
                      </c:pt>
                      <c:pt idx="16">
                        <c:v>5000</c:v>
                      </c:pt>
                      <c:pt idx="17">
                        <c:v>5000</c:v>
                      </c:pt>
                    </c:numCache>
                  </c:numRef>
                </c:val>
                <c:smooth val="0"/>
                <c:extLst xmlns:c15="http://schemas.microsoft.com/office/drawing/2012/chart">
                  <c:ext xmlns:c16="http://schemas.microsoft.com/office/drawing/2014/chart" uri="{C3380CC4-5D6E-409C-BE32-E72D297353CC}">
                    <c16:uniqueId val="{0000000D-8461-4E65-AB69-CB052534398B}"/>
                  </c:ext>
                </c:extLst>
              </c15:ser>
            </c15:filteredLineSeries>
            <c15:filteredLineSeries>
              <c15:ser>
                <c:idx val="14"/>
                <c:order val="14"/>
                <c:tx>
                  <c:strRef>
                    <c:extLst xmlns:c15="http://schemas.microsoft.com/office/drawing/2012/chart">
                      <c:ext xmlns:c15="http://schemas.microsoft.com/office/drawing/2012/chart" uri="{02D57815-91ED-43cb-92C2-25804820EDAC}">
                        <c15:formulaRef>
                          <c15:sqref>'6. Summary Tracking Sheet'!$DB$3</c15:sqref>
                        </c15:formulaRef>
                      </c:ext>
                    </c:extLst>
                    <c:strCache>
                      <c:ptCount val="1"/>
                      <c:pt idx="0">
                        <c:v>SiteAccepted_BL(SUM)</c:v>
                      </c:pt>
                    </c:strCache>
                  </c:strRef>
                </c:tx>
                <c:spPr>
                  <a:ln w="22225" cap="rnd">
                    <a:solidFill>
                      <a:schemeClr val="accent3">
                        <a:lumMod val="80000"/>
                        <a:lumOff val="20000"/>
                      </a:schemeClr>
                    </a:solidFill>
                    <a:round/>
                  </a:ln>
                  <a:effectLst/>
                </c:spPr>
                <c:marker>
                  <c:symbol val="none"/>
                </c:marker>
                <c:val>
                  <c:numRef>
                    <c:extLst>
                      <c:ext xmlns:c15="http://schemas.microsoft.com/office/drawing/2012/chart" uri="{02D57815-91ED-43cb-92C2-25804820EDAC}">
                        <c15:fullRef>
                          <c15:sqref>'6. Summary Tracking Sheet'!$DD$4:$DD$44</c15:sqref>
                        </c15:fullRef>
                        <c15:formulaRef>
                          <c15:sqref>'6. Summary Tracking Sheet'!$DD$23:$DD$40</c15:sqref>
                        </c15:formulaRef>
                      </c:ext>
                    </c:extLst>
                    <c:numCache>
                      <c:formatCode>0;\-0;\-;@</c:formatCode>
                      <c:ptCount val="18"/>
                      <c:pt idx="0">
                        <c:v>0</c:v>
                      </c:pt>
                      <c:pt idx="1">
                        <c:v>0</c:v>
                      </c:pt>
                      <c:pt idx="2">
                        <c:v>0</c:v>
                      </c:pt>
                      <c:pt idx="3">
                        <c:v>0</c:v>
                      </c:pt>
                      <c:pt idx="4">
                        <c:v>0</c:v>
                      </c:pt>
                      <c:pt idx="5">
                        <c:v>0</c:v>
                      </c:pt>
                      <c:pt idx="6">
                        <c:v>0</c:v>
                      </c:pt>
                      <c:pt idx="7">
                        <c:v>0</c:v>
                      </c:pt>
                      <c:pt idx="8">
                        <c:v>0</c:v>
                      </c:pt>
                      <c:pt idx="9">
                        <c:v>2</c:v>
                      </c:pt>
                      <c:pt idx="10">
                        <c:v>5</c:v>
                      </c:pt>
                      <c:pt idx="11">
                        <c:v>15</c:v>
                      </c:pt>
                      <c:pt idx="12">
                        <c:v>19</c:v>
                      </c:pt>
                      <c:pt idx="13">
                        <c:v>20</c:v>
                      </c:pt>
                      <c:pt idx="14">
                        <c:v>20</c:v>
                      </c:pt>
                      <c:pt idx="15">
                        <c:v>20</c:v>
                      </c:pt>
                      <c:pt idx="16">
                        <c:v>20</c:v>
                      </c:pt>
                      <c:pt idx="17">
                        <c:v>20</c:v>
                      </c:pt>
                    </c:numCache>
                  </c:numRef>
                </c:val>
                <c:smooth val="0"/>
                <c:extLst xmlns:c15="http://schemas.microsoft.com/office/drawing/2012/chart">
                  <c:ext xmlns:c16="http://schemas.microsoft.com/office/drawing/2014/chart" uri="{C3380CC4-5D6E-409C-BE32-E72D297353CC}">
                    <c16:uniqueId val="{0000000E-8461-4E65-AB69-CB052534398B}"/>
                  </c:ext>
                </c:extLst>
              </c15:ser>
            </c15:filteredLineSeries>
            <c15:filteredLineSeries>
              <c15:ser>
                <c:idx val="15"/>
                <c:order val="15"/>
                <c:tx>
                  <c:strRef>
                    <c:extLst xmlns:c15="http://schemas.microsoft.com/office/drawing/2012/chart">
                      <c:ext xmlns:c15="http://schemas.microsoft.com/office/drawing/2012/chart" uri="{02D57815-91ED-43cb-92C2-25804820EDAC}">
                        <c15:formulaRef>
                          <c15:sqref>'6. Summary Tracking Sheet'!$DD$3</c15:sqref>
                        </c15:formulaRef>
                      </c:ext>
                    </c:extLst>
                    <c:strCache>
                      <c:ptCount val="1"/>
                      <c:pt idx="0">
                        <c:v>SiteAccepted_AC(SUM)</c:v>
                      </c:pt>
                    </c:strCache>
                  </c:strRef>
                </c:tx>
                <c:spPr>
                  <a:ln w="22225" cap="rnd">
                    <a:solidFill>
                      <a:schemeClr val="accent4">
                        <a:lumMod val="80000"/>
                        <a:lumOff val="20000"/>
                      </a:schemeClr>
                    </a:solidFill>
                    <a:round/>
                  </a:ln>
                  <a:effectLst/>
                </c:spPr>
                <c:marker>
                  <c:symbol val="none"/>
                </c:marker>
                <c:val>
                  <c:numRef>
                    <c:extLst>
                      <c:ext xmlns:c15="http://schemas.microsoft.com/office/drawing/2012/chart" uri="{02D57815-91ED-43cb-92C2-25804820EDAC}">
                        <c15:fullRef>
                          <c15:sqref>'6. Summary Tracking Sheet'!$DF$4:$DF$44</c15:sqref>
                        </c15:fullRef>
                        <c15:formulaRef>
                          <c15:sqref>'6. Summary Tracking Sheet'!$DF$23:$DF$40</c15:sqref>
                        </c15:formulaRef>
                      </c:ext>
                    </c:extLst>
                    <c:numCache>
                      <c:formatCode>0;\-0;\-;@</c:formatCode>
                      <c:ptCount val="18"/>
                      <c:pt idx="0">
                        <c:v>0</c:v>
                      </c:pt>
                      <c:pt idx="1">
                        <c:v>0</c:v>
                      </c:pt>
                      <c:pt idx="2">
                        <c:v>0</c:v>
                      </c:pt>
                      <c:pt idx="3">
                        <c:v>0</c:v>
                      </c:pt>
                      <c:pt idx="4">
                        <c:v>0</c:v>
                      </c:pt>
                      <c:pt idx="5">
                        <c:v>0</c:v>
                      </c:pt>
                      <c:pt idx="6">
                        <c:v>0</c:v>
                      </c:pt>
                      <c:pt idx="7">
                        <c:v>0</c:v>
                      </c:pt>
                      <c:pt idx="8">
                        <c:v>0</c:v>
                      </c:pt>
                      <c:pt idx="9">
                        <c:v>0</c:v>
                      </c:pt>
                      <c:pt idx="10">
                        <c:v>200</c:v>
                      </c:pt>
                      <c:pt idx="11">
                        <c:v>600</c:v>
                      </c:pt>
                      <c:pt idx="12">
                        <c:v>1400</c:v>
                      </c:pt>
                      <c:pt idx="13">
                        <c:v>1800</c:v>
                      </c:pt>
                      <c:pt idx="14">
                        <c:v>2000</c:v>
                      </c:pt>
                      <c:pt idx="15">
                        <c:v>2000</c:v>
                      </c:pt>
                      <c:pt idx="16">
                        <c:v>2000</c:v>
                      </c:pt>
                      <c:pt idx="17">
                        <c:v>2000</c:v>
                      </c:pt>
                    </c:numCache>
                  </c:numRef>
                </c:val>
                <c:smooth val="0"/>
                <c:extLst xmlns:c15="http://schemas.microsoft.com/office/drawing/2012/chart">
                  <c:ext xmlns:c16="http://schemas.microsoft.com/office/drawing/2014/chart" uri="{C3380CC4-5D6E-409C-BE32-E72D297353CC}">
                    <c16:uniqueId val="{0000000F-8461-4E65-AB69-CB052534398B}"/>
                  </c:ext>
                </c:extLst>
              </c15:ser>
            </c15:filteredLineSeries>
            <c15:filteredLineSeries>
              <c15:ser>
                <c:idx val="16"/>
                <c:order val="16"/>
                <c:tx>
                  <c:strRef>
                    <c:extLst xmlns:c15="http://schemas.microsoft.com/office/drawing/2012/chart">
                      <c:ext xmlns:c15="http://schemas.microsoft.com/office/drawing/2012/chart" uri="{02D57815-91ED-43cb-92C2-25804820EDAC}">
                        <c15:formulaRef>
                          <c15:sqref>'6. Summary Tracking Sheet'!$DL$3</c15:sqref>
                        </c15:formulaRef>
                      </c:ext>
                    </c:extLst>
                    <c:strCache>
                      <c:ptCount val="1"/>
                      <c:pt idx="0">
                        <c:v>SiteInOperations_BL(SUM)</c:v>
                      </c:pt>
                    </c:strCache>
                  </c:strRef>
                </c:tx>
                <c:spPr>
                  <a:ln w="22225" cap="rnd">
                    <a:solidFill>
                      <a:schemeClr val="accent5">
                        <a:lumMod val="80000"/>
                        <a:lumOff val="20000"/>
                      </a:schemeClr>
                    </a:solidFill>
                    <a:round/>
                  </a:ln>
                  <a:effectLst/>
                </c:spPr>
                <c:marker>
                  <c:symbol val="none"/>
                </c:marker>
                <c:val>
                  <c:numRef>
                    <c:extLst>
                      <c:ext xmlns:c15="http://schemas.microsoft.com/office/drawing/2012/chart" uri="{02D57815-91ED-43cb-92C2-25804820EDAC}">
                        <c15:fullRef>
                          <c15:sqref>'6. Summary Tracking Sheet'!$DN$4:$DN$44</c15:sqref>
                        </c15:fullRef>
                        <c15:formulaRef>
                          <c15:sqref>'6. Summary Tracking Sheet'!$DN$23:$DN$40</c15:sqref>
                        </c15:formulaRef>
                      </c:ext>
                    </c:extLst>
                    <c:numCache>
                      <c:formatCode>0;\-0;\-;@</c:formatCode>
                      <c:ptCount val="18"/>
                      <c:pt idx="0">
                        <c:v>0</c:v>
                      </c:pt>
                      <c:pt idx="1">
                        <c:v>0</c:v>
                      </c:pt>
                      <c:pt idx="2">
                        <c:v>0</c:v>
                      </c:pt>
                      <c:pt idx="3">
                        <c:v>0</c:v>
                      </c:pt>
                      <c:pt idx="4">
                        <c:v>0</c:v>
                      </c:pt>
                      <c:pt idx="5">
                        <c:v>0</c:v>
                      </c:pt>
                      <c:pt idx="6">
                        <c:v>0</c:v>
                      </c:pt>
                      <c:pt idx="7">
                        <c:v>0</c:v>
                      </c:pt>
                      <c:pt idx="8">
                        <c:v>0</c:v>
                      </c:pt>
                      <c:pt idx="9">
                        <c:v>0</c:v>
                      </c:pt>
                      <c:pt idx="10">
                        <c:v>1</c:v>
                      </c:pt>
                      <c:pt idx="11">
                        <c:v>3</c:v>
                      </c:pt>
                      <c:pt idx="12">
                        <c:v>7</c:v>
                      </c:pt>
                      <c:pt idx="13">
                        <c:v>9</c:v>
                      </c:pt>
                      <c:pt idx="14">
                        <c:v>10</c:v>
                      </c:pt>
                      <c:pt idx="15">
                        <c:v>10</c:v>
                      </c:pt>
                      <c:pt idx="16">
                        <c:v>10</c:v>
                      </c:pt>
                      <c:pt idx="17">
                        <c:v>10</c:v>
                      </c:pt>
                    </c:numCache>
                  </c:numRef>
                </c:val>
                <c:smooth val="0"/>
                <c:extLst xmlns:c15="http://schemas.microsoft.com/office/drawing/2012/chart">
                  <c:ext xmlns:c16="http://schemas.microsoft.com/office/drawing/2014/chart" uri="{C3380CC4-5D6E-409C-BE32-E72D297353CC}">
                    <c16:uniqueId val="{00000010-8461-4E65-AB69-CB052534398B}"/>
                  </c:ext>
                </c:extLst>
              </c15:ser>
            </c15:filteredLineSeries>
            <c15:filteredLineSeries>
              <c15:ser>
                <c:idx val="17"/>
                <c:order val="17"/>
                <c:tx>
                  <c:strRef>
                    <c:extLst xmlns:c15="http://schemas.microsoft.com/office/drawing/2012/chart">
                      <c:ext xmlns:c15="http://schemas.microsoft.com/office/drawing/2012/chart" uri="{02D57815-91ED-43cb-92C2-25804820EDAC}">
                        <c15:formulaRef>
                          <c15:sqref>'6. Summary Tracking Sheet'!$DN$3</c15:sqref>
                        </c15:formulaRef>
                      </c:ext>
                    </c:extLst>
                    <c:strCache>
                      <c:ptCount val="1"/>
                      <c:pt idx="0">
                        <c:v>SiteInOperations_AC(SUM)</c:v>
                      </c:pt>
                    </c:strCache>
                  </c:strRef>
                </c:tx>
                <c:spPr>
                  <a:ln w="22225" cap="rnd">
                    <a:solidFill>
                      <a:schemeClr val="accent6">
                        <a:lumMod val="80000"/>
                        <a:lumOff val="20000"/>
                      </a:schemeClr>
                    </a:solidFill>
                    <a:round/>
                  </a:ln>
                  <a:effectLst/>
                </c:spPr>
                <c:marker>
                  <c:symbol val="none"/>
                </c:marker>
                <c:val>
                  <c:numRef>
                    <c:extLst>
                      <c:ext xmlns:c15="http://schemas.microsoft.com/office/drawing/2012/chart" uri="{02D57815-91ED-43cb-92C2-25804820EDAC}">
                        <c15:fullRef>
                          <c15:sqref>'6. Summary Tracking Sheet'!$DP$4:$DP$44</c15:sqref>
                        </c15:fullRef>
                        <c15:formulaRef>
                          <c15:sqref>'6. Summary Tracking Sheet'!$DP$23:$DP$40</c15:sqref>
                        </c15:formulaRef>
                      </c:ext>
                    </c:extLst>
                    <c:numCache>
                      <c:formatCode>_(* #,##0_);_(* \(#,##0\);_(* "-"??_);_(@_)</c:formatCode>
                      <c:ptCount val="18"/>
                      <c:pt idx="0">
                        <c:v>0</c:v>
                      </c:pt>
                      <c:pt idx="1">
                        <c:v>0</c:v>
                      </c:pt>
                      <c:pt idx="2">
                        <c:v>1000</c:v>
                      </c:pt>
                      <c:pt idx="3">
                        <c:v>7000</c:v>
                      </c:pt>
                      <c:pt idx="4">
                        <c:v>20350</c:v>
                      </c:pt>
                      <c:pt idx="5">
                        <c:v>44150</c:v>
                      </c:pt>
                      <c:pt idx="6">
                        <c:v>73500</c:v>
                      </c:pt>
                      <c:pt idx="7">
                        <c:v>124200</c:v>
                      </c:pt>
                      <c:pt idx="8">
                        <c:v>190800</c:v>
                      </c:pt>
                      <c:pt idx="9">
                        <c:v>279500</c:v>
                      </c:pt>
                      <c:pt idx="10">
                        <c:v>387900</c:v>
                      </c:pt>
                      <c:pt idx="11">
                        <c:v>480700</c:v>
                      </c:pt>
                      <c:pt idx="12">
                        <c:v>602700</c:v>
                      </c:pt>
                      <c:pt idx="13">
                        <c:v>686850</c:v>
                      </c:pt>
                      <c:pt idx="14">
                        <c:v>742450</c:v>
                      </c:pt>
                      <c:pt idx="15">
                        <c:v>760150</c:v>
                      </c:pt>
                      <c:pt idx="16">
                        <c:v>767200</c:v>
                      </c:pt>
                      <c:pt idx="17">
                        <c:v>770000</c:v>
                      </c:pt>
                    </c:numCache>
                  </c:numRef>
                </c:val>
                <c:smooth val="0"/>
                <c:extLst xmlns:c15="http://schemas.microsoft.com/office/drawing/2012/chart">
                  <c:ext xmlns:c16="http://schemas.microsoft.com/office/drawing/2014/chart" uri="{C3380CC4-5D6E-409C-BE32-E72D297353CC}">
                    <c16:uniqueId val="{00000011-8461-4E65-AB69-CB052534398B}"/>
                  </c:ext>
                </c:extLst>
              </c15:ser>
            </c15:filteredLineSeries>
          </c:ext>
        </c:extLst>
      </c:lineChart>
      <c:catAx>
        <c:axId val="550300207"/>
        <c:scaling>
          <c:orientation val="minMax"/>
        </c:scaling>
        <c:delete val="0"/>
        <c:axPos val="b"/>
        <c:majorGridlines>
          <c:spPr>
            <a:ln w="9525" cap="flat" cmpd="sng" algn="ctr">
              <a:solidFill>
                <a:schemeClr val="dk1">
                  <a:lumMod val="15000"/>
                  <a:lumOff val="85000"/>
                  <a:alpha val="54000"/>
                </a:schemeClr>
              </a:solidFill>
              <a:round/>
            </a:ln>
            <a:effectLst/>
          </c:spPr>
        </c:majorGridlines>
        <c:minorGridlines>
          <c:spPr>
            <a:ln w="9525" cap="flat" cmpd="sng" algn="ctr">
              <a:solidFill>
                <a:schemeClr val="dk1">
                  <a:lumMod val="15000"/>
                  <a:lumOff val="85000"/>
                  <a:alpha val="51000"/>
                </a:schemeClr>
              </a:solidFill>
              <a:round/>
            </a:ln>
            <a:effectLst/>
          </c:spPr>
        </c:minorGridlines>
        <c:title>
          <c:tx>
            <c:rich>
              <a:bodyPr rot="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r>
                  <a:rPr lang="en-US"/>
                  <a:t>Week</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endParaRPr lang="en-US"/>
            </a:p>
          </c:txPr>
        </c:title>
        <c:numFmt formatCode="General" sourceLinked="0"/>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cap="none" spc="0" normalizeH="0" baseline="0">
                <a:solidFill>
                  <a:schemeClr val="dk1">
                    <a:lumMod val="65000"/>
                    <a:lumOff val="35000"/>
                  </a:schemeClr>
                </a:solidFill>
                <a:latin typeface="+mn-lt"/>
                <a:ea typeface="+mn-ea"/>
                <a:cs typeface="+mn-cs"/>
              </a:defRPr>
            </a:pPr>
            <a:endParaRPr lang="en-US"/>
          </a:p>
        </c:txPr>
        <c:crossAx val="506817855"/>
        <c:crosses val="autoZero"/>
        <c:auto val="1"/>
        <c:lblAlgn val="ctr"/>
        <c:lblOffset val="100"/>
        <c:noMultiLvlLbl val="0"/>
      </c:catAx>
      <c:valAx>
        <c:axId val="506817855"/>
        <c:scaling>
          <c:orientation val="minMax"/>
        </c:scaling>
        <c:delete val="0"/>
        <c:axPos val="l"/>
        <c:majorGridlines>
          <c:spPr>
            <a:ln w="9525" cap="flat" cmpd="sng" algn="ctr">
              <a:solidFill>
                <a:schemeClr val="dk1">
                  <a:lumMod val="15000"/>
                  <a:lumOff val="85000"/>
                  <a:alpha val="54000"/>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r>
                  <a:rPr lang="en-US"/>
                  <a:t>Sites</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endParaRPr lang="en-US"/>
            </a:p>
          </c:txPr>
        </c:title>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crossAx val="550300207"/>
        <c:crosses val="autoZero"/>
        <c:crossBetween val="between"/>
      </c:valAx>
      <c:dTable>
        <c:showHorzBorder val="1"/>
        <c:showVertBorder val="1"/>
        <c:showOutline val="1"/>
        <c:showKeys val="1"/>
        <c:spPr>
          <a:noFill/>
          <a:ln w="9525" cap="flat" cmpd="sng" algn="ctr">
            <a:solidFill>
              <a:schemeClr val="dk1">
                <a:lumMod val="15000"/>
                <a:lumOff val="85000"/>
              </a:schemeClr>
            </a:solidFill>
            <a:round/>
          </a:ln>
          <a:effectLst/>
        </c:spPr>
        <c:txPr>
          <a:bodyPr rot="0" spcFirstLastPara="1" vertOverflow="ellipsis" vert="horz" wrap="square" anchor="ctr" anchorCtr="1"/>
          <a:lstStyle/>
          <a:p>
            <a:pPr rtl="0">
              <a:defRPr sz="800" b="0" i="0" u="none" strike="noStrike" kern="1200" baseline="0">
                <a:solidFill>
                  <a:schemeClr val="dk1">
                    <a:lumMod val="65000"/>
                    <a:lumOff val="35000"/>
                  </a:schemeClr>
                </a:solidFill>
                <a:latin typeface="+mn-lt"/>
                <a:ea typeface="+mn-ea"/>
                <a:cs typeface="+mn-cs"/>
              </a:defRPr>
            </a:pPr>
            <a:endParaRPr lang="en-US"/>
          </a:p>
        </c:txPr>
      </c:dTable>
      <c:spPr>
        <a:pattFill prst="ltDnDiag">
          <a:fgClr>
            <a:schemeClr val="dk1">
              <a:lumMod val="15000"/>
              <a:lumOff val="85000"/>
            </a:schemeClr>
          </a:fgClr>
          <a:bgClr>
            <a:schemeClr val="lt1"/>
          </a:bgClr>
        </a:patt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8"/>
          <c:order val="8"/>
          <c:tx>
            <c:strRef>
              <c:f>'6. Summary Tracking Sheet'!$BX$3</c:f>
              <c:strCache>
                <c:ptCount val="1"/>
                <c:pt idx="0">
                  <c:v>ReadyForInstallation_BL(SUM)</c:v>
                </c:pt>
              </c:strCache>
              <c:extLst xmlns:c15="http://schemas.microsoft.com/office/drawing/2012/chart"/>
            </c:strRef>
          </c:tx>
          <c:spPr>
            <a:ln w="22225" cap="rnd">
              <a:solidFill>
                <a:schemeClr val="accent3">
                  <a:lumMod val="60000"/>
                </a:schemeClr>
              </a:solidFill>
              <a:round/>
            </a:ln>
            <a:effectLst/>
          </c:spPr>
          <c:marker>
            <c:symbol val="none"/>
          </c:marker>
          <c:cat>
            <c:strLit>
              <c:ptCount val="18"/>
              <c:pt idx="0">
                <c:v>20</c:v>
              </c:pt>
              <c:pt idx="1">
                <c:v>21</c:v>
              </c:pt>
              <c:pt idx="2">
                <c:v>22</c:v>
              </c:pt>
              <c:pt idx="3">
                <c:v>23</c:v>
              </c:pt>
              <c:pt idx="4">
                <c:v>24</c:v>
              </c:pt>
              <c:pt idx="5">
                <c:v>25</c:v>
              </c:pt>
              <c:pt idx="6">
                <c:v>26</c:v>
              </c:pt>
              <c:pt idx="7">
                <c:v>27</c:v>
              </c:pt>
              <c:pt idx="8">
                <c:v>28</c:v>
              </c:pt>
              <c:pt idx="9">
                <c:v>29</c:v>
              </c:pt>
              <c:pt idx="10">
                <c:v>30</c:v>
              </c:pt>
              <c:pt idx="11">
                <c:v>31</c:v>
              </c:pt>
              <c:pt idx="12">
                <c:v>32</c:v>
              </c:pt>
              <c:pt idx="13">
                <c:v>33</c:v>
              </c:pt>
              <c:pt idx="14">
                <c:v>34</c:v>
              </c:pt>
              <c:pt idx="15">
                <c:v>35</c:v>
              </c:pt>
              <c:pt idx="16">
                <c:v>36</c:v>
              </c:pt>
              <c:pt idx="17">
                <c:v>37</c:v>
              </c:pt>
              <c:pt idx="18">
                <c:v>41</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'6. Summary Tracking Sheet'!$BX$4:$BX$43</c15:sqref>
                  </c15:fullRef>
                </c:ext>
              </c:extLst>
              <c:f>'6. Summary Tracking Sheet'!$BX$23:$BX$40</c:f>
              <c:numCache>
                <c:formatCode>0;\-0;\-;@</c:formatCode>
                <c:ptCount val="18"/>
                <c:pt idx="0">
                  <c:v>0</c:v>
                </c:pt>
                <c:pt idx="1">
                  <c:v>0</c:v>
                </c:pt>
                <c:pt idx="2">
                  <c:v>0</c:v>
                </c:pt>
                <c:pt idx="3">
                  <c:v>0</c:v>
                </c:pt>
                <c:pt idx="4">
                  <c:v>0</c:v>
                </c:pt>
                <c:pt idx="5">
                  <c:v>0</c:v>
                </c:pt>
                <c:pt idx="6">
                  <c:v>0</c:v>
                </c:pt>
                <c:pt idx="7">
                  <c:v>1</c:v>
                </c:pt>
                <c:pt idx="8">
                  <c:v>7</c:v>
                </c:pt>
                <c:pt idx="9">
                  <c:v>16</c:v>
                </c:pt>
                <c:pt idx="10">
                  <c:v>38</c:v>
                </c:pt>
                <c:pt idx="11">
                  <c:v>51</c:v>
                </c:pt>
                <c:pt idx="12">
                  <c:v>67</c:v>
                </c:pt>
                <c:pt idx="13">
                  <c:v>86</c:v>
                </c:pt>
                <c:pt idx="14">
                  <c:v>100</c:v>
                </c:pt>
                <c:pt idx="15">
                  <c:v>100</c:v>
                </c:pt>
                <c:pt idx="16">
                  <c:v>100</c:v>
                </c:pt>
                <c:pt idx="17">
                  <c:v>100</c:v>
                </c:pt>
              </c:numCache>
            </c:numRef>
          </c:val>
          <c:smooth val="0"/>
          <c:extLst>
            <c:ext xmlns:c16="http://schemas.microsoft.com/office/drawing/2014/chart" uri="{C3380CC4-5D6E-409C-BE32-E72D297353CC}">
              <c16:uniqueId val="{00000008-BD22-4253-BEFF-33922D8481FD}"/>
            </c:ext>
          </c:extLst>
        </c:ser>
        <c:ser>
          <c:idx val="9"/>
          <c:order val="9"/>
          <c:tx>
            <c:strRef>
              <c:f>'6. Summary Tracking Sheet'!$BZ$3</c:f>
              <c:strCache>
                <c:ptCount val="1"/>
                <c:pt idx="0">
                  <c:v>ReadyForInstallation_AC(SUM)</c:v>
                </c:pt>
              </c:strCache>
              <c:extLst xmlns:c15="http://schemas.microsoft.com/office/drawing/2012/chart"/>
            </c:strRef>
          </c:tx>
          <c:spPr>
            <a:ln w="22225" cap="rnd">
              <a:solidFill>
                <a:schemeClr val="accent4">
                  <a:lumMod val="60000"/>
                </a:schemeClr>
              </a:solidFill>
              <a:round/>
            </a:ln>
            <a:effectLst/>
          </c:spPr>
          <c:marker>
            <c:symbol val="none"/>
          </c:marker>
          <c:cat>
            <c:strLit>
              <c:ptCount val="18"/>
              <c:pt idx="0">
                <c:v>20</c:v>
              </c:pt>
              <c:pt idx="1">
                <c:v>21</c:v>
              </c:pt>
              <c:pt idx="2">
                <c:v>22</c:v>
              </c:pt>
              <c:pt idx="3">
                <c:v>23</c:v>
              </c:pt>
              <c:pt idx="4">
                <c:v>24</c:v>
              </c:pt>
              <c:pt idx="5">
                <c:v>25</c:v>
              </c:pt>
              <c:pt idx="6">
                <c:v>26</c:v>
              </c:pt>
              <c:pt idx="7">
                <c:v>27</c:v>
              </c:pt>
              <c:pt idx="8">
                <c:v>28</c:v>
              </c:pt>
              <c:pt idx="9">
                <c:v>29</c:v>
              </c:pt>
              <c:pt idx="10">
                <c:v>30</c:v>
              </c:pt>
              <c:pt idx="11">
                <c:v>31</c:v>
              </c:pt>
              <c:pt idx="12">
                <c:v>32</c:v>
              </c:pt>
              <c:pt idx="13">
                <c:v>33</c:v>
              </c:pt>
              <c:pt idx="14">
                <c:v>34</c:v>
              </c:pt>
              <c:pt idx="15">
                <c:v>35</c:v>
              </c:pt>
              <c:pt idx="16">
                <c:v>36</c:v>
              </c:pt>
              <c:pt idx="17">
                <c:v>37</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'6. Summary Tracking Sheet'!$BZ$4:$BZ$44</c15:sqref>
                  </c15:fullRef>
                </c:ext>
              </c:extLst>
              <c:f>'6. Summary Tracking Sheet'!$BZ$23:$BZ$40</c:f>
              <c:numCache>
                <c:formatCode>0;\-0;\-;@</c:formatCode>
                <c:ptCount val="18"/>
                <c:pt idx="0">
                  <c:v>0</c:v>
                </c:pt>
                <c:pt idx="1">
                  <c:v>0</c:v>
                </c:pt>
                <c:pt idx="2">
                  <c:v>0</c:v>
                </c:pt>
                <c:pt idx="3">
                  <c:v>0</c:v>
                </c:pt>
                <c:pt idx="4">
                  <c:v>0</c:v>
                </c:pt>
                <c:pt idx="5">
                  <c:v>0</c:v>
                </c:pt>
                <c:pt idx="6">
                  <c:v>0</c:v>
                </c:pt>
                <c:pt idx="7">
                  <c:v>1</c:v>
                </c:pt>
                <c:pt idx="8">
                  <c:v>5</c:v>
                </c:pt>
                <c:pt idx="9">
                  <c:v>12</c:v>
                </c:pt>
                <c:pt idx="10">
                  <c:v>24</c:v>
                </c:pt>
                <c:pt idx="11">
                  <c:v>38</c:v>
                </c:pt>
                <c:pt idx="12">
                  <c:v>49</c:v>
                </c:pt>
                <c:pt idx="13">
                  <c:v>51</c:v>
                </c:pt>
                <c:pt idx="14">
                  <c:v>51</c:v>
                </c:pt>
                <c:pt idx="15">
                  <c:v>51</c:v>
                </c:pt>
                <c:pt idx="16">
                  <c:v>51</c:v>
                </c:pt>
                <c:pt idx="17">
                  <c:v>51</c:v>
                </c:pt>
              </c:numCache>
            </c:numRef>
          </c:val>
          <c:smooth val="0"/>
          <c:extLst>
            <c:ext xmlns:c16="http://schemas.microsoft.com/office/drawing/2014/chart" uri="{C3380CC4-5D6E-409C-BE32-E72D297353CC}">
              <c16:uniqueId val="{00000009-BD22-4253-BEFF-33922D8481FD}"/>
            </c:ext>
          </c:extLst>
        </c:ser>
        <c:dLbls>
          <c:showLegendKey val="0"/>
          <c:showVal val="0"/>
          <c:showCatName val="0"/>
          <c:showSerName val="0"/>
          <c:showPercent val="0"/>
          <c:showBubbleSize val="0"/>
        </c:dLbls>
        <c:smooth val="0"/>
        <c:axId val="550300207"/>
        <c:axId val="506817855"/>
        <c:extLst>
          <c:ext xmlns:c15="http://schemas.microsoft.com/office/drawing/2012/chart" uri="{02D57815-91ED-43cb-92C2-25804820EDAC}">
            <c15:filteredLineSeries>
              <c15:ser>
                <c:idx val="1"/>
                <c:order val="0"/>
                <c:tx>
                  <c:strRef>
                    <c:extLst>
                      <c:ext uri="{02D57815-91ED-43cb-92C2-25804820EDAC}">
                        <c15:formulaRef>
                          <c15:sqref>'6. Summary Tracking Sheet'!$P$3</c15:sqref>
                        </c15:formulaRef>
                      </c:ext>
                    </c:extLst>
                    <c:strCache>
                      <c:ptCount val="1"/>
                      <c:pt idx="0">
                        <c:v>SiteDesignReady_BL(SUM)</c:v>
                      </c:pt>
                    </c:strCache>
                  </c:strRef>
                </c:tx>
                <c:spPr>
                  <a:ln w="22225" cap="rnd">
                    <a:solidFill>
                      <a:schemeClr val="accent2"/>
                    </a:solidFill>
                    <a:round/>
                  </a:ln>
                  <a:effectLst/>
                </c:spPr>
                <c:marker>
                  <c:symbol val="none"/>
                </c:marker>
                <c:val>
                  <c:numRef>
                    <c:extLst>
                      <c:ext uri="{02D57815-91ED-43cb-92C2-25804820EDAC}">
                        <c15:fullRef>
                          <c15:sqref>'6. Summary Tracking Sheet'!$P$4:$P$44</c15:sqref>
                        </c15:fullRef>
                        <c15:formulaRef>
                          <c15:sqref>'6. Summary Tracking Sheet'!$P$23:$P$40</c15:sqref>
                        </c15:formulaRef>
                      </c:ext>
                    </c:extLst>
                    <c:numCache>
                      <c:formatCode>0;\-0;\-;@</c:formatCode>
                      <c:ptCount val="18"/>
                      <c:pt idx="0">
                        <c:v>0</c:v>
                      </c:pt>
                      <c:pt idx="1">
                        <c:v>0</c:v>
                      </c:pt>
                      <c:pt idx="2">
                        <c:v>1</c:v>
                      </c:pt>
                      <c:pt idx="3">
                        <c:v>7</c:v>
                      </c:pt>
                      <c:pt idx="4">
                        <c:v>16</c:v>
                      </c:pt>
                      <c:pt idx="5">
                        <c:v>38</c:v>
                      </c:pt>
                      <c:pt idx="6">
                        <c:v>51</c:v>
                      </c:pt>
                      <c:pt idx="7">
                        <c:v>67</c:v>
                      </c:pt>
                      <c:pt idx="8">
                        <c:v>86</c:v>
                      </c:pt>
                      <c:pt idx="9">
                        <c:v>100</c:v>
                      </c:pt>
                      <c:pt idx="10">
                        <c:v>100</c:v>
                      </c:pt>
                      <c:pt idx="11">
                        <c:v>100</c:v>
                      </c:pt>
                      <c:pt idx="12">
                        <c:v>100</c:v>
                      </c:pt>
                      <c:pt idx="13">
                        <c:v>100</c:v>
                      </c:pt>
                      <c:pt idx="14">
                        <c:v>100</c:v>
                      </c:pt>
                      <c:pt idx="15">
                        <c:v>100</c:v>
                      </c:pt>
                      <c:pt idx="16">
                        <c:v>100</c:v>
                      </c:pt>
                      <c:pt idx="17">
                        <c:v>100</c:v>
                      </c:pt>
                    </c:numCache>
                  </c:numRef>
                </c:val>
                <c:smooth val="0"/>
                <c:extLst>
                  <c:ext xmlns:c16="http://schemas.microsoft.com/office/drawing/2014/chart" uri="{C3380CC4-5D6E-409C-BE32-E72D297353CC}">
                    <c16:uniqueId val="{00000002-BD22-4253-BEFF-33922D8481FD}"/>
                  </c:ext>
                </c:extLst>
              </c15:ser>
            </c15:filteredLineSeries>
            <c15:filteredLineSeries>
              <c15:ser>
                <c:idx val="0"/>
                <c:order val="1"/>
                <c:tx>
                  <c:strRef>
                    <c:extLst xmlns:c15="http://schemas.microsoft.com/office/drawing/2012/chart">
                      <c:ext xmlns:c15="http://schemas.microsoft.com/office/drawing/2012/chart" uri="{02D57815-91ED-43cb-92C2-25804820EDAC}">
                        <c15:formulaRef>
                          <c15:sqref>'6. Summary Tracking Sheet'!$R$3</c15:sqref>
                        </c15:formulaRef>
                      </c:ext>
                    </c:extLst>
                    <c:strCache>
                      <c:ptCount val="1"/>
                      <c:pt idx="0">
                        <c:v>SiteDesignReady_AC(SUM)</c:v>
                      </c:pt>
                    </c:strCache>
                  </c:strRef>
                </c:tx>
                <c:spPr>
                  <a:ln w="22225" cap="rnd">
                    <a:solidFill>
                      <a:schemeClr val="accent1"/>
                    </a:solidFill>
                    <a:round/>
                  </a:ln>
                  <a:effectLst/>
                </c:spPr>
                <c:marker>
                  <c:symbol val="none"/>
                </c:marker>
                <c:val>
                  <c:numRef>
                    <c:extLst>
                      <c:ext xmlns:c15="http://schemas.microsoft.com/office/drawing/2012/chart" uri="{02D57815-91ED-43cb-92C2-25804820EDAC}">
                        <c15:fullRef>
                          <c15:sqref>'6. Summary Tracking Sheet'!$R$4:$R$44</c15:sqref>
                        </c15:fullRef>
                        <c15:formulaRef>
                          <c15:sqref>'6. Summary Tracking Sheet'!$R$23:$R$40</c15:sqref>
                        </c15:formulaRef>
                      </c:ext>
                    </c:extLst>
                    <c:numCache>
                      <c:formatCode>0;\-0;\-;@</c:formatCode>
                      <c:ptCount val="18"/>
                      <c:pt idx="0">
                        <c:v>0</c:v>
                      </c:pt>
                      <c:pt idx="1">
                        <c:v>0</c:v>
                      </c:pt>
                      <c:pt idx="2">
                        <c:v>1</c:v>
                      </c:pt>
                      <c:pt idx="3">
                        <c:v>7</c:v>
                      </c:pt>
                      <c:pt idx="4">
                        <c:v>16</c:v>
                      </c:pt>
                      <c:pt idx="5">
                        <c:v>27</c:v>
                      </c:pt>
                      <c:pt idx="6">
                        <c:v>40</c:v>
                      </c:pt>
                      <c:pt idx="7">
                        <c:v>66</c:v>
                      </c:pt>
                      <c:pt idx="8">
                        <c:v>85</c:v>
                      </c:pt>
                      <c:pt idx="9">
                        <c:v>90</c:v>
                      </c:pt>
                      <c:pt idx="10">
                        <c:v>90</c:v>
                      </c:pt>
                      <c:pt idx="11">
                        <c:v>90</c:v>
                      </c:pt>
                      <c:pt idx="12">
                        <c:v>90</c:v>
                      </c:pt>
                      <c:pt idx="13">
                        <c:v>90</c:v>
                      </c:pt>
                      <c:pt idx="14">
                        <c:v>90</c:v>
                      </c:pt>
                      <c:pt idx="15">
                        <c:v>90</c:v>
                      </c:pt>
                      <c:pt idx="16">
                        <c:v>90</c:v>
                      </c:pt>
                      <c:pt idx="17">
                        <c:v>90</c:v>
                      </c:pt>
                    </c:numCache>
                  </c:numRef>
                </c:val>
                <c:smooth val="0"/>
                <c:extLst xmlns:c15="http://schemas.microsoft.com/office/drawing/2012/chart">
                  <c:ext xmlns:c16="http://schemas.microsoft.com/office/drawing/2014/chart" uri="{C3380CC4-5D6E-409C-BE32-E72D297353CC}">
                    <c16:uniqueId val="{00000003-BD22-4253-BEFF-33922D8481FD}"/>
                  </c:ext>
                </c:extLst>
              </c15:ser>
            </c15:filteredLineSeries>
            <c15:filteredLineSeries>
              <c15:ser>
                <c:idx val="2"/>
                <c:order val="2"/>
                <c:tx>
                  <c:strRef>
                    <c:extLst xmlns:c15="http://schemas.microsoft.com/office/drawing/2012/chart">
                      <c:ext xmlns:c15="http://schemas.microsoft.com/office/drawing/2012/chart" uri="{02D57815-91ED-43cb-92C2-25804820EDAC}">
                        <c15:formulaRef>
                          <c15:sqref>'6. Summary Tracking Sheet'!$AT$3</c15:sqref>
                        </c15:formulaRef>
                      </c:ext>
                    </c:extLst>
                    <c:strCache>
                      <c:ptCount val="1"/>
                      <c:pt idx="0">
                        <c:v>ReadyForCW_BL(SUM)</c:v>
                      </c:pt>
                    </c:strCache>
                  </c:strRef>
                </c:tx>
                <c:spPr>
                  <a:ln w="22225" cap="rnd">
                    <a:solidFill>
                      <a:schemeClr val="accent3"/>
                    </a:solidFill>
                    <a:round/>
                  </a:ln>
                  <a:effectLst/>
                </c:spPr>
                <c:marker>
                  <c:symbol val="none"/>
                </c:marker>
                <c:val>
                  <c:numRef>
                    <c:extLst>
                      <c:ext xmlns:c15="http://schemas.microsoft.com/office/drawing/2012/chart" uri="{02D57815-91ED-43cb-92C2-25804820EDAC}">
                        <c15:fullRef>
                          <c15:sqref>'6. Summary Tracking Sheet'!$AV$4:$AV$44</c15:sqref>
                        </c15:fullRef>
                        <c15:formulaRef>
                          <c15:sqref>'6. Summary Tracking Sheet'!$AV$23:$AV$40</c15:sqref>
                        </c15:formulaRef>
                      </c:ext>
                    </c:extLst>
                    <c:numCache>
                      <c:formatCode>0;\-0;\-;@</c:formatCode>
                      <c:ptCount val="18"/>
                      <c:pt idx="0">
                        <c:v>0</c:v>
                      </c:pt>
                      <c:pt idx="1">
                        <c:v>0</c:v>
                      </c:pt>
                      <c:pt idx="2">
                        <c:v>0</c:v>
                      </c:pt>
                      <c:pt idx="3">
                        <c:v>0</c:v>
                      </c:pt>
                      <c:pt idx="4">
                        <c:v>1</c:v>
                      </c:pt>
                      <c:pt idx="5">
                        <c:v>5</c:v>
                      </c:pt>
                      <c:pt idx="6">
                        <c:v>15</c:v>
                      </c:pt>
                      <c:pt idx="7">
                        <c:v>25</c:v>
                      </c:pt>
                      <c:pt idx="8">
                        <c:v>38</c:v>
                      </c:pt>
                      <c:pt idx="9">
                        <c:v>61</c:v>
                      </c:pt>
                      <c:pt idx="10">
                        <c:v>71</c:v>
                      </c:pt>
                      <c:pt idx="11">
                        <c:v>80</c:v>
                      </c:pt>
                      <c:pt idx="12">
                        <c:v>80</c:v>
                      </c:pt>
                      <c:pt idx="13">
                        <c:v>80</c:v>
                      </c:pt>
                      <c:pt idx="14">
                        <c:v>80</c:v>
                      </c:pt>
                      <c:pt idx="15">
                        <c:v>80</c:v>
                      </c:pt>
                      <c:pt idx="16">
                        <c:v>80</c:v>
                      </c:pt>
                      <c:pt idx="17">
                        <c:v>80</c:v>
                      </c:pt>
                    </c:numCache>
                  </c:numRef>
                </c:val>
                <c:smooth val="0"/>
                <c:extLst xmlns:c15="http://schemas.microsoft.com/office/drawing/2012/chart">
                  <c:ext xmlns:c16="http://schemas.microsoft.com/office/drawing/2014/chart" uri="{C3380CC4-5D6E-409C-BE32-E72D297353CC}">
                    <c16:uniqueId val="{00000004-BD22-4253-BEFF-33922D8481FD}"/>
                  </c:ext>
                </c:extLst>
              </c15:ser>
            </c15:filteredLineSeries>
            <c15:filteredLineSeries>
              <c15:ser>
                <c:idx val="3"/>
                <c:order val="3"/>
                <c:tx>
                  <c:strRef>
                    <c:extLst xmlns:c15="http://schemas.microsoft.com/office/drawing/2012/chart">
                      <c:ext xmlns:c15="http://schemas.microsoft.com/office/drawing/2012/chart" uri="{02D57815-91ED-43cb-92C2-25804820EDAC}">
                        <c15:formulaRef>
                          <c15:sqref>'6. Summary Tracking Sheet'!$AV$3</c15:sqref>
                        </c15:formulaRef>
                      </c:ext>
                    </c:extLst>
                    <c:strCache>
                      <c:ptCount val="1"/>
                      <c:pt idx="0">
                        <c:v>ReadyForCW_AC(SUM)</c:v>
                      </c:pt>
                    </c:strCache>
                  </c:strRef>
                </c:tx>
                <c:spPr>
                  <a:ln w="22225" cap="rnd">
                    <a:solidFill>
                      <a:schemeClr val="accent4"/>
                    </a:solidFill>
                    <a:round/>
                  </a:ln>
                  <a:effectLst/>
                </c:spPr>
                <c:marker>
                  <c:symbol val="none"/>
                </c:marker>
                <c:val>
                  <c:numRef>
                    <c:extLst>
                      <c:ext xmlns:c15="http://schemas.microsoft.com/office/drawing/2012/chart" uri="{02D57815-91ED-43cb-92C2-25804820EDAC}">
                        <c15:fullRef>
                          <c15:sqref>'6. Summary Tracking Sheet'!$AX$4:$AX$44</c15:sqref>
                        </c15:fullRef>
                        <c15:formulaRef>
                          <c15:sqref>'6. Summary Tracking Sheet'!$AX$23:$AX$40</c15:sqref>
                        </c15:formulaRef>
                      </c:ext>
                    </c:extLst>
                    <c:numCache>
                      <c:formatCode>0;\-0;\-;@</c:formatCode>
                      <c:ptCount val="18"/>
                      <c:pt idx="0">
                        <c:v>0</c:v>
                      </c:pt>
                      <c:pt idx="1">
                        <c:v>0</c:v>
                      </c:pt>
                      <c:pt idx="2">
                        <c:v>0</c:v>
                      </c:pt>
                      <c:pt idx="3">
                        <c:v>0</c:v>
                      </c:pt>
                      <c:pt idx="4">
                        <c:v>0</c:v>
                      </c:pt>
                      <c:pt idx="5">
                        <c:v>1500</c:v>
                      </c:pt>
                      <c:pt idx="6">
                        <c:v>9000</c:v>
                      </c:pt>
                      <c:pt idx="7">
                        <c:v>15000</c:v>
                      </c:pt>
                      <c:pt idx="8">
                        <c:v>33000</c:v>
                      </c:pt>
                      <c:pt idx="9">
                        <c:v>52500</c:v>
                      </c:pt>
                      <c:pt idx="10">
                        <c:v>78000</c:v>
                      </c:pt>
                      <c:pt idx="11">
                        <c:v>100500</c:v>
                      </c:pt>
                      <c:pt idx="12">
                        <c:v>105000</c:v>
                      </c:pt>
                      <c:pt idx="13">
                        <c:v>105000</c:v>
                      </c:pt>
                      <c:pt idx="14">
                        <c:v>105000</c:v>
                      </c:pt>
                      <c:pt idx="15">
                        <c:v>105000</c:v>
                      </c:pt>
                      <c:pt idx="16">
                        <c:v>105000</c:v>
                      </c:pt>
                      <c:pt idx="17">
                        <c:v>105000</c:v>
                      </c:pt>
                    </c:numCache>
                  </c:numRef>
                </c:val>
                <c:smooth val="0"/>
                <c:extLst xmlns:c15="http://schemas.microsoft.com/office/drawing/2012/chart">
                  <c:ext xmlns:c16="http://schemas.microsoft.com/office/drawing/2014/chart" uri="{C3380CC4-5D6E-409C-BE32-E72D297353CC}">
                    <c16:uniqueId val="{00000005-BD22-4253-BEFF-33922D8481FD}"/>
                  </c:ext>
                </c:extLst>
              </c15:ser>
            </c15:filteredLineSeries>
            <c15:filteredLineSeries>
              <c15:ser>
                <c:idx val="4"/>
                <c:order val="4"/>
                <c:tx>
                  <c:strRef>
                    <c:extLst xmlns:c15="http://schemas.microsoft.com/office/drawing/2012/chart">
                      <c:ext xmlns:c15="http://schemas.microsoft.com/office/drawing/2012/chart" uri="{02D57815-91ED-43cb-92C2-25804820EDAC}">
                        <c15:formulaRef>
                          <c15:sqref>'6. Summary Tracking Sheet'!$BD$3</c15:sqref>
                        </c15:formulaRef>
                      </c:ext>
                    </c:extLst>
                    <c:strCache>
                      <c:ptCount val="1"/>
                      <c:pt idx="0">
                        <c:v>ReadyForPower_BL(SUM)</c:v>
                      </c:pt>
                    </c:strCache>
                  </c:strRef>
                </c:tx>
                <c:spPr>
                  <a:ln w="22225" cap="rnd">
                    <a:solidFill>
                      <a:schemeClr val="accent5"/>
                    </a:solidFill>
                    <a:round/>
                  </a:ln>
                  <a:effectLst/>
                </c:spPr>
                <c:marker>
                  <c:symbol val="none"/>
                </c:marker>
                <c:val>
                  <c:numRef>
                    <c:extLst>
                      <c:ext xmlns:c15="http://schemas.microsoft.com/office/drawing/2012/chart" uri="{02D57815-91ED-43cb-92C2-25804820EDAC}">
                        <c15:fullRef>
                          <c15:sqref>'6. Summary Tracking Sheet'!$BF$4:$BF$44</c15:sqref>
                        </c15:fullRef>
                        <c15:formulaRef>
                          <c15:sqref>'6. Summary Tracking Sheet'!$BF$23:$BF$40</c15:sqref>
                        </c15:formulaRef>
                      </c:ext>
                    </c:extLst>
                    <c:numCache>
                      <c:formatCode>0;\-0;\-;@</c:formatCode>
                      <c:ptCount val="18"/>
                      <c:pt idx="0">
                        <c:v>0</c:v>
                      </c:pt>
                      <c:pt idx="1">
                        <c:v>0</c:v>
                      </c:pt>
                      <c:pt idx="2">
                        <c:v>0</c:v>
                      </c:pt>
                      <c:pt idx="3">
                        <c:v>0</c:v>
                      </c:pt>
                      <c:pt idx="4">
                        <c:v>0</c:v>
                      </c:pt>
                      <c:pt idx="5">
                        <c:v>1</c:v>
                      </c:pt>
                      <c:pt idx="6">
                        <c:v>6</c:v>
                      </c:pt>
                      <c:pt idx="7">
                        <c:v>10</c:v>
                      </c:pt>
                      <c:pt idx="8">
                        <c:v>22</c:v>
                      </c:pt>
                      <c:pt idx="9">
                        <c:v>35</c:v>
                      </c:pt>
                      <c:pt idx="10">
                        <c:v>52</c:v>
                      </c:pt>
                      <c:pt idx="11">
                        <c:v>67</c:v>
                      </c:pt>
                      <c:pt idx="12">
                        <c:v>70</c:v>
                      </c:pt>
                      <c:pt idx="13">
                        <c:v>70</c:v>
                      </c:pt>
                      <c:pt idx="14">
                        <c:v>70</c:v>
                      </c:pt>
                      <c:pt idx="15">
                        <c:v>70</c:v>
                      </c:pt>
                      <c:pt idx="16">
                        <c:v>70</c:v>
                      </c:pt>
                      <c:pt idx="17">
                        <c:v>70</c:v>
                      </c:pt>
                    </c:numCache>
                  </c:numRef>
                </c:val>
                <c:smooth val="0"/>
                <c:extLst xmlns:c15="http://schemas.microsoft.com/office/drawing/2012/chart">
                  <c:ext xmlns:c16="http://schemas.microsoft.com/office/drawing/2014/chart" uri="{C3380CC4-5D6E-409C-BE32-E72D297353CC}">
                    <c16:uniqueId val="{00000006-BD22-4253-BEFF-33922D8481FD}"/>
                  </c:ext>
                </c:extLst>
              </c15:ser>
            </c15:filteredLineSeries>
            <c15:filteredLineSeries>
              <c15:ser>
                <c:idx val="5"/>
                <c:order val="5"/>
                <c:tx>
                  <c:strRef>
                    <c:extLst xmlns:c15="http://schemas.microsoft.com/office/drawing/2012/chart">
                      <c:ext xmlns:c15="http://schemas.microsoft.com/office/drawing/2012/chart" uri="{02D57815-91ED-43cb-92C2-25804820EDAC}">
                        <c15:formulaRef>
                          <c15:sqref>'6. Summary Tracking Sheet'!$BF$3</c15:sqref>
                        </c15:formulaRef>
                      </c:ext>
                    </c:extLst>
                    <c:strCache>
                      <c:ptCount val="1"/>
                      <c:pt idx="0">
                        <c:v>ReadyForPower_AC(SUM)</c:v>
                      </c:pt>
                    </c:strCache>
                  </c:strRef>
                </c:tx>
                <c:spPr>
                  <a:ln w="22225" cap="rnd">
                    <a:solidFill>
                      <a:schemeClr val="accent6"/>
                    </a:solidFill>
                    <a:round/>
                  </a:ln>
                  <a:effectLst/>
                </c:spPr>
                <c:marker>
                  <c:symbol val="none"/>
                </c:marker>
                <c:val>
                  <c:numRef>
                    <c:extLst>
                      <c:ext xmlns:c15="http://schemas.microsoft.com/office/drawing/2012/chart" uri="{02D57815-91ED-43cb-92C2-25804820EDAC}">
                        <c15:fullRef>
                          <c15:sqref>'6. Summary Tracking Sheet'!$BH$4:$BH$44</c15:sqref>
                        </c15:fullRef>
                        <c15:formulaRef>
                          <c15:sqref>'6. Summary Tracking Sheet'!$BH$23:$BH$40</c15:sqref>
                        </c15:formulaRef>
                      </c:ext>
                    </c:extLst>
                    <c:numCache>
                      <c:formatCode>0;\-0;\-;@</c:formatCode>
                      <c:ptCount val="18"/>
                      <c:pt idx="0">
                        <c:v>0</c:v>
                      </c:pt>
                      <c:pt idx="1">
                        <c:v>0</c:v>
                      </c:pt>
                      <c:pt idx="2">
                        <c:v>0</c:v>
                      </c:pt>
                      <c:pt idx="3">
                        <c:v>0</c:v>
                      </c:pt>
                      <c:pt idx="4">
                        <c:v>0</c:v>
                      </c:pt>
                      <c:pt idx="5">
                        <c:v>0</c:v>
                      </c:pt>
                      <c:pt idx="6">
                        <c:v>500</c:v>
                      </c:pt>
                      <c:pt idx="7">
                        <c:v>2000</c:v>
                      </c:pt>
                      <c:pt idx="8">
                        <c:v>7500</c:v>
                      </c:pt>
                      <c:pt idx="9">
                        <c:v>12500</c:v>
                      </c:pt>
                      <c:pt idx="10">
                        <c:v>19000</c:v>
                      </c:pt>
                      <c:pt idx="11">
                        <c:v>27000</c:v>
                      </c:pt>
                      <c:pt idx="12">
                        <c:v>29500</c:v>
                      </c:pt>
                      <c:pt idx="13">
                        <c:v>30000</c:v>
                      </c:pt>
                      <c:pt idx="14">
                        <c:v>30000</c:v>
                      </c:pt>
                      <c:pt idx="15">
                        <c:v>30000</c:v>
                      </c:pt>
                      <c:pt idx="16">
                        <c:v>30000</c:v>
                      </c:pt>
                      <c:pt idx="17">
                        <c:v>30000</c:v>
                      </c:pt>
                    </c:numCache>
                  </c:numRef>
                </c:val>
                <c:smooth val="0"/>
                <c:extLst xmlns:c15="http://schemas.microsoft.com/office/drawing/2012/chart">
                  <c:ext xmlns:c16="http://schemas.microsoft.com/office/drawing/2014/chart" uri="{C3380CC4-5D6E-409C-BE32-E72D297353CC}">
                    <c16:uniqueId val="{00000007-BD22-4253-BEFF-33922D8481FD}"/>
                  </c:ext>
                </c:extLst>
              </c15:ser>
            </c15:filteredLineSeries>
            <c15:filteredLineSeries>
              <c15:ser>
                <c:idx val="6"/>
                <c:order val="6"/>
                <c:tx>
                  <c:strRef>
                    <c:extLst xmlns:c15="http://schemas.microsoft.com/office/drawing/2012/chart">
                      <c:ext xmlns:c15="http://schemas.microsoft.com/office/drawing/2012/chart" uri="{02D57815-91ED-43cb-92C2-25804820EDAC}">
                        <c15:formulaRef>
                          <c15:sqref>'6. Summary Tracking Sheet'!$BN$3</c15:sqref>
                        </c15:formulaRef>
                      </c:ext>
                    </c:extLst>
                    <c:strCache>
                      <c:ptCount val="1"/>
                      <c:pt idx="0">
                        <c:v>TXReady_BL(SUM)</c:v>
                      </c:pt>
                    </c:strCache>
                  </c:strRef>
                </c:tx>
                <c:spPr>
                  <a:ln w="22225" cap="rnd">
                    <a:solidFill>
                      <a:schemeClr val="accent1">
                        <a:lumMod val="60000"/>
                      </a:schemeClr>
                    </a:solidFill>
                    <a:round/>
                  </a:ln>
                  <a:effectLst/>
                </c:spPr>
                <c:marker>
                  <c:symbol val="none"/>
                </c:marker>
                <c:val>
                  <c:numRef>
                    <c:extLst>
                      <c:ext xmlns:c15="http://schemas.microsoft.com/office/drawing/2012/chart" uri="{02D57815-91ED-43cb-92C2-25804820EDAC}">
                        <c15:fullRef>
                          <c15:sqref>'6. Summary Tracking Sheet'!$BP$4:$BP$44</c15:sqref>
                        </c15:fullRef>
                        <c15:formulaRef>
                          <c15:sqref>'6. Summary Tracking Sheet'!$BP$23:$BP$40</c15:sqref>
                        </c15:formulaRef>
                      </c:ext>
                    </c:extLst>
                    <c:numCache>
                      <c:formatCode>0;\-0;\-;@</c:formatCode>
                      <c:ptCount val="18"/>
                      <c:pt idx="0">
                        <c:v>0</c:v>
                      </c:pt>
                      <c:pt idx="1">
                        <c:v>0</c:v>
                      </c:pt>
                      <c:pt idx="2">
                        <c:v>0</c:v>
                      </c:pt>
                      <c:pt idx="3">
                        <c:v>0</c:v>
                      </c:pt>
                      <c:pt idx="4">
                        <c:v>0</c:v>
                      </c:pt>
                      <c:pt idx="5">
                        <c:v>0</c:v>
                      </c:pt>
                      <c:pt idx="6">
                        <c:v>1</c:v>
                      </c:pt>
                      <c:pt idx="7">
                        <c:v>4</c:v>
                      </c:pt>
                      <c:pt idx="8">
                        <c:v>15</c:v>
                      </c:pt>
                      <c:pt idx="9">
                        <c:v>25</c:v>
                      </c:pt>
                      <c:pt idx="10">
                        <c:v>38</c:v>
                      </c:pt>
                      <c:pt idx="11">
                        <c:v>54</c:v>
                      </c:pt>
                      <c:pt idx="12">
                        <c:v>59</c:v>
                      </c:pt>
                      <c:pt idx="13">
                        <c:v>60</c:v>
                      </c:pt>
                      <c:pt idx="14">
                        <c:v>60</c:v>
                      </c:pt>
                      <c:pt idx="15">
                        <c:v>60</c:v>
                      </c:pt>
                      <c:pt idx="16">
                        <c:v>60</c:v>
                      </c:pt>
                      <c:pt idx="17">
                        <c:v>60</c:v>
                      </c:pt>
                    </c:numCache>
                  </c:numRef>
                </c:val>
                <c:smooth val="0"/>
                <c:extLst xmlns:c15="http://schemas.microsoft.com/office/drawing/2012/chart">
                  <c:ext xmlns:c16="http://schemas.microsoft.com/office/drawing/2014/chart" uri="{C3380CC4-5D6E-409C-BE32-E72D297353CC}">
                    <c16:uniqueId val="{00000000-BD22-4253-BEFF-33922D8481FD}"/>
                  </c:ext>
                </c:extLst>
              </c15:ser>
            </c15:filteredLineSeries>
            <c15:filteredLineSeries>
              <c15:ser>
                <c:idx val="7"/>
                <c:order val="7"/>
                <c:tx>
                  <c:strRef>
                    <c:extLst xmlns:c15="http://schemas.microsoft.com/office/drawing/2012/chart">
                      <c:ext xmlns:c15="http://schemas.microsoft.com/office/drawing/2012/chart" uri="{02D57815-91ED-43cb-92C2-25804820EDAC}">
                        <c15:formulaRef>
                          <c15:sqref>'6. Summary Tracking Sheet'!$BP$3</c15:sqref>
                        </c15:formulaRef>
                      </c:ext>
                    </c:extLst>
                    <c:strCache>
                      <c:ptCount val="1"/>
                      <c:pt idx="0">
                        <c:v>TXReady_AC(SUM)</c:v>
                      </c:pt>
                    </c:strCache>
                  </c:strRef>
                </c:tx>
                <c:spPr>
                  <a:ln w="22225" cap="rnd">
                    <a:solidFill>
                      <a:schemeClr val="accent2">
                        <a:lumMod val="60000"/>
                      </a:schemeClr>
                    </a:solidFill>
                    <a:round/>
                  </a:ln>
                  <a:effectLst/>
                </c:spPr>
                <c:marker>
                  <c:symbol val="none"/>
                </c:marker>
                <c:val>
                  <c:numRef>
                    <c:extLst>
                      <c:ext xmlns:c15="http://schemas.microsoft.com/office/drawing/2012/chart" uri="{02D57815-91ED-43cb-92C2-25804820EDAC}">
                        <c15:fullRef>
                          <c15:sqref>'6. Summary Tracking Sheet'!$BR$4:$BR$44</c15:sqref>
                        </c15:fullRef>
                        <c15:formulaRef>
                          <c15:sqref>'6. Summary Tracking Sheet'!$BR$23:$BR$40</c15:sqref>
                        </c15:formulaRef>
                      </c:ext>
                    </c:extLst>
                    <c:numCache>
                      <c:formatCode>0;\-0;\-;@</c:formatCode>
                      <c:ptCount val="18"/>
                      <c:pt idx="0">
                        <c:v>0</c:v>
                      </c:pt>
                      <c:pt idx="1">
                        <c:v>0</c:v>
                      </c:pt>
                      <c:pt idx="2">
                        <c:v>0</c:v>
                      </c:pt>
                      <c:pt idx="3">
                        <c:v>0</c:v>
                      </c:pt>
                      <c:pt idx="4">
                        <c:v>0</c:v>
                      </c:pt>
                      <c:pt idx="5">
                        <c:v>0</c:v>
                      </c:pt>
                      <c:pt idx="6">
                        <c:v>0</c:v>
                      </c:pt>
                      <c:pt idx="7">
                        <c:v>500</c:v>
                      </c:pt>
                      <c:pt idx="8">
                        <c:v>2500</c:v>
                      </c:pt>
                      <c:pt idx="9">
                        <c:v>6000</c:v>
                      </c:pt>
                      <c:pt idx="10">
                        <c:v>12000</c:v>
                      </c:pt>
                      <c:pt idx="11">
                        <c:v>19000</c:v>
                      </c:pt>
                      <c:pt idx="12">
                        <c:v>24500</c:v>
                      </c:pt>
                      <c:pt idx="13">
                        <c:v>25500</c:v>
                      </c:pt>
                      <c:pt idx="14">
                        <c:v>25500</c:v>
                      </c:pt>
                      <c:pt idx="15">
                        <c:v>25500</c:v>
                      </c:pt>
                      <c:pt idx="16">
                        <c:v>25500</c:v>
                      </c:pt>
                      <c:pt idx="17">
                        <c:v>25500</c:v>
                      </c:pt>
                    </c:numCache>
                  </c:numRef>
                </c:val>
                <c:smooth val="0"/>
                <c:extLst xmlns:c15="http://schemas.microsoft.com/office/drawing/2012/chart">
                  <c:ext xmlns:c16="http://schemas.microsoft.com/office/drawing/2014/chart" uri="{C3380CC4-5D6E-409C-BE32-E72D297353CC}">
                    <c16:uniqueId val="{00000001-BD22-4253-BEFF-33922D8481FD}"/>
                  </c:ext>
                </c:extLst>
              </c15:ser>
            </c15:filteredLineSeries>
            <c15:filteredLineSeries>
              <c15:ser>
                <c:idx val="10"/>
                <c:order val="10"/>
                <c:tx>
                  <c:strRef>
                    <c:extLst xmlns:c15="http://schemas.microsoft.com/office/drawing/2012/chart">
                      <c:ext xmlns:c15="http://schemas.microsoft.com/office/drawing/2012/chart" uri="{02D57815-91ED-43cb-92C2-25804820EDAC}">
                        <c15:formulaRef>
                          <c15:sqref>'6. Summary Tracking Sheet'!$CH$3</c15:sqref>
                        </c15:formulaRef>
                      </c:ext>
                    </c:extLst>
                    <c:strCache>
                      <c:ptCount val="1"/>
                      <c:pt idx="0">
                        <c:v>ReadyForIntegration_BL(SUM)</c:v>
                      </c:pt>
                    </c:strCache>
                  </c:strRef>
                </c:tx>
                <c:spPr>
                  <a:ln w="22225" cap="rnd">
                    <a:solidFill>
                      <a:schemeClr val="accent5">
                        <a:lumMod val="60000"/>
                      </a:schemeClr>
                    </a:solidFill>
                    <a:round/>
                  </a:ln>
                  <a:effectLst/>
                </c:spPr>
                <c:marker>
                  <c:symbol val="none"/>
                </c:marker>
                <c:val>
                  <c:numRef>
                    <c:extLst>
                      <c:ext xmlns:c15="http://schemas.microsoft.com/office/drawing/2012/chart" uri="{02D57815-91ED-43cb-92C2-25804820EDAC}">
                        <c15:fullRef>
                          <c15:sqref>'6. Summary Tracking Sheet'!$CJ$4:$CJ$44</c15:sqref>
                        </c15:fullRef>
                        <c15:formulaRef>
                          <c15:sqref>'6. Summary Tracking Sheet'!$CJ$23:$CJ$40</c15:sqref>
                        </c15:formulaRef>
                      </c:ext>
                    </c:extLst>
                    <c:numCache>
                      <c:formatCode>0;\-0;\-;@</c:formatCode>
                      <c:ptCount val="18"/>
                      <c:pt idx="0">
                        <c:v>0</c:v>
                      </c:pt>
                      <c:pt idx="1">
                        <c:v>0</c:v>
                      </c:pt>
                      <c:pt idx="2">
                        <c:v>0</c:v>
                      </c:pt>
                      <c:pt idx="3">
                        <c:v>0</c:v>
                      </c:pt>
                      <c:pt idx="4">
                        <c:v>0</c:v>
                      </c:pt>
                      <c:pt idx="5">
                        <c:v>0</c:v>
                      </c:pt>
                      <c:pt idx="6">
                        <c:v>0</c:v>
                      </c:pt>
                      <c:pt idx="7">
                        <c:v>0</c:v>
                      </c:pt>
                      <c:pt idx="8">
                        <c:v>2</c:v>
                      </c:pt>
                      <c:pt idx="9">
                        <c:v>7</c:v>
                      </c:pt>
                      <c:pt idx="10">
                        <c:v>16</c:v>
                      </c:pt>
                      <c:pt idx="11">
                        <c:v>28</c:v>
                      </c:pt>
                      <c:pt idx="12">
                        <c:v>38</c:v>
                      </c:pt>
                      <c:pt idx="13">
                        <c:v>40</c:v>
                      </c:pt>
                      <c:pt idx="14">
                        <c:v>40</c:v>
                      </c:pt>
                      <c:pt idx="15">
                        <c:v>40</c:v>
                      </c:pt>
                      <c:pt idx="16">
                        <c:v>40</c:v>
                      </c:pt>
                      <c:pt idx="17">
                        <c:v>40</c:v>
                      </c:pt>
                    </c:numCache>
                  </c:numRef>
                </c:val>
                <c:smooth val="0"/>
                <c:extLst xmlns:c15="http://schemas.microsoft.com/office/drawing/2012/chart">
                  <c:ext xmlns:c16="http://schemas.microsoft.com/office/drawing/2014/chart" uri="{C3380CC4-5D6E-409C-BE32-E72D297353CC}">
                    <c16:uniqueId val="{0000000A-BD22-4253-BEFF-33922D8481FD}"/>
                  </c:ext>
                </c:extLst>
              </c15:ser>
            </c15:filteredLineSeries>
            <c15:filteredLineSeries>
              <c15:ser>
                <c:idx val="11"/>
                <c:order val="11"/>
                <c:tx>
                  <c:strRef>
                    <c:extLst xmlns:c15="http://schemas.microsoft.com/office/drawing/2012/chart">
                      <c:ext xmlns:c15="http://schemas.microsoft.com/office/drawing/2012/chart" uri="{02D57815-91ED-43cb-92C2-25804820EDAC}">
                        <c15:formulaRef>
                          <c15:sqref>'6. Summary Tracking Sheet'!$CJ$3</c15:sqref>
                        </c15:formulaRef>
                      </c:ext>
                    </c:extLst>
                    <c:strCache>
                      <c:ptCount val="1"/>
                      <c:pt idx="0">
                        <c:v>ReadyForIntegration_AC(SUM)</c:v>
                      </c:pt>
                    </c:strCache>
                  </c:strRef>
                </c:tx>
                <c:spPr>
                  <a:ln w="22225" cap="rnd">
                    <a:solidFill>
                      <a:schemeClr val="accent6">
                        <a:lumMod val="60000"/>
                      </a:schemeClr>
                    </a:solidFill>
                    <a:round/>
                  </a:ln>
                  <a:effectLst/>
                </c:spPr>
                <c:marker>
                  <c:symbol val="none"/>
                </c:marker>
                <c:val>
                  <c:numRef>
                    <c:extLst>
                      <c:ext xmlns:c15="http://schemas.microsoft.com/office/drawing/2012/chart" uri="{02D57815-91ED-43cb-92C2-25804820EDAC}">
                        <c15:fullRef>
                          <c15:sqref>'6. Summary Tracking Sheet'!$CL$4:$CL$44</c15:sqref>
                        </c15:fullRef>
                        <c15:formulaRef>
                          <c15:sqref>'6. Summary Tracking Sheet'!$CL$23:$CL$40</c15:sqref>
                        </c15:formulaRef>
                      </c:ext>
                    </c:extLst>
                    <c:numCache>
                      <c:formatCode>0;\-0;\-;@</c:formatCode>
                      <c:ptCount val="18"/>
                      <c:pt idx="0">
                        <c:v>0</c:v>
                      </c:pt>
                      <c:pt idx="1">
                        <c:v>0</c:v>
                      </c:pt>
                      <c:pt idx="2">
                        <c:v>0</c:v>
                      </c:pt>
                      <c:pt idx="3">
                        <c:v>0</c:v>
                      </c:pt>
                      <c:pt idx="4">
                        <c:v>0</c:v>
                      </c:pt>
                      <c:pt idx="5">
                        <c:v>0</c:v>
                      </c:pt>
                      <c:pt idx="6">
                        <c:v>0</c:v>
                      </c:pt>
                      <c:pt idx="7">
                        <c:v>0</c:v>
                      </c:pt>
                      <c:pt idx="8">
                        <c:v>500</c:v>
                      </c:pt>
                      <c:pt idx="9">
                        <c:v>3000</c:v>
                      </c:pt>
                      <c:pt idx="10">
                        <c:v>5000</c:v>
                      </c:pt>
                      <c:pt idx="11">
                        <c:v>10500</c:v>
                      </c:pt>
                      <c:pt idx="12">
                        <c:v>14000</c:v>
                      </c:pt>
                      <c:pt idx="13">
                        <c:v>15000</c:v>
                      </c:pt>
                      <c:pt idx="14">
                        <c:v>15000</c:v>
                      </c:pt>
                      <c:pt idx="15">
                        <c:v>15000</c:v>
                      </c:pt>
                      <c:pt idx="16">
                        <c:v>15000</c:v>
                      </c:pt>
                      <c:pt idx="17">
                        <c:v>15000</c:v>
                      </c:pt>
                    </c:numCache>
                  </c:numRef>
                </c:val>
                <c:smooth val="0"/>
                <c:extLst xmlns:c15="http://schemas.microsoft.com/office/drawing/2012/chart">
                  <c:ext xmlns:c16="http://schemas.microsoft.com/office/drawing/2014/chart" uri="{C3380CC4-5D6E-409C-BE32-E72D297353CC}">
                    <c16:uniqueId val="{0000000B-BD22-4253-BEFF-33922D8481FD}"/>
                  </c:ext>
                </c:extLst>
              </c15:ser>
            </c15:filteredLineSeries>
            <c15:filteredLineSeries>
              <c15:ser>
                <c:idx val="12"/>
                <c:order val="12"/>
                <c:tx>
                  <c:strRef>
                    <c:extLst xmlns:c15="http://schemas.microsoft.com/office/drawing/2012/chart">
                      <c:ext xmlns:c15="http://schemas.microsoft.com/office/drawing/2012/chart" uri="{02D57815-91ED-43cb-92C2-25804820EDAC}">
                        <c15:formulaRef>
                          <c15:sqref>'6. Summary Tracking Sheet'!$CR$3</c15:sqref>
                        </c15:formulaRef>
                      </c:ext>
                    </c:extLst>
                    <c:strCache>
                      <c:ptCount val="1"/>
                      <c:pt idx="0">
                        <c:v>SiteOnAir_BL(SUM)</c:v>
                      </c:pt>
                    </c:strCache>
                  </c:strRef>
                </c:tx>
                <c:spPr>
                  <a:ln w="22225" cap="rnd">
                    <a:solidFill>
                      <a:schemeClr val="accent1">
                        <a:lumMod val="80000"/>
                        <a:lumOff val="20000"/>
                      </a:schemeClr>
                    </a:solidFill>
                    <a:round/>
                  </a:ln>
                  <a:effectLst/>
                </c:spPr>
                <c:marker>
                  <c:symbol val="none"/>
                </c:marker>
                <c:val>
                  <c:numRef>
                    <c:extLst>
                      <c:ext xmlns:c15="http://schemas.microsoft.com/office/drawing/2012/chart" uri="{02D57815-91ED-43cb-92C2-25804820EDAC}">
                        <c15:fullRef>
                          <c15:sqref>'6. Summary Tracking Sheet'!$CT$4:$CT$44</c15:sqref>
                        </c15:fullRef>
                        <c15:formulaRef>
                          <c15:sqref>'6. Summary Tracking Sheet'!$CT$23:$CT$40</c15:sqref>
                        </c15:formulaRef>
                      </c:ext>
                    </c:extLst>
                    <c:numCache>
                      <c:formatCode>0;\-0;\-;@</c:formatCode>
                      <c:ptCount val="18"/>
                      <c:pt idx="0">
                        <c:v>0</c:v>
                      </c:pt>
                      <c:pt idx="1">
                        <c:v>0</c:v>
                      </c:pt>
                      <c:pt idx="2">
                        <c:v>0</c:v>
                      </c:pt>
                      <c:pt idx="3">
                        <c:v>0</c:v>
                      </c:pt>
                      <c:pt idx="4">
                        <c:v>0</c:v>
                      </c:pt>
                      <c:pt idx="5">
                        <c:v>0</c:v>
                      </c:pt>
                      <c:pt idx="6">
                        <c:v>0</c:v>
                      </c:pt>
                      <c:pt idx="7">
                        <c:v>0</c:v>
                      </c:pt>
                      <c:pt idx="8">
                        <c:v>1</c:v>
                      </c:pt>
                      <c:pt idx="9">
                        <c:v>6</c:v>
                      </c:pt>
                      <c:pt idx="10">
                        <c:v>10</c:v>
                      </c:pt>
                      <c:pt idx="11">
                        <c:v>21</c:v>
                      </c:pt>
                      <c:pt idx="12">
                        <c:v>28</c:v>
                      </c:pt>
                      <c:pt idx="13">
                        <c:v>30</c:v>
                      </c:pt>
                      <c:pt idx="14">
                        <c:v>30</c:v>
                      </c:pt>
                      <c:pt idx="15">
                        <c:v>30</c:v>
                      </c:pt>
                      <c:pt idx="16">
                        <c:v>30</c:v>
                      </c:pt>
                      <c:pt idx="17">
                        <c:v>30</c:v>
                      </c:pt>
                    </c:numCache>
                  </c:numRef>
                </c:val>
                <c:smooth val="0"/>
                <c:extLst xmlns:c15="http://schemas.microsoft.com/office/drawing/2012/chart">
                  <c:ext xmlns:c16="http://schemas.microsoft.com/office/drawing/2014/chart" uri="{C3380CC4-5D6E-409C-BE32-E72D297353CC}">
                    <c16:uniqueId val="{0000000C-BD22-4253-BEFF-33922D8481FD}"/>
                  </c:ext>
                </c:extLst>
              </c15:ser>
            </c15:filteredLineSeries>
            <c15:filteredLineSeries>
              <c15:ser>
                <c:idx val="13"/>
                <c:order val="13"/>
                <c:tx>
                  <c:strRef>
                    <c:extLst xmlns:c15="http://schemas.microsoft.com/office/drawing/2012/chart">
                      <c:ext xmlns:c15="http://schemas.microsoft.com/office/drawing/2012/chart" uri="{02D57815-91ED-43cb-92C2-25804820EDAC}">
                        <c15:formulaRef>
                          <c15:sqref>'6. Summary Tracking Sheet'!$CT$3</c15:sqref>
                        </c15:formulaRef>
                      </c:ext>
                    </c:extLst>
                    <c:strCache>
                      <c:ptCount val="1"/>
                      <c:pt idx="0">
                        <c:v>SiteOnAir_AC(SUM)</c:v>
                      </c:pt>
                    </c:strCache>
                  </c:strRef>
                </c:tx>
                <c:spPr>
                  <a:ln w="22225" cap="rnd">
                    <a:solidFill>
                      <a:schemeClr val="accent2">
                        <a:lumMod val="80000"/>
                        <a:lumOff val="20000"/>
                      </a:schemeClr>
                    </a:solidFill>
                    <a:round/>
                  </a:ln>
                  <a:effectLst/>
                </c:spPr>
                <c:marker>
                  <c:symbol val="none"/>
                </c:marker>
                <c:val>
                  <c:numRef>
                    <c:extLst>
                      <c:ext xmlns:c15="http://schemas.microsoft.com/office/drawing/2012/chart" uri="{02D57815-91ED-43cb-92C2-25804820EDAC}">
                        <c15:fullRef>
                          <c15:sqref>'6. Summary Tracking Sheet'!$CV$4:$CV$44</c15:sqref>
                        </c15:fullRef>
                        <c15:formulaRef>
                          <c15:sqref>'6. Summary Tracking Sheet'!$CV$23:$CV$40</c15:sqref>
                        </c15:formulaRef>
                      </c:ext>
                    </c:extLst>
                    <c:numCache>
                      <c:formatCode>0;\-0;\-;@</c:formatCode>
                      <c:ptCount val="18"/>
                      <c:pt idx="0">
                        <c:v>0</c:v>
                      </c:pt>
                      <c:pt idx="1">
                        <c:v>0</c:v>
                      </c:pt>
                      <c:pt idx="2">
                        <c:v>0</c:v>
                      </c:pt>
                      <c:pt idx="3">
                        <c:v>0</c:v>
                      </c:pt>
                      <c:pt idx="4">
                        <c:v>0</c:v>
                      </c:pt>
                      <c:pt idx="5">
                        <c:v>0</c:v>
                      </c:pt>
                      <c:pt idx="6">
                        <c:v>0</c:v>
                      </c:pt>
                      <c:pt idx="7">
                        <c:v>0</c:v>
                      </c:pt>
                      <c:pt idx="8">
                        <c:v>0</c:v>
                      </c:pt>
                      <c:pt idx="9">
                        <c:v>500</c:v>
                      </c:pt>
                      <c:pt idx="10">
                        <c:v>1250</c:v>
                      </c:pt>
                      <c:pt idx="11">
                        <c:v>3750</c:v>
                      </c:pt>
                      <c:pt idx="12">
                        <c:v>4750</c:v>
                      </c:pt>
                      <c:pt idx="13">
                        <c:v>5000</c:v>
                      </c:pt>
                      <c:pt idx="14">
                        <c:v>5000</c:v>
                      </c:pt>
                      <c:pt idx="15">
                        <c:v>5000</c:v>
                      </c:pt>
                      <c:pt idx="16">
                        <c:v>5000</c:v>
                      </c:pt>
                      <c:pt idx="17">
                        <c:v>5000</c:v>
                      </c:pt>
                    </c:numCache>
                  </c:numRef>
                </c:val>
                <c:smooth val="0"/>
                <c:extLst xmlns:c15="http://schemas.microsoft.com/office/drawing/2012/chart">
                  <c:ext xmlns:c16="http://schemas.microsoft.com/office/drawing/2014/chart" uri="{C3380CC4-5D6E-409C-BE32-E72D297353CC}">
                    <c16:uniqueId val="{0000000D-BD22-4253-BEFF-33922D8481FD}"/>
                  </c:ext>
                </c:extLst>
              </c15:ser>
            </c15:filteredLineSeries>
            <c15:filteredLineSeries>
              <c15:ser>
                <c:idx val="14"/>
                <c:order val="14"/>
                <c:tx>
                  <c:strRef>
                    <c:extLst xmlns:c15="http://schemas.microsoft.com/office/drawing/2012/chart">
                      <c:ext xmlns:c15="http://schemas.microsoft.com/office/drawing/2012/chart" uri="{02D57815-91ED-43cb-92C2-25804820EDAC}">
                        <c15:formulaRef>
                          <c15:sqref>'6. Summary Tracking Sheet'!$DB$3</c15:sqref>
                        </c15:formulaRef>
                      </c:ext>
                    </c:extLst>
                    <c:strCache>
                      <c:ptCount val="1"/>
                      <c:pt idx="0">
                        <c:v>SiteAccepted_BL(SUM)</c:v>
                      </c:pt>
                    </c:strCache>
                  </c:strRef>
                </c:tx>
                <c:spPr>
                  <a:ln w="22225" cap="rnd">
                    <a:solidFill>
                      <a:schemeClr val="accent3">
                        <a:lumMod val="80000"/>
                        <a:lumOff val="20000"/>
                      </a:schemeClr>
                    </a:solidFill>
                    <a:round/>
                  </a:ln>
                  <a:effectLst/>
                </c:spPr>
                <c:marker>
                  <c:symbol val="none"/>
                </c:marker>
                <c:val>
                  <c:numRef>
                    <c:extLst>
                      <c:ext xmlns:c15="http://schemas.microsoft.com/office/drawing/2012/chart" uri="{02D57815-91ED-43cb-92C2-25804820EDAC}">
                        <c15:fullRef>
                          <c15:sqref>'6. Summary Tracking Sheet'!$DD$4:$DD$44</c15:sqref>
                        </c15:fullRef>
                        <c15:formulaRef>
                          <c15:sqref>'6. Summary Tracking Sheet'!$DD$23:$DD$40</c15:sqref>
                        </c15:formulaRef>
                      </c:ext>
                    </c:extLst>
                    <c:numCache>
                      <c:formatCode>0;\-0;\-;@</c:formatCode>
                      <c:ptCount val="18"/>
                      <c:pt idx="0">
                        <c:v>0</c:v>
                      </c:pt>
                      <c:pt idx="1">
                        <c:v>0</c:v>
                      </c:pt>
                      <c:pt idx="2">
                        <c:v>0</c:v>
                      </c:pt>
                      <c:pt idx="3">
                        <c:v>0</c:v>
                      </c:pt>
                      <c:pt idx="4">
                        <c:v>0</c:v>
                      </c:pt>
                      <c:pt idx="5">
                        <c:v>0</c:v>
                      </c:pt>
                      <c:pt idx="6">
                        <c:v>0</c:v>
                      </c:pt>
                      <c:pt idx="7">
                        <c:v>0</c:v>
                      </c:pt>
                      <c:pt idx="8">
                        <c:v>0</c:v>
                      </c:pt>
                      <c:pt idx="9">
                        <c:v>2</c:v>
                      </c:pt>
                      <c:pt idx="10">
                        <c:v>5</c:v>
                      </c:pt>
                      <c:pt idx="11">
                        <c:v>15</c:v>
                      </c:pt>
                      <c:pt idx="12">
                        <c:v>19</c:v>
                      </c:pt>
                      <c:pt idx="13">
                        <c:v>20</c:v>
                      </c:pt>
                      <c:pt idx="14">
                        <c:v>20</c:v>
                      </c:pt>
                      <c:pt idx="15">
                        <c:v>20</c:v>
                      </c:pt>
                      <c:pt idx="16">
                        <c:v>20</c:v>
                      </c:pt>
                      <c:pt idx="17">
                        <c:v>20</c:v>
                      </c:pt>
                    </c:numCache>
                  </c:numRef>
                </c:val>
                <c:smooth val="0"/>
                <c:extLst xmlns:c15="http://schemas.microsoft.com/office/drawing/2012/chart">
                  <c:ext xmlns:c16="http://schemas.microsoft.com/office/drawing/2014/chart" uri="{C3380CC4-5D6E-409C-BE32-E72D297353CC}">
                    <c16:uniqueId val="{0000000E-BD22-4253-BEFF-33922D8481FD}"/>
                  </c:ext>
                </c:extLst>
              </c15:ser>
            </c15:filteredLineSeries>
            <c15:filteredLineSeries>
              <c15:ser>
                <c:idx val="15"/>
                <c:order val="15"/>
                <c:tx>
                  <c:strRef>
                    <c:extLst xmlns:c15="http://schemas.microsoft.com/office/drawing/2012/chart">
                      <c:ext xmlns:c15="http://schemas.microsoft.com/office/drawing/2012/chart" uri="{02D57815-91ED-43cb-92C2-25804820EDAC}">
                        <c15:formulaRef>
                          <c15:sqref>'6. Summary Tracking Sheet'!$DD$3</c15:sqref>
                        </c15:formulaRef>
                      </c:ext>
                    </c:extLst>
                    <c:strCache>
                      <c:ptCount val="1"/>
                      <c:pt idx="0">
                        <c:v>SiteAccepted_AC(SUM)</c:v>
                      </c:pt>
                    </c:strCache>
                  </c:strRef>
                </c:tx>
                <c:spPr>
                  <a:ln w="22225" cap="rnd">
                    <a:solidFill>
                      <a:schemeClr val="accent4">
                        <a:lumMod val="80000"/>
                        <a:lumOff val="20000"/>
                      </a:schemeClr>
                    </a:solidFill>
                    <a:round/>
                  </a:ln>
                  <a:effectLst/>
                </c:spPr>
                <c:marker>
                  <c:symbol val="none"/>
                </c:marker>
                <c:val>
                  <c:numRef>
                    <c:extLst>
                      <c:ext xmlns:c15="http://schemas.microsoft.com/office/drawing/2012/chart" uri="{02D57815-91ED-43cb-92C2-25804820EDAC}">
                        <c15:fullRef>
                          <c15:sqref>'6. Summary Tracking Sheet'!$DF$4:$DF$44</c15:sqref>
                        </c15:fullRef>
                        <c15:formulaRef>
                          <c15:sqref>'6. Summary Tracking Sheet'!$DF$23:$DF$40</c15:sqref>
                        </c15:formulaRef>
                      </c:ext>
                    </c:extLst>
                    <c:numCache>
                      <c:formatCode>0;\-0;\-;@</c:formatCode>
                      <c:ptCount val="18"/>
                      <c:pt idx="0">
                        <c:v>0</c:v>
                      </c:pt>
                      <c:pt idx="1">
                        <c:v>0</c:v>
                      </c:pt>
                      <c:pt idx="2">
                        <c:v>0</c:v>
                      </c:pt>
                      <c:pt idx="3">
                        <c:v>0</c:v>
                      </c:pt>
                      <c:pt idx="4">
                        <c:v>0</c:v>
                      </c:pt>
                      <c:pt idx="5">
                        <c:v>0</c:v>
                      </c:pt>
                      <c:pt idx="6">
                        <c:v>0</c:v>
                      </c:pt>
                      <c:pt idx="7">
                        <c:v>0</c:v>
                      </c:pt>
                      <c:pt idx="8">
                        <c:v>0</c:v>
                      </c:pt>
                      <c:pt idx="9">
                        <c:v>0</c:v>
                      </c:pt>
                      <c:pt idx="10">
                        <c:v>200</c:v>
                      </c:pt>
                      <c:pt idx="11">
                        <c:v>600</c:v>
                      </c:pt>
                      <c:pt idx="12">
                        <c:v>1400</c:v>
                      </c:pt>
                      <c:pt idx="13">
                        <c:v>1800</c:v>
                      </c:pt>
                      <c:pt idx="14">
                        <c:v>2000</c:v>
                      </c:pt>
                      <c:pt idx="15">
                        <c:v>2000</c:v>
                      </c:pt>
                      <c:pt idx="16">
                        <c:v>2000</c:v>
                      </c:pt>
                      <c:pt idx="17">
                        <c:v>2000</c:v>
                      </c:pt>
                    </c:numCache>
                  </c:numRef>
                </c:val>
                <c:smooth val="0"/>
                <c:extLst xmlns:c15="http://schemas.microsoft.com/office/drawing/2012/chart">
                  <c:ext xmlns:c16="http://schemas.microsoft.com/office/drawing/2014/chart" uri="{C3380CC4-5D6E-409C-BE32-E72D297353CC}">
                    <c16:uniqueId val="{0000000F-BD22-4253-BEFF-33922D8481FD}"/>
                  </c:ext>
                </c:extLst>
              </c15:ser>
            </c15:filteredLineSeries>
            <c15:filteredLineSeries>
              <c15:ser>
                <c:idx val="16"/>
                <c:order val="16"/>
                <c:tx>
                  <c:strRef>
                    <c:extLst xmlns:c15="http://schemas.microsoft.com/office/drawing/2012/chart">
                      <c:ext xmlns:c15="http://schemas.microsoft.com/office/drawing/2012/chart" uri="{02D57815-91ED-43cb-92C2-25804820EDAC}">
                        <c15:formulaRef>
                          <c15:sqref>'6. Summary Tracking Sheet'!$DL$3</c15:sqref>
                        </c15:formulaRef>
                      </c:ext>
                    </c:extLst>
                    <c:strCache>
                      <c:ptCount val="1"/>
                      <c:pt idx="0">
                        <c:v>SiteInOperations_BL(SUM)</c:v>
                      </c:pt>
                    </c:strCache>
                  </c:strRef>
                </c:tx>
                <c:spPr>
                  <a:ln w="22225" cap="rnd">
                    <a:solidFill>
                      <a:schemeClr val="accent5">
                        <a:lumMod val="80000"/>
                        <a:lumOff val="20000"/>
                      </a:schemeClr>
                    </a:solidFill>
                    <a:round/>
                  </a:ln>
                  <a:effectLst/>
                </c:spPr>
                <c:marker>
                  <c:symbol val="none"/>
                </c:marker>
                <c:val>
                  <c:numRef>
                    <c:extLst>
                      <c:ext xmlns:c15="http://schemas.microsoft.com/office/drawing/2012/chart" uri="{02D57815-91ED-43cb-92C2-25804820EDAC}">
                        <c15:fullRef>
                          <c15:sqref>'6. Summary Tracking Sheet'!$DN$4:$DN$44</c15:sqref>
                        </c15:fullRef>
                        <c15:formulaRef>
                          <c15:sqref>'6. Summary Tracking Sheet'!$DN$23:$DN$40</c15:sqref>
                        </c15:formulaRef>
                      </c:ext>
                    </c:extLst>
                    <c:numCache>
                      <c:formatCode>0;\-0;\-;@</c:formatCode>
                      <c:ptCount val="18"/>
                      <c:pt idx="0">
                        <c:v>0</c:v>
                      </c:pt>
                      <c:pt idx="1">
                        <c:v>0</c:v>
                      </c:pt>
                      <c:pt idx="2">
                        <c:v>0</c:v>
                      </c:pt>
                      <c:pt idx="3">
                        <c:v>0</c:v>
                      </c:pt>
                      <c:pt idx="4">
                        <c:v>0</c:v>
                      </c:pt>
                      <c:pt idx="5">
                        <c:v>0</c:v>
                      </c:pt>
                      <c:pt idx="6">
                        <c:v>0</c:v>
                      </c:pt>
                      <c:pt idx="7">
                        <c:v>0</c:v>
                      </c:pt>
                      <c:pt idx="8">
                        <c:v>0</c:v>
                      </c:pt>
                      <c:pt idx="9">
                        <c:v>0</c:v>
                      </c:pt>
                      <c:pt idx="10">
                        <c:v>1</c:v>
                      </c:pt>
                      <c:pt idx="11">
                        <c:v>3</c:v>
                      </c:pt>
                      <c:pt idx="12">
                        <c:v>7</c:v>
                      </c:pt>
                      <c:pt idx="13">
                        <c:v>9</c:v>
                      </c:pt>
                      <c:pt idx="14">
                        <c:v>10</c:v>
                      </c:pt>
                      <c:pt idx="15">
                        <c:v>10</c:v>
                      </c:pt>
                      <c:pt idx="16">
                        <c:v>10</c:v>
                      </c:pt>
                      <c:pt idx="17">
                        <c:v>10</c:v>
                      </c:pt>
                    </c:numCache>
                  </c:numRef>
                </c:val>
                <c:smooth val="0"/>
                <c:extLst xmlns:c15="http://schemas.microsoft.com/office/drawing/2012/chart">
                  <c:ext xmlns:c16="http://schemas.microsoft.com/office/drawing/2014/chart" uri="{C3380CC4-5D6E-409C-BE32-E72D297353CC}">
                    <c16:uniqueId val="{00000010-BD22-4253-BEFF-33922D8481FD}"/>
                  </c:ext>
                </c:extLst>
              </c15:ser>
            </c15:filteredLineSeries>
            <c15:filteredLineSeries>
              <c15:ser>
                <c:idx val="17"/>
                <c:order val="17"/>
                <c:tx>
                  <c:strRef>
                    <c:extLst xmlns:c15="http://schemas.microsoft.com/office/drawing/2012/chart">
                      <c:ext xmlns:c15="http://schemas.microsoft.com/office/drawing/2012/chart" uri="{02D57815-91ED-43cb-92C2-25804820EDAC}">
                        <c15:formulaRef>
                          <c15:sqref>'6. Summary Tracking Sheet'!$DN$3</c15:sqref>
                        </c15:formulaRef>
                      </c:ext>
                    </c:extLst>
                    <c:strCache>
                      <c:ptCount val="1"/>
                      <c:pt idx="0">
                        <c:v>SiteInOperations_AC(SUM)</c:v>
                      </c:pt>
                    </c:strCache>
                  </c:strRef>
                </c:tx>
                <c:spPr>
                  <a:ln w="22225" cap="rnd">
                    <a:solidFill>
                      <a:schemeClr val="accent6">
                        <a:lumMod val="80000"/>
                        <a:lumOff val="20000"/>
                      </a:schemeClr>
                    </a:solidFill>
                    <a:round/>
                  </a:ln>
                  <a:effectLst/>
                </c:spPr>
                <c:marker>
                  <c:symbol val="none"/>
                </c:marker>
                <c:val>
                  <c:numRef>
                    <c:extLst>
                      <c:ext xmlns:c15="http://schemas.microsoft.com/office/drawing/2012/chart" uri="{02D57815-91ED-43cb-92C2-25804820EDAC}">
                        <c15:fullRef>
                          <c15:sqref>'6. Summary Tracking Sheet'!$DP$4:$DP$44</c15:sqref>
                        </c15:fullRef>
                        <c15:formulaRef>
                          <c15:sqref>'6. Summary Tracking Sheet'!$DP$23:$DP$40</c15:sqref>
                        </c15:formulaRef>
                      </c:ext>
                    </c:extLst>
                    <c:numCache>
                      <c:formatCode>_(* #,##0_);_(* \(#,##0\);_(* "-"??_);_(@_)</c:formatCode>
                      <c:ptCount val="18"/>
                      <c:pt idx="0">
                        <c:v>0</c:v>
                      </c:pt>
                      <c:pt idx="1">
                        <c:v>0</c:v>
                      </c:pt>
                      <c:pt idx="2">
                        <c:v>1000</c:v>
                      </c:pt>
                      <c:pt idx="3">
                        <c:v>7000</c:v>
                      </c:pt>
                      <c:pt idx="4">
                        <c:v>20350</c:v>
                      </c:pt>
                      <c:pt idx="5">
                        <c:v>44150</c:v>
                      </c:pt>
                      <c:pt idx="6">
                        <c:v>73500</c:v>
                      </c:pt>
                      <c:pt idx="7">
                        <c:v>124200</c:v>
                      </c:pt>
                      <c:pt idx="8">
                        <c:v>190800</c:v>
                      </c:pt>
                      <c:pt idx="9">
                        <c:v>279500</c:v>
                      </c:pt>
                      <c:pt idx="10">
                        <c:v>387900</c:v>
                      </c:pt>
                      <c:pt idx="11">
                        <c:v>480700</c:v>
                      </c:pt>
                      <c:pt idx="12">
                        <c:v>602700</c:v>
                      </c:pt>
                      <c:pt idx="13">
                        <c:v>686850</c:v>
                      </c:pt>
                      <c:pt idx="14">
                        <c:v>742450</c:v>
                      </c:pt>
                      <c:pt idx="15">
                        <c:v>760150</c:v>
                      </c:pt>
                      <c:pt idx="16">
                        <c:v>767200</c:v>
                      </c:pt>
                      <c:pt idx="17">
                        <c:v>770000</c:v>
                      </c:pt>
                    </c:numCache>
                  </c:numRef>
                </c:val>
                <c:smooth val="0"/>
                <c:extLst xmlns:c15="http://schemas.microsoft.com/office/drawing/2012/chart">
                  <c:ext xmlns:c16="http://schemas.microsoft.com/office/drawing/2014/chart" uri="{C3380CC4-5D6E-409C-BE32-E72D297353CC}">
                    <c16:uniqueId val="{00000011-BD22-4253-BEFF-33922D8481FD}"/>
                  </c:ext>
                </c:extLst>
              </c15:ser>
            </c15:filteredLineSeries>
          </c:ext>
        </c:extLst>
      </c:lineChart>
      <c:catAx>
        <c:axId val="550300207"/>
        <c:scaling>
          <c:orientation val="minMax"/>
        </c:scaling>
        <c:delete val="0"/>
        <c:axPos val="b"/>
        <c:majorGridlines>
          <c:spPr>
            <a:ln w="9525" cap="flat" cmpd="sng" algn="ctr">
              <a:solidFill>
                <a:schemeClr val="dk1">
                  <a:lumMod val="15000"/>
                  <a:lumOff val="85000"/>
                  <a:alpha val="54000"/>
                </a:schemeClr>
              </a:solidFill>
              <a:round/>
            </a:ln>
            <a:effectLst/>
          </c:spPr>
        </c:majorGridlines>
        <c:minorGridlines>
          <c:spPr>
            <a:ln w="9525" cap="flat" cmpd="sng" algn="ctr">
              <a:solidFill>
                <a:schemeClr val="dk1">
                  <a:lumMod val="15000"/>
                  <a:lumOff val="85000"/>
                  <a:alpha val="51000"/>
                </a:schemeClr>
              </a:solidFill>
              <a:round/>
            </a:ln>
            <a:effectLst/>
          </c:spPr>
        </c:minorGridlines>
        <c:title>
          <c:tx>
            <c:rich>
              <a:bodyPr rot="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r>
                  <a:rPr lang="en-US"/>
                  <a:t>Week</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endParaRPr lang="en-US"/>
            </a:p>
          </c:txPr>
        </c:title>
        <c:numFmt formatCode="General" sourceLinked="0"/>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cap="none" spc="0" normalizeH="0" baseline="0">
                <a:solidFill>
                  <a:schemeClr val="dk1">
                    <a:lumMod val="65000"/>
                    <a:lumOff val="35000"/>
                  </a:schemeClr>
                </a:solidFill>
                <a:latin typeface="+mn-lt"/>
                <a:ea typeface="+mn-ea"/>
                <a:cs typeface="+mn-cs"/>
              </a:defRPr>
            </a:pPr>
            <a:endParaRPr lang="en-US"/>
          </a:p>
        </c:txPr>
        <c:crossAx val="506817855"/>
        <c:crosses val="autoZero"/>
        <c:auto val="1"/>
        <c:lblAlgn val="ctr"/>
        <c:lblOffset val="100"/>
        <c:noMultiLvlLbl val="0"/>
      </c:catAx>
      <c:valAx>
        <c:axId val="506817855"/>
        <c:scaling>
          <c:orientation val="minMax"/>
        </c:scaling>
        <c:delete val="0"/>
        <c:axPos val="l"/>
        <c:majorGridlines>
          <c:spPr>
            <a:ln w="9525" cap="flat" cmpd="sng" algn="ctr">
              <a:solidFill>
                <a:schemeClr val="dk1">
                  <a:lumMod val="15000"/>
                  <a:lumOff val="85000"/>
                  <a:alpha val="54000"/>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r>
                  <a:rPr lang="en-US"/>
                  <a:t>Sites</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endParaRPr lang="en-US"/>
            </a:p>
          </c:txPr>
        </c:title>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crossAx val="550300207"/>
        <c:crosses val="autoZero"/>
        <c:crossBetween val="between"/>
      </c:valAx>
      <c:dTable>
        <c:showHorzBorder val="1"/>
        <c:showVertBorder val="1"/>
        <c:showOutline val="1"/>
        <c:showKeys val="1"/>
        <c:spPr>
          <a:noFill/>
          <a:ln w="9525" cap="flat" cmpd="sng" algn="ctr">
            <a:solidFill>
              <a:schemeClr val="dk1">
                <a:lumMod val="15000"/>
                <a:lumOff val="85000"/>
              </a:schemeClr>
            </a:solidFill>
            <a:round/>
          </a:ln>
          <a:effectLst/>
        </c:spPr>
        <c:txPr>
          <a:bodyPr rot="0" spcFirstLastPara="1" vertOverflow="ellipsis" vert="horz" wrap="square" anchor="ctr" anchorCtr="1"/>
          <a:lstStyle/>
          <a:p>
            <a:pPr rtl="0">
              <a:defRPr sz="800" b="0" i="0" u="none" strike="noStrike" kern="1200" baseline="0">
                <a:solidFill>
                  <a:schemeClr val="dk1">
                    <a:lumMod val="65000"/>
                    <a:lumOff val="35000"/>
                  </a:schemeClr>
                </a:solidFill>
                <a:latin typeface="+mn-lt"/>
                <a:ea typeface="+mn-ea"/>
                <a:cs typeface="+mn-cs"/>
              </a:defRPr>
            </a:pPr>
            <a:endParaRPr lang="en-US"/>
          </a:p>
        </c:txPr>
      </c:dTable>
      <c:spPr>
        <a:pattFill prst="ltDnDiag">
          <a:fgClr>
            <a:schemeClr val="dk1">
              <a:lumMod val="15000"/>
              <a:lumOff val="85000"/>
            </a:schemeClr>
          </a:fgClr>
          <a:bgClr>
            <a:schemeClr val="lt1"/>
          </a:bgClr>
        </a:patt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10"/>
          <c:order val="10"/>
          <c:tx>
            <c:strRef>
              <c:f>'6. Summary Tracking Sheet'!$CH$3</c:f>
              <c:strCache>
                <c:ptCount val="1"/>
                <c:pt idx="0">
                  <c:v>ReadyForIntegration_BL(SUM)</c:v>
                </c:pt>
              </c:strCache>
              <c:extLst xmlns:c15="http://schemas.microsoft.com/office/drawing/2012/chart"/>
            </c:strRef>
          </c:tx>
          <c:spPr>
            <a:ln w="22225" cap="rnd">
              <a:solidFill>
                <a:schemeClr val="accent5">
                  <a:lumMod val="60000"/>
                </a:schemeClr>
              </a:solidFill>
              <a:round/>
            </a:ln>
            <a:effectLst/>
          </c:spPr>
          <c:marker>
            <c:symbol val="none"/>
          </c:marker>
          <c:cat>
            <c:strLit>
              <c:ptCount val="18"/>
              <c:pt idx="0">
                <c:v>20</c:v>
              </c:pt>
              <c:pt idx="1">
                <c:v>21</c:v>
              </c:pt>
              <c:pt idx="2">
                <c:v>22</c:v>
              </c:pt>
              <c:pt idx="3">
                <c:v>23</c:v>
              </c:pt>
              <c:pt idx="4">
                <c:v>24</c:v>
              </c:pt>
              <c:pt idx="5">
                <c:v>25</c:v>
              </c:pt>
              <c:pt idx="6">
                <c:v>26</c:v>
              </c:pt>
              <c:pt idx="7">
                <c:v>27</c:v>
              </c:pt>
              <c:pt idx="8">
                <c:v>28</c:v>
              </c:pt>
              <c:pt idx="9">
                <c:v>29</c:v>
              </c:pt>
              <c:pt idx="10">
                <c:v>30</c:v>
              </c:pt>
              <c:pt idx="11">
                <c:v>31</c:v>
              </c:pt>
              <c:pt idx="12">
                <c:v>32</c:v>
              </c:pt>
              <c:pt idx="13">
                <c:v>33</c:v>
              </c:pt>
              <c:pt idx="14">
                <c:v>34</c:v>
              </c:pt>
              <c:pt idx="15">
                <c:v>35</c:v>
              </c:pt>
              <c:pt idx="16">
                <c:v>36</c:v>
              </c:pt>
              <c:pt idx="17">
                <c:v>37</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'6. Summary Tracking Sheet'!$CH$4:$CH$44</c15:sqref>
                  </c15:fullRef>
                </c:ext>
              </c:extLst>
              <c:f>'6. Summary Tracking Sheet'!$CH$23:$CH$40</c:f>
              <c:numCache>
                <c:formatCode>0;\-0;\-;@</c:formatCode>
                <c:ptCount val="18"/>
                <c:pt idx="0">
                  <c:v>0</c:v>
                </c:pt>
                <c:pt idx="1">
                  <c:v>0</c:v>
                </c:pt>
                <c:pt idx="2">
                  <c:v>0</c:v>
                </c:pt>
                <c:pt idx="3">
                  <c:v>0</c:v>
                </c:pt>
                <c:pt idx="4">
                  <c:v>0</c:v>
                </c:pt>
                <c:pt idx="5">
                  <c:v>0</c:v>
                </c:pt>
                <c:pt idx="6">
                  <c:v>0</c:v>
                </c:pt>
                <c:pt idx="7">
                  <c:v>1</c:v>
                </c:pt>
                <c:pt idx="8">
                  <c:v>7</c:v>
                </c:pt>
                <c:pt idx="9">
                  <c:v>16</c:v>
                </c:pt>
                <c:pt idx="10">
                  <c:v>26</c:v>
                </c:pt>
                <c:pt idx="11">
                  <c:v>38</c:v>
                </c:pt>
                <c:pt idx="12">
                  <c:v>67</c:v>
                </c:pt>
                <c:pt idx="13">
                  <c:v>86</c:v>
                </c:pt>
                <c:pt idx="14">
                  <c:v>99</c:v>
                </c:pt>
                <c:pt idx="15">
                  <c:v>100</c:v>
                </c:pt>
                <c:pt idx="16">
                  <c:v>100</c:v>
                </c:pt>
                <c:pt idx="17">
                  <c:v>100</c:v>
                </c:pt>
              </c:numCache>
            </c:numRef>
          </c:val>
          <c:smooth val="0"/>
          <c:extLst>
            <c:ext xmlns:c16="http://schemas.microsoft.com/office/drawing/2014/chart" uri="{C3380CC4-5D6E-409C-BE32-E72D297353CC}">
              <c16:uniqueId val="{0000000A-8F9C-4664-9E7B-37271A4B8D2C}"/>
            </c:ext>
          </c:extLst>
        </c:ser>
        <c:ser>
          <c:idx val="11"/>
          <c:order val="11"/>
          <c:tx>
            <c:strRef>
              <c:f>'6. Summary Tracking Sheet'!$CJ$3</c:f>
              <c:strCache>
                <c:ptCount val="1"/>
                <c:pt idx="0">
                  <c:v>ReadyForIntegration_AC(SUM)</c:v>
                </c:pt>
              </c:strCache>
              <c:extLst xmlns:c15="http://schemas.microsoft.com/office/drawing/2012/chart"/>
            </c:strRef>
          </c:tx>
          <c:spPr>
            <a:ln w="22225" cap="rnd">
              <a:solidFill>
                <a:schemeClr val="accent6">
                  <a:lumMod val="60000"/>
                </a:schemeClr>
              </a:solidFill>
              <a:round/>
            </a:ln>
            <a:effectLst/>
          </c:spPr>
          <c:marker>
            <c:symbol val="none"/>
          </c:marker>
          <c:cat>
            <c:strLit>
              <c:ptCount val="18"/>
              <c:pt idx="0">
                <c:v>20</c:v>
              </c:pt>
              <c:pt idx="1">
                <c:v>21</c:v>
              </c:pt>
              <c:pt idx="2">
                <c:v>22</c:v>
              </c:pt>
              <c:pt idx="3">
                <c:v>23</c:v>
              </c:pt>
              <c:pt idx="4">
                <c:v>24</c:v>
              </c:pt>
              <c:pt idx="5">
                <c:v>25</c:v>
              </c:pt>
              <c:pt idx="6">
                <c:v>26</c:v>
              </c:pt>
              <c:pt idx="7">
                <c:v>27</c:v>
              </c:pt>
              <c:pt idx="8">
                <c:v>28</c:v>
              </c:pt>
              <c:pt idx="9">
                <c:v>29</c:v>
              </c:pt>
              <c:pt idx="10">
                <c:v>30</c:v>
              </c:pt>
              <c:pt idx="11">
                <c:v>31</c:v>
              </c:pt>
              <c:pt idx="12">
                <c:v>32</c:v>
              </c:pt>
              <c:pt idx="13">
                <c:v>33</c:v>
              </c:pt>
              <c:pt idx="14">
                <c:v>34</c:v>
              </c:pt>
              <c:pt idx="15">
                <c:v>35</c:v>
              </c:pt>
              <c:pt idx="16">
                <c:v>36</c:v>
              </c:pt>
              <c:pt idx="17">
                <c:v>37</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'6. Summary Tracking Sheet'!$CJ$4:$CJ$44</c15:sqref>
                  </c15:fullRef>
                </c:ext>
              </c:extLst>
              <c:f>'6. Summary Tracking Sheet'!$CJ$23:$CJ$40</c:f>
              <c:numCache>
                <c:formatCode>0;\-0;\-;@</c:formatCode>
                <c:ptCount val="18"/>
                <c:pt idx="0">
                  <c:v>0</c:v>
                </c:pt>
                <c:pt idx="1">
                  <c:v>0</c:v>
                </c:pt>
                <c:pt idx="2">
                  <c:v>0</c:v>
                </c:pt>
                <c:pt idx="3">
                  <c:v>0</c:v>
                </c:pt>
                <c:pt idx="4">
                  <c:v>0</c:v>
                </c:pt>
                <c:pt idx="5">
                  <c:v>0</c:v>
                </c:pt>
                <c:pt idx="6">
                  <c:v>0</c:v>
                </c:pt>
                <c:pt idx="7">
                  <c:v>0</c:v>
                </c:pt>
                <c:pt idx="8">
                  <c:v>2</c:v>
                </c:pt>
                <c:pt idx="9">
                  <c:v>7</c:v>
                </c:pt>
                <c:pt idx="10">
                  <c:v>16</c:v>
                </c:pt>
                <c:pt idx="11">
                  <c:v>28</c:v>
                </c:pt>
                <c:pt idx="12">
                  <c:v>38</c:v>
                </c:pt>
                <c:pt idx="13">
                  <c:v>40</c:v>
                </c:pt>
                <c:pt idx="14">
                  <c:v>40</c:v>
                </c:pt>
                <c:pt idx="15">
                  <c:v>40</c:v>
                </c:pt>
                <c:pt idx="16">
                  <c:v>40</c:v>
                </c:pt>
                <c:pt idx="17">
                  <c:v>40</c:v>
                </c:pt>
              </c:numCache>
            </c:numRef>
          </c:val>
          <c:smooth val="0"/>
          <c:extLst>
            <c:ext xmlns:c16="http://schemas.microsoft.com/office/drawing/2014/chart" uri="{C3380CC4-5D6E-409C-BE32-E72D297353CC}">
              <c16:uniqueId val="{0000000B-8F9C-4664-9E7B-37271A4B8D2C}"/>
            </c:ext>
          </c:extLst>
        </c:ser>
        <c:dLbls>
          <c:showLegendKey val="0"/>
          <c:showVal val="0"/>
          <c:showCatName val="0"/>
          <c:showSerName val="0"/>
          <c:showPercent val="0"/>
          <c:showBubbleSize val="0"/>
        </c:dLbls>
        <c:smooth val="0"/>
        <c:axId val="550300207"/>
        <c:axId val="506817855"/>
        <c:extLst>
          <c:ext xmlns:c15="http://schemas.microsoft.com/office/drawing/2012/chart" uri="{02D57815-91ED-43cb-92C2-25804820EDAC}">
            <c15:filteredLineSeries>
              <c15:ser>
                <c:idx val="1"/>
                <c:order val="0"/>
                <c:tx>
                  <c:strRef>
                    <c:extLst>
                      <c:ext uri="{02D57815-91ED-43cb-92C2-25804820EDAC}">
                        <c15:formulaRef>
                          <c15:sqref>'6. Summary Tracking Sheet'!$P$3</c15:sqref>
                        </c15:formulaRef>
                      </c:ext>
                    </c:extLst>
                    <c:strCache>
                      <c:ptCount val="1"/>
                      <c:pt idx="0">
                        <c:v>SiteDesignReady_BL(SUM)</c:v>
                      </c:pt>
                    </c:strCache>
                  </c:strRef>
                </c:tx>
                <c:spPr>
                  <a:ln w="22225" cap="rnd">
                    <a:solidFill>
                      <a:schemeClr val="accent2"/>
                    </a:solidFill>
                    <a:round/>
                  </a:ln>
                  <a:effectLst/>
                </c:spPr>
                <c:marker>
                  <c:symbol val="none"/>
                </c:marker>
                <c:val>
                  <c:numRef>
                    <c:extLst>
                      <c:ext uri="{02D57815-91ED-43cb-92C2-25804820EDAC}">
                        <c15:fullRef>
                          <c15:sqref>'6. Summary Tracking Sheet'!$P$4:$P$44</c15:sqref>
                        </c15:fullRef>
                        <c15:formulaRef>
                          <c15:sqref>'6. Summary Tracking Sheet'!$P$23:$P$40</c15:sqref>
                        </c15:formulaRef>
                      </c:ext>
                    </c:extLst>
                    <c:numCache>
                      <c:formatCode>0;\-0;\-;@</c:formatCode>
                      <c:ptCount val="18"/>
                      <c:pt idx="0">
                        <c:v>0</c:v>
                      </c:pt>
                      <c:pt idx="1">
                        <c:v>0</c:v>
                      </c:pt>
                      <c:pt idx="2">
                        <c:v>1</c:v>
                      </c:pt>
                      <c:pt idx="3">
                        <c:v>7</c:v>
                      </c:pt>
                      <c:pt idx="4">
                        <c:v>16</c:v>
                      </c:pt>
                      <c:pt idx="5">
                        <c:v>38</c:v>
                      </c:pt>
                      <c:pt idx="6">
                        <c:v>51</c:v>
                      </c:pt>
                      <c:pt idx="7">
                        <c:v>67</c:v>
                      </c:pt>
                      <c:pt idx="8">
                        <c:v>86</c:v>
                      </c:pt>
                      <c:pt idx="9">
                        <c:v>100</c:v>
                      </c:pt>
                      <c:pt idx="10">
                        <c:v>100</c:v>
                      </c:pt>
                      <c:pt idx="11">
                        <c:v>100</c:v>
                      </c:pt>
                      <c:pt idx="12">
                        <c:v>100</c:v>
                      </c:pt>
                      <c:pt idx="13">
                        <c:v>100</c:v>
                      </c:pt>
                      <c:pt idx="14">
                        <c:v>100</c:v>
                      </c:pt>
                      <c:pt idx="15">
                        <c:v>100</c:v>
                      </c:pt>
                      <c:pt idx="16">
                        <c:v>100</c:v>
                      </c:pt>
                      <c:pt idx="17">
                        <c:v>100</c:v>
                      </c:pt>
                    </c:numCache>
                  </c:numRef>
                </c:val>
                <c:smooth val="0"/>
                <c:extLst>
                  <c:ext xmlns:c16="http://schemas.microsoft.com/office/drawing/2014/chart" uri="{C3380CC4-5D6E-409C-BE32-E72D297353CC}">
                    <c16:uniqueId val="{00000002-8F9C-4664-9E7B-37271A4B8D2C}"/>
                  </c:ext>
                </c:extLst>
              </c15:ser>
            </c15:filteredLineSeries>
            <c15:filteredLineSeries>
              <c15:ser>
                <c:idx val="0"/>
                <c:order val="1"/>
                <c:tx>
                  <c:strRef>
                    <c:extLst xmlns:c15="http://schemas.microsoft.com/office/drawing/2012/chart">
                      <c:ext xmlns:c15="http://schemas.microsoft.com/office/drawing/2012/chart" uri="{02D57815-91ED-43cb-92C2-25804820EDAC}">
                        <c15:formulaRef>
                          <c15:sqref>'6. Summary Tracking Sheet'!$R$3</c15:sqref>
                        </c15:formulaRef>
                      </c:ext>
                    </c:extLst>
                    <c:strCache>
                      <c:ptCount val="1"/>
                      <c:pt idx="0">
                        <c:v>SiteDesignReady_AC(SUM)</c:v>
                      </c:pt>
                    </c:strCache>
                  </c:strRef>
                </c:tx>
                <c:spPr>
                  <a:ln w="22225" cap="rnd">
                    <a:solidFill>
                      <a:schemeClr val="accent1"/>
                    </a:solidFill>
                    <a:round/>
                  </a:ln>
                  <a:effectLst/>
                </c:spPr>
                <c:marker>
                  <c:symbol val="none"/>
                </c:marker>
                <c:val>
                  <c:numRef>
                    <c:extLst>
                      <c:ext xmlns:c15="http://schemas.microsoft.com/office/drawing/2012/chart" uri="{02D57815-91ED-43cb-92C2-25804820EDAC}">
                        <c15:fullRef>
                          <c15:sqref>'6. Summary Tracking Sheet'!$R$4:$R$44</c15:sqref>
                        </c15:fullRef>
                        <c15:formulaRef>
                          <c15:sqref>'6. Summary Tracking Sheet'!$R$23:$R$40</c15:sqref>
                        </c15:formulaRef>
                      </c:ext>
                    </c:extLst>
                    <c:numCache>
                      <c:formatCode>0;\-0;\-;@</c:formatCode>
                      <c:ptCount val="18"/>
                      <c:pt idx="0">
                        <c:v>0</c:v>
                      </c:pt>
                      <c:pt idx="1">
                        <c:v>0</c:v>
                      </c:pt>
                      <c:pt idx="2">
                        <c:v>1</c:v>
                      </c:pt>
                      <c:pt idx="3">
                        <c:v>7</c:v>
                      </c:pt>
                      <c:pt idx="4">
                        <c:v>16</c:v>
                      </c:pt>
                      <c:pt idx="5">
                        <c:v>27</c:v>
                      </c:pt>
                      <c:pt idx="6">
                        <c:v>40</c:v>
                      </c:pt>
                      <c:pt idx="7">
                        <c:v>66</c:v>
                      </c:pt>
                      <c:pt idx="8">
                        <c:v>85</c:v>
                      </c:pt>
                      <c:pt idx="9">
                        <c:v>90</c:v>
                      </c:pt>
                      <c:pt idx="10">
                        <c:v>90</c:v>
                      </c:pt>
                      <c:pt idx="11">
                        <c:v>90</c:v>
                      </c:pt>
                      <c:pt idx="12">
                        <c:v>90</c:v>
                      </c:pt>
                      <c:pt idx="13">
                        <c:v>90</c:v>
                      </c:pt>
                      <c:pt idx="14">
                        <c:v>90</c:v>
                      </c:pt>
                      <c:pt idx="15">
                        <c:v>90</c:v>
                      </c:pt>
                      <c:pt idx="16">
                        <c:v>90</c:v>
                      </c:pt>
                      <c:pt idx="17">
                        <c:v>90</c:v>
                      </c:pt>
                    </c:numCache>
                  </c:numRef>
                </c:val>
                <c:smooth val="0"/>
                <c:extLst xmlns:c15="http://schemas.microsoft.com/office/drawing/2012/chart">
                  <c:ext xmlns:c16="http://schemas.microsoft.com/office/drawing/2014/chart" uri="{C3380CC4-5D6E-409C-BE32-E72D297353CC}">
                    <c16:uniqueId val="{00000003-8F9C-4664-9E7B-37271A4B8D2C}"/>
                  </c:ext>
                </c:extLst>
              </c15:ser>
            </c15:filteredLineSeries>
            <c15:filteredLineSeries>
              <c15:ser>
                <c:idx val="2"/>
                <c:order val="2"/>
                <c:tx>
                  <c:strRef>
                    <c:extLst xmlns:c15="http://schemas.microsoft.com/office/drawing/2012/chart">
                      <c:ext xmlns:c15="http://schemas.microsoft.com/office/drawing/2012/chart" uri="{02D57815-91ED-43cb-92C2-25804820EDAC}">
                        <c15:formulaRef>
                          <c15:sqref>'6. Summary Tracking Sheet'!$AT$3</c15:sqref>
                        </c15:formulaRef>
                      </c:ext>
                    </c:extLst>
                    <c:strCache>
                      <c:ptCount val="1"/>
                      <c:pt idx="0">
                        <c:v>ReadyForCW_BL(SUM)</c:v>
                      </c:pt>
                    </c:strCache>
                  </c:strRef>
                </c:tx>
                <c:spPr>
                  <a:ln w="22225" cap="rnd">
                    <a:solidFill>
                      <a:schemeClr val="accent3"/>
                    </a:solidFill>
                    <a:round/>
                  </a:ln>
                  <a:effectLst/>
                </c:spPr>
                <c:marker>
                  <c:symbol val="none"/>
                </c:marker>
                <c:val>
                  <c:numRef>
                    <c:extLst>
                      <c:ext xmlns:c15="http://schemas.microsoft.com/office/drawing/2012/chart" uri="{02D57815-91ED-43cb-92C2-25804820EDAC}">
                        <c15:fullRef>
                          <c15:sqref>'6. Summary Tracking Sheet'!$AV$4:$AV$44</c15:sqref>
                        </c15:fullRef>
                        <c15:formulaRef>
                          <c15:sqref>'6. Summary Tracking Sheet'!$AV$23:$AV$40</c15:sqref>
                        </c15:formulaRef>
                      </c:ext>
                    </c:extLst>
                    <c:numCache>
                      <c:formatCode>0;\-0;\-;@</c:formatCode>
                      <c:ptCount val="18"/>
                      <c:pt idx="0">
                        <c:v>0</c:v>
                      </c:pt>
                      <c:pt idx="1">
                        <c:v>0</c:v>
                      </c:pt>
                      <c:pt idx="2">
                        <c:v>0</c:v>
                      </c:pt>
                      <c:pt idx="3">
                        <c:v>0</c:v>
                      </c:pt>
                      <c:pt idx="4">
                        <c:v>1</c:v>
                      </c:pt>
                      <c:pt idx="5">
                        <c:v>5</c:v>
                      </c:pt>
                      <c:pt idx="6">
                        <c:v>15</c:v>
                      </c:pt>
                      <c:pt idx="7">
                        <c:v>25</c:v>
                      </c:pt>
                      <c:pt idx="8">
                        <c:v>38</c:v>
                      </c:pt>
                      <c:pt idx="9">
                        <c:v>61</c:v>
                      </c:pt>
                      <c:pt idx="10">
                        <c:v>71</c:v>
                      </c:pt>
                      <c:pt idx="11">
                        <c:v>80</c:v>
                      </c:pt>
                      <c:pt idx="12">
                        <c:v>80</c:v>
                      </c:pt>
                      <c:pt idx="13">
                        <c:v>80</c:v>
                      </c:pt>
                      <c:pt idx="14">
                        <c:v>80</c:v>
                      </c:pt>
                      <c:pt idx="15">
                        <c:v>80</c:v>
                      </c:pt>
                      <c:pt idx="16">
                        <c:v>80</c:v>
                      </c:pt>
                      <c:pt idx="17">
                        <c:v>80</c:v>
                      </c:pt>
                    </c:numCache>
                  </c:numRef>
                </c:val>
                <c:smooth val="0"/>
                <c:extLst xmlns:c15="http://schemas.microsoft.com/office/drawing/2012/chart">
                  <c:ext xmlns:c16="http://schemas.microsoft.com/office/drawing/2014/chart" uri="{C3380CC4-5D6E-409C-BE32-E72D297353CC}">
                    <c16:uniqueId val="{00000004-8F9C-4664-9E7B-37271A4B8D2C}"/>
                  </c:ext>
                </c:extLst>
              </c15:ser>
            </c15:filteredLineSeries>
            <c15:filteredLineSeries>
              <c15:ser>
                <c:idx val="3"/>
                <c:order val="3"/>
                <c:tx>
                  <c:strRef>
                    <c:extLst xmlns:c15="http://schemas.microsoft.com/office/drawing/2012/chart">
                      <c:ext xmlns:c15="http://schemas.microsoft.com/office/drawing/2012/chart" uri="{02D57815-91ED-43cb-92C2-25804820EDAC}">
                        <c15:formulaRef>
                          <c15:sqref>'6. Summary Tracking Sheet'!$AV$3</c15:sqref>
                        </c15:formulaRef>
                      </c:ext>
                    </c:extLst>
                    <c:strCache>
                      <c:ptCount val="1"/>
                      <c:pt idx="0">
                        <c:v>ReadyForCW_AC(SUM)</c:v>
                      </c:pt>
                    </c:strCache>
                  </c:strRef>
                </c:tx>
                <c:spPr>
                  <a:ln w="22225" cap="rnd">
                    <a:solidFill>
                      <a:schemeClr val="accent4"/>
                    </a:solidFill>
                    <a:round/>
                  </a:ln>
                  <a:effectLst/>
                </c:spPr>
                <c:marker>
                  <c:symbol val="none"/>
                </c:marker>
                <c:val>
                  <c:numRef>
                    <c:extLst>
                      <c:ext xmlns:c15="http://schemas.microsoft.com/office/drawing/2012/chart" uri="{02D57815-91ED-43cb-92C2-25804820EDAC}">
                        <c15:fullRef>
                          <c15:sqref>'6. Summary Tracking Sheet'!$AX$4:$AX$44</c15:sqref>
                        </c15:fullRef>
                        <c15:formulaRef>
                          <c15:sqref>'6. Summary Tracking Sheet'!$AX$23:$AX$40</c15:sqref>
                        </c15:formulaRef>
                      </c:ext>
                    </c:extLst>
                    <c:numCache>
                      <c:formatCode>0;\-0;\-;@</c:formatCode>
                      <c:ptCount val="18"/>
                      <c:pt idx="0">
                        <c:v>0</c:v>
                      </c:pt>
                      <c:pt idx="1">
                        <c:v>0</c:v>
                      </c:pt>
                      <c:pt idx="2">
                        <c:v>0</c:v>
                      </c:pt>
                      <c:pt idx="3">
                        <c:v>0</c:v>
                      </c:pt>
                      <c:pt idx="4">
                        <c:v>0</c:v>
                      </c:pt>
                      <c:pt idx="5">
                        <c:v>1500</c:v>
                      </c:pt>
                      <c:pt idx="6">
                        <c:v>9000</c:v>
                      </c:pt>
                      <c:pt idx="7">
                        <c:v>15000</c:v>
                      </c:pt>
                      <c:pt idx="8">
                        <c:v>33000</c:v>
                      </c:pt>
                      <c:pt idx="9">
                        <c:v>52500</c:v>
                      </c:pt>
                      <c:pt idx="10">
                        <c:v>78000</c:v>
                      </c:pt>
                      <c:pt idx="11">
                        <c:v>100500</c:v>
                      </c:pt>
                      <c:pt idx="12">
                        <c:v>105000</c:v>
                      </c:pt>
                      <c:pt idx="13">
                        <c:v>105000</c:v>
                      </c:pt>
                      <c:pt idx="14">
                        <c:v>105000</c:v>
                      </c:pt>
                      <c:pt idx="15">
                        <c:v>105000</c:v>
                      </c:pt>
                      <c:pt idx="16">
                        <c:v>105000</c:v>
                      </c:pt>
                      <c:pt idx="17">
                        <c:v>105000</c:v>
                      </c:pt>
                    </c:numCache>
                  </c:numRef>
                </c:val>
                <c:smooth val="0"/>
                <c:extLst xmlns:c15="http://schemas.microsoft.com/office/drawing/2012/chart">
                  <c:ext xmlns:c16="http://schemas.microsoft.com/office/drawing/2014/chart" uri="{C3380CC4-5D6E-409C-BE32-E72D297353CC}">
                    <c16:uniqueId val="{00000005-8F9C-4664-9E7B-37271A4B8D2C}"/>
                  </c:ext>
                </c:extLst>
              </c15:ser>
            </c15:filteredLineSeries>
            <c15:filteredLineSeries>
              <c15:ser>
                <c:idx val="4"/>
                <c:order val="4"/>
                <c:tx>
                  <c:strRef>
                    <c:extLst xmlns:c15="http://schemas.microsoft.com/office/drawing/2012/chart">
                      <c:ext xmlns:c15="http://schemas.microsoft.com/office/drawing/2012/chart" uri="{02D57815-91ED-43cb-92C2-25804820EDAC}">
                        <c15:formulaRef>
                          <c15:sqref>'6. Summary Tracking Sheet'!$BD$3</c15:sqref>
                        </c15:formulaRef>
                      </c:ext>
                    </c:extLst>
                    <c:strCache>
                      <c:ptCount val="1"/>
                      <c:pt idx="0">
                        <c:v>ReadyForPower_BL(SUM)</c:v>
                      </c:pt>
                    </c:strCache>
                  </c:strRef>
                </c:tx>
                <c:spPr>
                  <a:ln w="22225" cap="rnd">
                    <a:solidFill>
                      <a:schemeClr val="accent5"/>
                    </a:solidFill>
                    <a:round/>
                  </a:ln>
                  <a:effectLst/>
                </c:spPr>
                <c:marker>
                  <c:symbol val="none"/>
                </c:marker>
                <c:val>
                  <c:numRef>
                    <c:extLst>
                      <c:ext xmlns:c15="http://schemas.microsoft.com/office/drawing/2012/chart" uri="{02D57815-91ED-43cb-92C2-25804820EDAC}">
                        <c15:fullRef>
                          <c15:sqref>'6. Summary Tracking Sheet'!$BF$4:$BF$44</c15:sqref>
                        </c15:fullRef>
                        <c15:formulaRef>
                          <c15:sqref>'6. Summary Tracking Sheet'!$BF$23:$BF$40</c15:sqref>
                        </c15:formulaRef>
                      </c:ext>
                    </c:extLst>
                    <c:numCache>
                      <c:formatCode>0;\-0;\-;@</c:formatCode>
                      <c:ptCount val="18"/>
                      <c:pt idx="0">
                        <c:v>0</c:v>
                      </c:pt>
                      <c:pt idx="1">
                        <c:v>0</c:v>
                      </c:pt>
                      <c:pt idx="2">
                        <c:v>0</c:v>
                      </c:pt>
                      <c:pt idx="3">
                        <c:v>0</c:v>
                      </c:pt>
                      <c:pt idx="4">
                        <c:v>0</c:v>
                      </c:pt>
                      <c:pt idx="5">
                        <c:v>1</c:v>
                      </c:pt>
                      <c:pt idx="6">
                        <c:v>6</c:v>
                      </c:pt>
                      <c:pt idx="7">
                        <c:v>10</c:v>
                      </c:pt>
                      <c:pt idx="8">
                        <c:v>22</c:v>
                      </c:pt>
                      <c:pt idx="9">
                        <c:v>35</c:v>
                      </c:pt>
                      <c:pt idx="10">
                        <c:v>52</c:v>
                      </c:pt>
                      <c:pt idx="11">
                        <c:v>67</c:v>
                      </c:pt>
                      <c:pt idx="12">
                        <c:v>70</c:v>
                      </c:pt>
                      <c:pt idx="13">
                        <c:v>70</c:v>
                      </c:pt>
                      <c:pt idx="14">
                        <c:v>70</c:v>
                      </c:pt>
                      <c:pt idx="15">
                        <c:v>70</c:v>
                      </c:pt>
                      <c:pt idx="16">
                        <c:v>70</c:v>
                      </c:pt>
                      <c:pt idx="17">
                        <c:v>70</c:v>
                      </c:pt>
                    </c:numCache>
                  </c:numRef>
                </c:val>
                <c:smooth val="0"/>
                <c:extLst xmlns:c15="http://schemas.microsoft.com/office/drawing/2012/chart">
                  <c:ext xmlns:c16="http://schemas.microsoft.com/office/drawing/2014/chart" uri="{C3380CC4-5D6E-409C-BE32-E72D297353CC}">
                    <c16:uniqueId val="{00000006-8F9C-4664-9E7B-37271A4B8D2C}"/>
                  </c:ext>
                </c:extLst>
              </c15:ser>
            </c15:filteredLineSeries>
            <c15:filteredLineSeries>
              <c15:ser>
                <c:idx val="5"/>
                <c:order val="5"/>
                <c:tx>
                  <c:strRef>
                    <c:extLst xmlns:c15="http://schemas.microsoft.com/office/drawing/2012/chart">
                      <c:ext xmlns:c15="http://schemas.microsoft.com/office/drawing/2012/chart" uri="{02D57815-91ED-43cb-92C2-25804820EDAC}">
                        <c15:formulaRef>
                          <c15:sqref>'6. Summary Tracking Sheet'!$BF$3</c15:sqref>
                        </c15:formulaRef>
                      </c:ext>
                    </c:extLst>
                    <c:strCache>
                      <c:ptCount val="1"/>
                      <c:pt idx="0">
                        <c:v>ReadyForPower_AC(SUM)</c:v>
                      </c:pt>
                    </c:strCache>
                  </c:strRef>
                </c:tx>
                <c:spPr>
                  <a:ln w="22225" cap="rnd">
                    <a:solidFill>
                      <a:schemeClr val="accent6"/>
                    </a:solidFill>
                    <a:round/>
                  </a:ln>
                  <a:effectLst/>
                </c:spPr>
                <c:marker>
                  <c:symbol val="none"/>
                </c:marker>
                <c:val>
                  <c:numRef>
                    <c:extLst>
                      <c:ext xmlns:c15="http://schemas.microsoft.com/office/drawing/2012/chart" uri="{02D57815-91ED-43cb-92C2-25804820EDAC}">
                        <c15:fullRef>
                          <c15:sqref>'6. Summary Tracking Sheet'!$BH$4:$BH$44</c15:sqref>
                        </c15:fullRef>
                        <c15:formulaRef>
                          <c15:sqref>'6. Summary Tracking Sheet'!$BH$23:$BH$40</c15:sqref>
                        </c15:formulaRef>
                      </c:ext>
                    </c:extLst>
                    <c:numCache>
                      <c:formatCode>0;\-0;\-;@</c:formatCode>
                      <c:ptCount val="18"/>
                      <c:pt idx="0">
                        <c:v>0</c:v>
                      </c:pt>
                      <c:pt idx="1">
                        <c:v>0</c:v>
                      </c:pt>
                      <c:pt idx="2">
                        <c:v>0</c:v>
                      </c:pt>
                      <c:pt idx="3">
                        <c:v>0</c:v>
                      </c:pt>
                      <c:pt idx="4">
                        <c:v>0</c:v>
                      </c:pt>
                      <c:pt idx="5">
                        <c:v>0</c:v>
                      </c:pt>
                      <c:pt idx="6">
                        <c:v>500</c:v>
                      </c:pt>
                      <c:pt idx="7">
                        <c:v>2000</c:v>
                      </c:pt>
                      <c:pt idx="8">
                        <c:v>7500</c:v>
                      </c:pt>
                      <c:pt idx="9">
                        <c:v>12500</c:v>
                      </c:pt>
                      <c:pt idx="10">
                        <c:v>19000</c:v>
                      </c:pt>
                      <c:pt idx="11">
                        <c:v>27000</c:v>
                      </c:pt>
                      <c:pt idx="12">
                        <c:v>29500</c:v>
                      </c:pt>
                      <c:pt idx="13">
                        <c:v>30000</c:v>
                      </c:pt>
                      <c:pt idx="14">
                        <c:v>30000</c:v>
                      </c:pt>
                      <c:pt idx="15">
                        <c:v>30000</c:v>
                      </c:pt>
                      <c:pt idx="16">
                        <c:v>30000</c:v>
                      </c:pt>
                      <c:pt idx="17">
                        <c:v>30000</c:v>
                      </c:pt>
                    </c:numCache>
                  </c:numRef>
                </c:val>
                <c:smooth val="0"/>
                <c:extLst xmlns:c15="http://schemas.microsoft.com/office/drawing/2012/chart">
                  <c:ext xmlns:c16="http://schemas.microsoft.com/office/drawing/2014/chart" uri="{C3380CC4-5D6E-409C-BE32-E72D297353CC}">
                    <c16:uniqueId val="{00000007-8F9C-4664-9E7B-37271A4B8D2C}"/>
                  </c:ext>
                </c:extLst>
              </c15:ser>
            </c15:filteredLineSeries>
            <c15:filteredLineSeries>
              <c15:ser>
                <c:idx val="6"/>
                <c:order val="6"/>
                <c:tx>
                  <c:strRef>
                    <c:extLst xmlns:c15="http://schemas.microsoft.com/office/drawing/2012/chart">
                      <c:ext xmlns:c15="http://schemas.microsoft.com/office/drawing/2012/chart" uri="{02D57815-91ED-43cb-92C2-25804820EDAC}">
                        <c15:formulaRef>
                          <c15:sqref>'6. Summary Tracking Sheet'!$BN$3</c15:sqref>
                        </c15:formulaRef>
                      </c:ext>
                    </c:extLst>
                    <c:strCache>
                      <c:ptCount val="1"/>
                      <c:pt idx="0">
                        <c:v>TXReady_BL(SUM)</c:v>
                      </c:pt>
                    </c:strCache>
                  </c:strRef>
                </c:tx>
                <c:spPr>
                  <a:ln w="22225" cap="rnd">
                    <a:solidFill>
                      <a:schemeClr val="accent1">
                        <a:lumMod val="60000"/>
                      </a:schemeClr>
                    </a:solidFill>
                    <a:round/>
                  </a:ln>
                  <a:effectLst/>
                </c:spPr>
                <c:marker>
                  <c:symbol val="none"/>
                </c:marker>
                <c:val>
                  <c:numRef>
                    <c:extLst>
                      <c:ext xmlns:c15="http://schemas.microsoft.com/office/drawing/2012/chart" uri="{02D57815-91ED-43cb-92C2-25804820EDAC}">
                        <c15:fullRef>
                          <c15:sqref>'6. Summary Tracking Sheet'!$BP$4:$BP$44</c15:sqref>
                        </c15:fullRef>
                        <c15:formulaRef>
                          <c15:sqref>'6. Summary Tracking Sheet'!$BP$23:$BP$40</c15:sqref>
                        </c15:formulaRef>
                      </c:ext>
                    </c:extLst>
                    <c:numCache>
                      <c:formatCode>0;\-0;\-;@</c:formatCode>
                      <c:ptCount val="18"/>
                      <c:pt idx="0">
                        <c:v>0</c:v>
                      </c:pt>
                      <c:pt idx="1">
                        <c:v>0</c:v>
                      </c:pt>
                      <c:pt idx="2">
                        <c:v>0</c:v>
                      </c:pt>
                      <c:pt idx="3">
                        <c:v>0</c:v>
                      </c:pt>
                      <c:pt idx="4">
                        <c:v>0</c:v>
                      </c:pt>
                      <c:pt idx="5">
                        <c:v>0</c:v>
                      </c:pt>
                      <c:pt idx="6">
                        <c:v>1</c:v>
                      </c:pt>
                      <c:pt idx="7">
                        <c:v>4</c:v>
                      </c:pt>
                      <c:pt idx="8">
                        <c:v>15</c:v>
                      </c:pt>
                      <c:pt idx="9">
                        <c:v>25</c:v>
                      </c:pt>
                      <c:pt idx="10">
                        <c:v>38</c:v>
                      </c:pt>
                      <c:pt idx="11">
                        <c:v>54</c:v>
                      </c:pt>
                      <c:pt idx="12">
                        <c:v>59</c:v>
                      </c:pt>
                      <c:pt idx="13">
                        <c:v>60</c:v>
                      </c:pt>
                      <c:pt idx="14">
                        <c:v>60</c:v>
                      </c:pt>
                      <c:pt idx="15">
                        <c:v>60</c:v>
                      </c:pt>
                      <c:pt idx="16">
                        <c:v>60</c:v>
                      </c:pt>
                      <c:pt idx="17">
                        <c:v>60</c:v>
                      </c:pt>
                    </c:numCache>
                  </c:numRef>
                </c:val>
                <c:smooth val="0"/>
                <c:extLst xmlns:c15="http://schemas.microsoft.com/office/drawing/2012/chart">
                  <c:ext xmlns:c16="http://schemas.microsoft.com/office/drawing/2014/chart" uri="{C3380CC4-5D6E-409C-BE32-E72D297353CC}">
                    <c16:uniqueId val="{00000008-8F9C-4664-9E7B-37271A4B8D2C}"/>
                  </c:ext>
                </c:extLst>
              </c15:ser>
            </c15:filteredLineSeries>
            <c15:filteredLineSeries>
              <c15:ser>
                <c:idx val="7"/>
                <c:order val="7"/>
                <c:tx>
                  <c:strRef>
                    <c:extLst xmlns:c15="http://schemas.microsoft.com/office/drawing/2012/chart">
                      <c:ext xmlns:c15="http://schemas.microsoft.com/office/drawing/2012/chart" uri="{02D57815-91ED-43cb-92C2-25804820EDAC}">
                        <c15:formulaRef>
                          <c15:sqref>'6. Summary Tracking Sheet'!$BP$3</c15:sqref>
                        </c15:formulaRef>
                      </c:ext>
                    </c:extLst>
                    <c:strCache>
                      <c:ptCount val="1"/>
                      <c:pt idx="0">
                        <c:v>TXReady_AC(SUM)</c:v>
                      </c:pt>
                    </c:strCache>
                  </c:strRef>
                </c:tx>
                <c:spPr>
                  <a:ln w="22225" cap="rnd">
                    <a:solidFill>
                      <a:schemeClr val="accent2">
                        <a:lumMod val="60000"/>
                      </a:schemeClr>
                    </a:solidFill>
                    <a:round/>
                  </a:ln>
                  <a:effectLst/>
                </c:spPr>
                <c:marker>
                  <c:symbol val="none"/>
                </c:marker>
                <c:val>
                  <c:numRef>
                    <c:extLst>
                      <c:ext xmlns:c15="http://schemas.microsoft.com/office/drawing/2012/chart" uri="{02D57815-91ED-43cb-92C2-25804820EDAC}">
                        <c15:fullRef>
                          <c15:sqref>'6. Summary Tracking Sheet'!$BR$4:$BR$44</c15:sqref>
                        </c15:fullRef>
                        <c15:formulaRef>
                          <c15:sqref>'6. Summary Tracking Sheet'!$BR$23:$BR$40</c15:sqref>
                        </c15:formulaRef>
                      </c:ext>
                    </c:extLst>
                    <c:numCache>
                      <c:formatCode>0;\-0;\-;@</c:formatCode>
                      <c:ptCount val="18"/>
                      <c:pt idx="0">
                        <c:v>0</c:v>
                      </c:pt>
                      <c:pt idx="1">
                        <c:v>0</c:v>
                      </c:pt>
                      <c:pt idx="2">
                        <c:v>0</c:v>
                      </c:pt>
                      <c:pt idx="3">
                        <c:v>0</c:v>
                      </c:pt>
                      <c:pt idx="4">
                        <c:v>0</c:v>
                      </c:pt>
                      <c:pt idx="5">
                        <c:v>0</c:v>
                      </c:pt>
                      <c:pt idx="6">
                        <c:v>0</c:v>
                      </c:pt>
                      <c:pt idx="7">
                        <c:v>500</c:v>
                      </c:pt>
                      <c:pt idx="8">
                        <c:v>2500</c:v>
                      </c:pt>
                      <c:pt idx="9">
                        <c:v>6000</c:v>
                      </c:pt>
                      <c:pt idx="10">
                        <c:v>12000</c:v>
                      </c:pt>
                      <c:pt idx="11">
                        <c:v>19000</c:v>
                      </c:pt>
                      <c:pt idx="12">
                        <c:v>24500</c:v>
                      </c:pt>
                      <c:pt idx="13">
                        <c:v>25500</c:v>
                      </c:pt>
                      <c:pt idx="14">
                        <c:v>25500</c:v>
                      </c:pt>
                      <c:pt idx="15">
                        <c:v>25500</c:v>
                      </c:pt>
                      <c:pt idx="16">
                        <c:v>25500</c:v>
                      </c:pt>
                      <c:pt idx="17">
                        <c:v>25500</c:v>
                      </c:pt>
                    </c:numCache>
                  </c:numRef>
                </c:val>
                <c:smooth val="0"/>
                <c:extLst xmlns:c15="http://schemas.microsoft.com/office/drawing/2012/chart">
                  <c:ext xmlns:c16="http://schemas.microsoft.com/office/drawing/2014/chart" uri="{C3380CC4-5D6E-409C-BE32-E72D297353CC}">
                    <c16:uniqueId val="{00000009-8F9C-4664-9E7B-37271A4B8D2C}"/>
                  </c:ext>
                </c:extLst>
              </c15:ser>
            </c15:filteredLineSeries>
            <c15:filteredLineSeries>
              <c15:ser>
                <c:idx val="8"/>
                <c:order val="8"/>
                <c:tx>
                  <c:strRef>
                    <c:extLst xmlns:c15="http://schemas.microsoft.com/office/drawing/2012/chart">
                      <c:ext xmlns:c15="http://schemas.microsoft.com/office/drawing/2012/chart" uri="{02D57815-91ED-43cb-92C2-25804820EDAC}">
                        <c15:formulaRef>
                          <c15:sqref>'6. Summary Tracking Sheet'!$BX$3</c15:sqref>
                        </c15:formulaRef>
                      </c:ext>
                    </c:extLst>
                    <c:strCache>
                      <c:ptCount val="1"/>
                      <c:pt idx="0">
                        <c:v>ReadyForInstallation_BL(SUM)</c:v>
                      </c:pt>
                    </c:strCache>
                  </c:strRef>
                </c:tx>
                <c:spPr>
                  <a:ln w="22225" cap="rnd">
                    <a:solidFill>
                      <a:schemeClr val="accent3">
                        <a:lumMod val="60000"/>
                      </a:schemeClr>
                    </a:solidFill>
                    <a:round/>
                  </a:ln>
                  <a:effectLst/>
                </c:spPr>
                <c:marker>
                  <c:symbol val="none"/>
                </c:marker>
                <c:val>
                  <c:numRef>
                    <c:extLst>
                      <c:ext xmlns:c15="http://schemas.microsoft.com/office/drawing/2012/chart" uri="{02D57815-91ED-43cb-92C2-25804820EDAC}">
                        <c15:fullRef>
                          <c15:sqref>'6. Summary Tracking Sheet'!$BZ$4:$BZ$44</c15:sqref>
                        </c15:fullRef>
                        <c15:formulaRef>
                          <c15:sqref>'6. Summary Tracking Sheet'!$BZ$23:$BZ$40</c15:sqref>
                        </c15:formulaRef>
                      </c:ext>
                    </c:extLst>
                    <c:numCache>
                      <c:formatCode>0;\-0;\-;@</c:formatCode>
                      <c:ptCount val="18"/>
                      <c:pt idx="0">
                        <c:v>0</c:v>
                      </c:pt>
                      <c:pt idx="1">
                        <c:v>0</c:v>
                      </c:pt>
                      <c:pt idx="2">
                        <c:v>0</c:v>
                      </c:pt>
                      <c:pt idx="3">
                        <c:v>0</c:v>
                      </c:pt>
                      <c:pt idx="4">
                        <c:v>0</c:v>
                      </c:pt>
                      <c:pt idx="5">
                        <c:v>0</c:v>
                      </c:pt>
                      <c:pt idx="6">
                        <c:v>0</c:v>
                      </c:pt>
                      <c:pt idx="7">
                        <c:v>1</c:v>
                      </c:pt>
                      <c:pt idx="8">
                        <c:v>5</c:v>
                      </c:pt>
                      <c:pt idx="9">
                        <c:v>12</c:v>
                      </c:pt>
                      <c:pt idx="10">
                        <c:v>24</c:v>
                      </c:pt>
                      <c:pt idx="11">
                        <c:v>38</c:v>
                      </c:pt>
                      <c:pt idx="12">
                        <c:v>49</c:v>
                      </c:pt>
                      <c:pt idx="13">
                        <c:v>51</c:v>
                      </c:pt>
                      <c:pt idx="14">
                        <c:v>51</c:v>
                      </c:pt>
                      <c:pt idx="15">
                        <c:v>51</c:v>
                      </c:pt>
                      <c:pt idx="16">
                        <c:v>51</c:v>
                      </c:pt>
                      <c:pt idx="17">
                        <c:v>51</c:v>
                      </c:pt>
                    </c:numCache>
                  </c:numRef>
                </c:val>
                <c:smooth val="0"/>
                <c:extLst xmlns:c15="http://schemas.microsoft.com/office/drawing/2012/chart">
                  <c:ext xmlns:c16="http://schemas.microsoft.com/office/drawing/2014/chart" uri="{C3380CC4-5D6E-409C-BE32-E72D297353CC}">
                    <c16:uniqueId val="{00000000-8F9C-4664-9E7B-37271A4B8D2C}"/>
                  </c:ext>
                </c:extLst>
              </c15:ser>
            </c15:filteredLineSeries>
            <c15:filteredLineSeries>
              <c15:ser>
                <c:idx val="9"/>
                <c:order val="9"/>
                <c:tx>
                  <c:strRef>
                    <c:extLst xmlns:c15="http://schemas.microsoft.com/office/drawing/2012/chart">
                      <c:ext xmlns:c15="http://schemas.microsoft.com/office/drawing/2012/chart" uri="{02D57815-91ED-43cb-92C2-25804820EDAC}">
                        <c15:formulaRef>
                          <c15:sqref>'6. Summary Tracking Sheet'!$BZ$3</c15:sqref>
                        </c15:formulaRef>
                      </c:ext>
                    </c:extLst>
                    <c:strCache>
                      <c:ptCount val="1"/>
                      <c:pt idx="0">
                        <c:v>ReadyForInstallation_AC(SUM)</c:v>
                      </c:pt>
                    </c:strCache>
                  </c:strRef>
                </c:tx>
                <c:spPr>
                  <a:ln w="22225" cap="rnd">
                    <a:solidFill>
                      <a:schemeClr val="accent4">
                        <a:lumMod val="60000"/>
                      </a:schemeClr>
                    </a:solidFill>
                    <a:round/>
                  </a:ln>
                  <a:effectLst/>
                </c:spPr>
                <c:marker>
                  <c:symbol val="none"/>
                </c:marker>
                <c:val>
                  <c:numRef>
                    <c:extLst>
                      <c:ext xmlns:c15="http://schemas.microsoft.com/office/drawing/2012/chart" uri="{02D57815-91ED-43cb-92C2-25804820EDAC}">
                        <c15:fullRef>
                          <c15:sqref>'6. Summary Tracking Sheet'!$CB$4:$CB$44</c15:sqref>
                        </c15:fullRef>
                        <c15:formulaRef>
                          <c15:sqref>'6. Summary Tracking Sheet'!$CB$23:$CB$40</c15:sqref>
                        </c15:formulaRef>
                      </c:ext>
                    </c:extLst>
                    <c:numCache>
                      <c:formatCode>0;\-0;\-;@</c:formatCode>
                      <c:ptCount val="18"/>
                      <c:pt idx="0">
                        <c:v>0</c:v>
                      </c:pt>
                      <c:pt idx="1">
                        <c:v>0</c:v>
                      </c:pt>
                      <c:pt idx="2">
                        <c:v>0</c:v>
                      </c:pt>
                      <c:pt idx="3">
                        <c:v>0</c:v>
                      </c:pt>
                      <c:pt idx="4">
                        <c:v>0</c:v>
                      </c:pt>
                      <c:pt idx="5">
                        <c:v>0</c:v>
                      </c:pt>
                      <c:pt idx="6">
                        <c:v>0</c:v>
                      </c:pt>
                      <c:pt idx="7">
                        <c:v>0</c:v>
                      </c:pt>
                      <c:pt idx="8">
                        <c:v>5000</c:v>
                      </c:pt>
                      <c:pt idx="9">
                        <c:v>17500</c:v>
                      </c:pt>
                      <c:pt idx="10">
                        <c:v>40000</c:v>
                      </c:pt>
                      <c:pt idx="11">
                        <c:v>70000</c:v>
                      </c:pt>
                      <c:pt idx="12">
                        <c:v>95000</c:v>
                      </c:pt>
                      <c:pt idx="13">
                        <c:v>100000</c:v>
                      </c:pt>
                      <c:pt idx="14">
                        <c:v>100000</c:v>
                      </c:pt>
                      <c:pt idx="15">
                        <c:v>100000</c:v>
                      </c:pt>
                      <c:pt idx="16">
                        <c:v>100000</c:v>
                      </c:pt>
                      <c:pt idx="17">
                        <c:v>100000</c:v>
                      </c:pt>
                    </c:numCache>
                  </c:numRef>
                </c:val>
                <c:smooth val="0"/>
                <c:extLst xmlns:c15="http://schemas.microsoft.com/office/drawing/2012/chart">
                  <c:ext xmlns:c16="http://schemas.microsoft.com/office/drawing/2014/chart" uri="{C3380CC4-5D6E-409C-BE32-E72D297353CC}">
                    <c16:uniqueId val="{00000001-8F9C-4664-9E7B-37271A4B8D2C}"/>
                  </c:ext>
                </c:extLst>
              </c15:ser>
            </c15:filteredLineSeries>
            <c15:filteredLineSeries>
              <c15:ser>
                <c:idx val="12"/>
                <c:order val="12"/>
                <c:tx>
                  <c:strRef>
                    <c:extLst xmlns:c15="http://schemas.microsoft.com/office/drawing/2012/chart">
                      <c:ext xmlns:c15="http://schemas.microsoft.com/office/drawing/2012/chart" uri="{02D57815-91ED-43cb-92C2-25804820EDAC}">
                        <c15:formulaRef>
                          <c15:sqref>'6. Summary Tracking Sheet'!$CR$3</c15:sqref>
                        </c15:formulaRef>
                      </c:ext>
                    </c:extLst>
                    <c:strCache>
                      <c:ptCount val="1"/>
                      <c:pt idx="0">
                        <c:v>SiteOnAir_BL(SUM)</c:v>
                      </c:pt>
                    </c:strCache>
                  </c:strRef>
                </c:tx>
                <c:spPr>
                  <a:ln w="22225" cap="rnd">
                    <a:solidFill>
                      <a:schemeClr val="accent1">
                        <a:lumMod val="80000"/>
                        <a:lumOff val="20000"/>
                      </a:schemeClr>
                    </a:solidFill>
                    <a:round/>
                  </a:ln>
                  <a:effectLst/>
                </c:spPr>
                <c:marker>
                  <c:symbol val="none"/>
                </c:marker>
                <c:val>
                  <c:numRef>
                    <c:extLst>
                      <c:ext xmlns:c15="http://schemas.microsoft.com/office/drawing/2012/chart" uri="{02D57815-91ED-43cb-92C2-25804820EDAC}">
                        <c15:fullRef>
                          <c15:sqref>'6. Summary Tracking Sheet'!$CT$4:$CT$44</c15:sqref>
                        </c15:fullRef>
                        <c15:formulaRef>
                          <c15:sqref>'6. Summary Tracking Sheet'!$CT$23:$CT$40</c15:sqref>
                        </c15:formulaRef>
                      </c:ext>
                    </c:extLst>
                    <c:numCache>
                      <c:formatCode>0;\-0;\-;@</c:formatCode>
                      <c:ptCount val="18"/>
                      <c:pt idx="0">
                        <c:v>0</c:v>
                      </c:pt>
                      <c:pt idx="1">
                        <c:v>0</c:v>
                      </c:pt>
                      <c:pt idx="2">
                        <c:v>0</c:v>
                      </c:pt>
                      <c:pt idx="3">
                        <c:v>0</c:v>
                      </c:pt>
                      <c:pt idx="4">
                        <c:v>0</c:v>
                      </c:pt>
                      <c:pt idx="5">
                        <c:v>0</c:v>
                      </c:pt>
                      <c:pt idx="6">
                        <c:v>0</c:v>
                      </c:pt>
                      <c:pt idx="7">
                        <c:v>0</c:v>
                      </c:pt>
                      <c:pt idx="8">
                        <c:v>1</c:v>
                      </c:pt>
                      <c:pt idx="9">
                        <c:v>6</c:v>
                      </c:pt>
                      <c:pt idx="10">
                        <c:v>10</c:v>
                      </c:pt>
                      <c:pt idx="11">
                        <c:v>21</c:v>
                      </c:pt>
                      <c:pt idx="12">
                        <c:v>28</c:v>
                      </c:pt>
                      <c:pt idx="13">
                        <c:v>30</c:v>
                      </c:pt>
                      <c:pt idx="14">
                        <c:v>30</c:v>
                      </c:pt>
                      <c:pt idx="15">
                        <c:v>30</c:v>
                      </c:pt>
                      <c:pt idx="16">
                        <c:v>30</c:v>
                      </c:pt>
                      <c:pt idx="17">
                        <c:v>30</c:v>
                      </c:pt>
                    </c:numCache>
                  </c:numRef>
                </c:val>
                <c:smooth val="0"/>
                <c:extLst xmlns:c15="http://schemas.microsoft.com/office/drawing/2012/chart">
                  <c:ext xmlns:c16="http://schemas.microsoft.com/office/drawing/2014/chart" uri="{C3380CC4-5D6E-409C-BE32-E72D297353CC}">
                    <c16:uniqueId val="{0000000C-8F9C-4664-9E7B-37271A4B8D2C}"/>
                  </c:ext>
                </c:extLst>
              </c15:ser>
            </c15:filteredLineSeries>
            <c15:filteredLineSeries>
              <c15:ser>
                <c:idx val="13"/>
                <c:order val="13"/>
                <c:tx>
                  <c:strRef>
                    <c:extLst xmlns:c15="http://schemas.microsoft.com/office/drawing/2012/chart">
                      <c:ext xmlns:c15="http://schemas.microsoft.com/office/drawing/2012/chart" uri="{02D57815-91ED-43cb-92C2-25804820EDAC}">
                        <c15:formulaRef>
                          <c15:sqref>'6. Summary Tracking Sheet'!$CT$3</c15:sqref>
                        </c15:formulaRef>
                      </c:ext>
                    </c:extLst>
                    <c:strCache>
                      <c:ptCount val="1"/>
                      <c:pt idx="0">
                        <c:v>SiteOnAir_AC(SUM)</c:v>
                      </c:pt>
                    </c:strCache>
                  </c:strRef>
                </c:tx>
                <c:spPr>
                  <a:ln w="22225" cap="rnd">
                    <a:solidFill>
                      <a:schemeClr val="accent2">
                        <a:lumMod val="80000"/>
                        <a:lumOff val="20000"/>
                      </a:schemeClr>
                    </a:solidFill>
                    <a:round/>
                  </a:ln>
                  <a:effectLst/>
                </c:spPr>
                <c:marker>
                  <c:symbol val="none"/>
                </c:marker>
                <c:val>
                  <c:numRef>
                    <c:extLst>
                      <c:ext xmlns:c15="http://schemas.microsoft.com/office/drawing/2012/chart" uri="{02D57815-91ED-43cb-92C2-25804820EDAC}">
                        <c15:fullRef>
                          <c15:sqref>'6. Summary Tracking Sheet'!$CV$4:$CV$44</c15:sqref>
                        </c15:fullRef>
                        <c15:formulaRef>
                          <c15:sqref>'6. Summary Tracking Sheet'!$CV$23:$CV$40</c15:sqref>
                        </c15:formulaRef>
                      </c:ext>
                    </c:extLst>
                    <c:numCache>
                      <c:formatCode>0;\-0;\-;@</c:formatCode>
                      <c:ptCount val="18"/>
                      <c:pt idx="0">
                        <c:v>0</c:v>
                      </c:pt>
                      <c:pt idx="1">
                        <c:v>0</c:v>
                      </c:pt>
                      <c:pt idx="2">
                        <c:v>0</c:v>
                      </c:pt>
                      <c:pt idx="3">
                        <c:v>0</c:v>
                      </c:pt>
                      <c:pt idx="4">
                        <c:v>0</c:v>
                      </c:pt>
                      <c:pt idx="5">
                        <c:v>0</c:v>
                      </c:pt>
                      <c:pt idx="6">
                        <c:v>0</c:v>
                      </c:pt>
                      <c:pt idx="7">
                        <c:v>0</c:v>
                      </c:pt>
                      <c:pt idx="8">
                        <c:v>0</c:v>
                      </c:pt>
                      <c:pt idx="9">
                        <c:v>500</c:v>
                      </c:pt>
                      <c:pt idx="10">
                        <c:v>1250</c:v>
                      </c:pt>
                      <c:pt idx="11">
                        <c:v>3750</c:v>
                      </c:pt>
                      <c:pt idx="12">
                        <c:v>4750</c:v>
                      </c:pt>
                      <c:pt idx="13">
                        <c:v>5000</c:v>
                      </c:pt>
                      <c:pt idx="14">
                        <c:v>5000</c:v>
                      </c:pt>
                      <c:pt idx="15">
                        <c:v>5000</c:v>
                      </c:pt>
                      <c:pt idx="16">
                        <c:v>5000</c:v>
                      </c:pt>
                      <c:pt idx="17">
                        <c:v>5000</c:v>
                      </c:pt>
                    </c:numCache>
                  </c:numRef>
                </c:val>
                <c:smooth val="0"/>
                <c:extLst xmlns:c15="http://schemas.microsoft.com/office/drawing/2012/chart">
                  <c:ext xmlns:c16="http://schemas.microsoft.com/office/drawing/2014/chart" uri="{C3380CC4-5D6E-409C-BE32-E72D297353CC}">
                    <c16:uniqueId val="{0000000D-8F9C-4664-9E7B-37271A4B8D2C}"/>
                  </c:ext>
                </c:extLst>
              </c15:ser>
            </c15:filteredLineSeries>
            <c15:filteredLineSeries>
              <c15:ser>
                <c:idx val="14"/>
                <c:order val="14"/>
                <c:tx>
                  <c:strRef>
                    <c:extLst xmlns:c15="http://schemas.microsoft.com/office/drawing/2012/chart">
                      <c:ext xmlns:c15="http://schemas.microsoft.com/office/drawing/2012/chart" uri="{02D57815-91ED-43cb-92C2-25804820EDAC}">
                        <c15:formulaRef>
                          <c15:sqref>'6. Summary Tracking Sheet'!$DB$3</c15:sqref>
                        </c15:formulaRef>
                      </c:ext>
                    </c:extLst>
                    <c:strCache>
                      <c:ptCount val="1"/>
                      <c:pt idx="0">
                        <c:v>SiteAccepted_BL(SUM)</c:v>
                      </c:pt>
                    </c:strCache>
                  </c:strRef>
                </c:tx>
                <c:spPr>
                  <a:ln w="22225" cap="rnd">
                    <a:solidFill>
                      <a:schemeClr val="accent3">
                        <a:lumMod val="80000"/>
                        <a:lumOff val="20000"/>
                      </a:schemeClr>
                    </a:solidFill>
                    <a:round/>
                  </a:ln>
                  <a:effectLst/>
                </c:spPr>
                <c:marker>
                  <c:symbol val="none"/>
                </c:marker>
                <c:val>
                  <c:numRef>
                    <c:extLst>
                      <c:ext xmlns:c15="http://schemas.microsoft.com/office/drawing/2012/chart" uri="{02D57815-91ED-43cb-92C2-25804820EDAC}">
                        <c15:fullRef>
                          <c15:sqref>'6. Summary Tracking Sheet'!$DD$4:$DD$44</c15:sqref>
                        </c15:fullRef>
                        <c15:formulaRef>
                          <c15:sqref>'6. Summary Tracking Sheet'!$DD$23:$DD$40</c15:sqref>
                        </c15:formulaRef>
                      </c:ext>
                    </c:extLst>
                    <c:numCache>
                      <c:formatCode>0;\-0;\-;@</c:formatCode>
                      <c:ptCount val="18"/>
                      <c:pt idx="0">
                        <c:v>0</c:v>
                      </c:pt>
                      <c:pt idx="1">
                        <c:v>0</c:v>
                      </c:pt>
                      <c:pt idx="2">
                        <c:v>0</c:v>
                      </c:pt>
                      <c:pt idx="3">
                        <c:v>0</c:v>
                      </c:pt>
                      <c:pt idx="4">
                        <c:v>0</c:v>
                      </c:pt>
                      <c:pt idx="5">
                        <c:v>0</c:v>
                      </c:pt>
                      <c:pt idx="6">
                        <c:v>0</c:v>
                      </c:pt>
                      <c:pt idx="7">
                        <c:v>0</c:v>
                      </c:pt>
                      <c:pt idx="8">
                        <c:v>0</c:v>
                      </c:pt>
                      <c:pt idx="9">
                        <c:v>2</c:v>
                      </c:pt>
                      <c:pt idx="10">
                        <c:v>5</c:v>
                      </c:pt>
                      <c:pt idx="11">
                        <c:v>15</c:v>
                      </c:pt>
                      <c:pt idx="12">
                        <c:v>19</c:v>
                      </c:pt>
                      <c:pt idx="13">
                        <c:v>20</c:v>
                      </c:pt>
                      <c:pt idx="14">
                        <c:v>20</c:v>
                      </c:pt>
                      <c:pt idx="15">
                        <c:v>20</c:v>
                      </c:pt>
                      <c:pt idx="16">
                        <c:v>20</c:v>
                      </c:pt>
                      <c:pt idx="17">
                        <c:v>20</c:v>
                      </c:pt>
                    </c:numCache>
                  </c:numRef>
                </c:val>
                <c:smooth val="0"/>
                <c:extLst xmlns:c15="http://schemas.microsoft.com/office/drawing/2012/chart">
                  <c:ext xmlns:c16="http://schemas.microsoft.com/office/drawing/2014/chart" uri="{C3380CC4-5D6E-409C-BE32-E72D297353CC}">
                    <c16:uniqueId val="{0000000E-8F9C-4664-9E7B-37271A4B8D2C}"/>
                  </c:ext>
                </c:extLst>
              </c15:ser>
            </c15:filteredLineSeries>
            <c15:filteredLineSeries>
              <c15:ser>
                <c:idx val="15"/>
                <c:order val="15"/>
                <c:tx>
                  <c:strRef>
                    <c:extLst xmlns:c15="http://schemas.microsoft.com/office/drawing/2012/chart">
                      <c:ext xmlns:c15="http://schemas.microsoft.com/office/drawing/2012/chart" uri="{02D57815-91ED-43cb-92C2-25804820EDAC}">
                        <c15:formulaRef>
                          <c15:sqref>'6. Summary Tracking Sheet'!$DD$3</c15:sqref>
                        </c15:formulaRef>
                      </c:ext>
                    </c:extLst>
                    <c:strCache>
                      <c:ptCount val="1"/>
                      <c:pt idx="0">
                        <c:v>SiteAccepted_AC(SUM)</c:v>
                      </c:pt>
                    </c:strCache>
                  </c:strRef>
                </c:tx>
                <c:spPr>
                  <a:ln w="22225" cap="rnd">
                    <a:solidFill>
                      <a:schemeClr val="accent4">
                        <a:lumMod val="80000"/>
                        <a:lumOff val="20000"/>
                      </a:schemeClr>
                    </a:solidFill>
                    <a:round/>
                  </a:ln>
                  <a:effectLst/>
                </c:spPr>
                <c:marker>
                  <c:symbol val="none"/>
                </c:marker>
                <c:val>
                  <c:numRef>
                    <c:extLst>
                      <c:ext xmlns:c15="http://schemas.microsoft.com/office/drawing/2012/chart" uri="{02D57815-91ED-43cb-92C2-25804820EDAC}">
                        <c15:fullRef>
                          <c15:sqref>'6. Summary Tracking Sheet'!$DF$4:$DF$44</c15:sqref>
                        </c15:fullRef>
                        <c15:formulaRef>
                          <c15:sqref>'6. Summary Tracking Sheet'!$DF$23:$DF$40</c15:sqref>
                        </c15:formulaRef>
                      </c:ext>
                    </c:extLst>
                    <c:numCache>
                      <c:formatCode>0;\-0;\-;@</c:formatCode>
                      <c:ptCount val="18"/>
                      <c:pt idx="0">
                        <c:v>0</c:v>
                      </c:pt>
                      <c:pt idx="1">
                        <c:v>0</c:v>
                      </c:pt>
                      <c:pt idx="2">
                        <c:v>0</c:v>
                      </c:pt>
                      <c:pt idx="3">
                        <c:v>0</c:v>
                      </c:pt>
                      <c:pt idx="4">
                        <c:v>0</c:v>
                      </c:pt>
                      <c:pt idx="5">
                        <c:v>0</c:v>
                      </c:pt>
                      <c:pt idx="6">
                        <c:v>0</c:v>
                      </c:pt>
                      <c:pt idx="7">
                        <c:v>0</c:v>
                      </c:pt>
                      <c:pt idx="8">
                        <c:v>0</c:v>
                      </c:pt>
                      <c:pt idx="9">
                        <c:v>0</c:v>
                      </c:pt>
                      <c:pt idx="10">
                        <c:v>200</c:v>
                      </c:pt>
                      <c:pt idx="11">
                        <c:v>600</c:v>
                      </c:pt>
                      <c:pt idx="12">
                        <c:v>1400</c:v>
                      </c:pt>
                      <c:pt idx="13">
                        <c:v>1800</c:v>
                      </c:pt>
                      <c:pt idx="14">
                        <c:v>2000</c:v>
                      </c:pt>
                      <c:pt idx="15">
                        <c:v>2000</c:v>
                      </c:pt>
                      <c:pt idx="16">
                        <c:v>2000</c:v>
                      </c:pt>
                      <c:pt idx="17">
                        <c:v>2000</c:v>
                      </c:pt>
                    </c:numCache>
                  </c:numRef>
                </c:val>
                <c:smooth val="0"/>
                <c:extLst xmlns:c15="http://schemas.microsoft.com/office/drawing/2012/chart">
                  <c:ext xmlns:c16="http://schemas.microsoft.com/office/drawing/2014/chart" uri="{C3380CC4-5D6E-409C-BE32-E72D297353CC}">
                    <c16:uniqueId val="{0000000F-8F9C-4664-9E7B-37271A4B8D2C}"/>
                  </c:ext>
                </c:extLst>
              </c15:ser>
            </c15:filteredLineSeries>
            <c15:filteredLineSeries>
              <c15:ser>
                <c:idx val="16"/>
                <c:order val="16"/>
                <c:tx>
                  <c:strRef>
                    <c:extLst xmlns:c15="http://schemas.microsoft.com/office/drawing/2012/chart">
                      <c:ext xmlns:c15="http://schemas.microsoft.com/office/drawing/2012/chart" uri="{02D57815-91ED-43cb-92C2-25804820EDAC}">
                        <c15:formulaRef>
                          <c15:sqref>'6. Summary Tracking Sheet'!$DL$3</c15:sqref>
                        </c15:formulaRef>
                      </c:ext>
                    </c:extLst>
                    <c:strCache>
                      <c:ptCount val="1"/>
                      <c:pt idx="0">
                        <c:v>SiteInOperations_BL(SUM)</c:v>
                      </c:pt>
                    </c:strCache>
                  </c:strRef>
                </c:tx>
                <c:spPr>
                  <a:ln w="22225" cap="rnd">
                    <a:solidFill>
                      <a:schemeClr val="accent5">
                        <a:lumMod val="80000"/>
                        <a:lumOff val="20000"/>
                      </a:schemeClr>
                    </a:solidFill>
                    <a:round/>
                  </a:ln>
                  <a:effectLst/>
                </c:spPr>
                <c:marker>
                  <c:symbol val="none"/>
                </c:marker>
                <c:val>
                  <c:numRef>
                    <c:extLst>
                      <c:ext xmlns:c15="http://schemas.microsoft.com/office/drawing/2012/chart" uri="{02D57815-91ED-43cb-92C2-25804820EDAC}">
                        <c15:fullRef>
                          <c15:sqref>'6. Summary Tracking Sheet'!$DN$4:$DN$44</c15:sqref>
                        </c15:fullRef>
                        <c15:formulaRef>
                          <c15:sqref>'6. Summary Tracking Sheet'!$DN$23:$DN$40</c15:sqref>
                        </c15:formulaRef>
                      </c:ext>
                    </c:extLst>
                    <c:numCache>
                      <c:formatCode>0;\-0;\-;@</c:formatCode>
                      <c:ptCount val="18"/>
                      <c:pt idx="0">
                        <c:v>0</c:v>
                      </c:pt>
                      <c:pt idx="1">
                        <c:v>0</c:v>
                      </c:pt>
                      <c:pt idx="2">
                        <c:v>0</c:v>
                      </c:pt>
                      <c:pt idx="3">
                        <c:v>0</c:v>
                      </c:pt>
                      <c:pt idx="4">
                        <c:v>0</c:v>
                      </c:pt>
                      <c:pt idx="5">
                        <c:v>0</c:v>
                      </c:pt>
                      <c:pt idx="6">
                        <c:v>0</c:v>
                      </c:pt>
                      <c:pt idx="7">
                        <c:v>0</c:v>
                      </c:pt>
                      <c:pt idx="8">
                        <c:v>0</c:v>
                      </c:pt>
                      <c:pt idx="9">
                        <c:v>0</c:v>
                      </c:pt>
                      <c:pt idx="10">
                        <c:v>1</c:v>
                      </c:pt>
                      <c:pt idx="11">
                        <c:v>3</c:v>
                      </c:pt>
                      <c:pt idx="12">
                        <c:v>7</c:v>
                      </c:pt>
                      <c:pt idx="13">
                        <c:v>9</c:v>
                      </c:pt>
                      <c:pt idx="14">
                        <c:v>10</c:v>
                      </c:pt>
                      <c:pt idx="15">
                        <c:v>10</c:v>
                      </c:pt>
                      <c:pt idx="16">
                        <c:v>10</c:v>
                      </c:pt>
                      <c:pt idx="17">
                        <c:v>10</c:v>
                      </c:pt>
                    </c:numCache>
                  </c:numRef>
                </c:val>
                <c:smooth val="0"/>
                <c:extLst xmlns:c15="http://schemas.microsoft.com/office/drawing/2012/chart">
                  <c:ext xmlns:c16="http://schemas.microsoft.com/office/drawing/2014/chart" uri="{C3380CC4-5D6E-409C-BE32-E72D297353CC}">
                    <c16:uniqueId val="{00000010-8F9C-4664-9E7B-37271A4B8D2C}"/>
                  </c:ext>
                </c:extLst>
              </c15:ser>
            </c15:filteredLineSeries>
            <c15:filteredLineSeries>
              <c15:ser>
                <c:idx val="17"/>
                <c:order val="17"/>
                <c:tx>
                  <c:strRef>
                    <c:extLst xmlns:c15="http://schemas.microsoft.com/office/drawing/2012/chart">
                      <c:ext xmlns:c15="http://schemas.microsoft.com/office/drawing/2012/chart" uri="{02D57815-91ED-43cb-92C2-25804820EDAC}">
                        <c15:formulaRef>
                          <c15:sqref>'6. Summary Tracking Sheet'!$DN$3</c15:sqref>
                        </c15:formulaRef>
                      </c:ext>
                    </c:extLst>
                    <c:strCache>
                      <c:ptCount val="1"/>
                      <c:pt idx="0">
                        <c:v>SiteInOperations_AC(SUM)</c:v>
                      </c:pt>
                    </c:strCache>
                  </c:strRef>
                </c:tx>
                <c:spPr>
                  <a:ln w="22225" cap="rnd">
                    <a:solidFill>
                      <a:schemeClr val="accent6">
                        <a:lumMod val="80000"/>
                        <a:lumOff val="20000"/>
                      </a:schemeClr>
                    </a:solidFill>
                    <a:round/>
                  </a:ln>
                  <a:effectLst/>
                </c:spPr>
                <c:marker>
                  <c:symbol val="none"/>
                </c:marker>
                <c:val>
                  <c:numRef>
                    <c:extLst>
                      <c:ext xmlns:c15="http://schemas.microsoft.com/office/drawing/2012/chart" uri="{02D57815-91ED-43cb-92C2-25804820EDAC}">
                        <c15:fullRef>
                          <c15:sqref>'6. Summary Tracking Sheet'!$DP$4:$DP$44</c15:sqref>
                        </c15:fullRef>
                        <c15:formulaRef>
                          <c15:sqref>'6. Summary Tracking Sheet'!$DP$23:$DP$40</c15:sqref>
                        </c15:formulaRef>
                      </c:ext>
                    </c:extLst>
                    <c:numCache>
                      <c:formatCode>_(* #,##0_);_(* \(#,##0\);_(* "-"??_);_(@_)</c:formatCode>
                      <c:ptCount val="18"/>
                      <c:pt idx="0">
                        <c:v>0</c:v>
                      </c:pt>
                      <c:pt idx="1">
                        <c:v>0</c:v>
                      </c:pt>
                      <c:pt idx="2">
                        <c:v>1000</c:v>
                      </c:pt>
                      <c:pt idx="3">
                        <c:v>7000</c:v>
                      </c:pt>
                      <c:pt idx="4">
                        <c:v>20350</c:v>
                      </c:pt>
                      <c:pt idx="5">
                        <c:v>44150</c:v>
                      </c:pt>
                      <c:pt idx="6">
                        <c:v>73500</c:v>
                      </c:pt>
                      <c:pt idx="7">
                        <c:v>124200</c:v>
                      </c:pt>
                      <c:pt idx="8">
                        <c:v>190800</c:v>
                      </c:pt>
                      <c:pt idx="9">
                        <c:v>279500</c:v>
                      </c:pt>
                      <c:pt idx="10">
                        <c:v>387900</c:v>
                      </c:pt>
                      <c:pt idx="11">
                        <c:v>480700</c:v>
                      </c:pt>
                      <c:pt idx="12">
                        <c:v>602700</c:v>
                      </c:pt>
                      <c:pt idx="13">
                        <c:v>686850</c:v>
                      </c:pt>
                      <c:pt idx="14">
                        <c:v>742450</c:v>
                      </c:pt>
                      <c:pt idx="15">
                        <c:v>760150</c:v>
                      </c:pt>
                      <c:pt idx="16">
                        <c:v>767200</c:v>
                      </c:pt>
                      <c:pt idx="17">
                        <c:v>770000</c:v>
                      </c:pt>
                    </c:numCache>
                  </c:numRef>
                </c:val>
                <c:smooth val="0"/>
                <c:extLst xmlns:c15="http://schemas.microsoft.com/office/drawing/2012/chart">
                  <c:ext xmlns:c16="http://schemas.microsoft.com/office/drawing/2014/chart" uri="{C3380CC4-5D6E-409C-BE32-E72D297353CC}">
                    <c16:uniqueId val="{00000011-8F9C-4664-9E7B-37271A4B8D2C}"/>
                  </c:ext>
                </c:extLst>
              </c15:ser>
            </c15:filteredLineSeries>
          </c:ext>
        </c:extLst>
      </c:lineChart>
      <c:catAx>
        <c:axId val="550300207"/>
        <c:scaling>
          <c:orientation val="minMax"/>
        </c:scaling>
        <c:delete val="0"/>
        <c:axPos val="b"/>
        <c:majorGridlines>
          <c:spPr>
            <a:ln w="9525" cap="flat" cmpd="sng" algn="ctr">
              <a:solidFill>
                <a:schemeClr val="dk1">
                  <a:lumMod val="15000"/>
                  <a:lumOff val="85000"/>
                  <a:alpha val="54000"/>
                </a:schemeClr>
              </a:solidFill>
              <a:round/>
            </a:ln>
            <a:effectLst/>
          </c:spPr>
        </c:majorGridlines>
        <c:minorGridlines>
          <c:spPr>
            <a:ln w="9525" cap="flat" cmpd="sng" algn="ctr">
              <a:solidFill>
                <a:schemeClr val="dk1">
                  <a:lumMod val="15000"/>
                  <a:lumOff val="85000"/>
                  <a:alpha val="51000"/>
                </a:schemeClr>
              </a:solidFill>
              <a:round/>
            </a:ln>
            <a:effectLst/>
          </c:spPr>
        </c:minorGridlines>
        <c:title>
          <c:tx>
            <c:rich>
              <a:bodyPr rot="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r>
                  <a:rPr lang="en-US"/>
                  <a:t>Week</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endParaRPr lang="en-US"/>
            </a:p>
          </c:txPr>
        </c:title>
        <c:numFmt formatCode="General" sourceLinked="0"/>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cap="none" spc="0" normalizeH="0" baseline="0">
                <a:solidFill>
                  <a:schemeClr val="dk1">
                    <a:lumMod val="65000"/>
                    <a:lumOff val="35000"/>
                  </a:schemeClr>
                </a:solidFill>
                <a:latin typeface="+mn-lt"/>
                <a:ea typeface="+mn-ea"/>
                <a:cs typeface="+mn-cs"/>
              </a:defRPr>
            </a:pPr>
            <a:endParaRPr lang="en-US"/>
          </a:p>
        </c:txPr>
        <c:crossAx val="506817855"/>
        <c:crosses val="autoZero"/>
        <c:auto val="1"/>
        <c:lblAlgn val="ctr"/>
        <c:lblOffset val="100"/>
        <c:noMultiLvlLbl val="0"/>
      </c:catAx>
      <c:valAx>
        <c:axId val="506817855"/>
        <c:scaling>
          <c:orientation val="minMax"/>
        </c:scaling>
        <c:delete val="0"/>
        <c:axPos val="l"/>
        <c:majorGridlines>
          <c:spPr>
            <a:ln w="9525" cap="flat" cmpd="sng" algn="ctr">
              <a:solidFill>
                <a:schemeClr val="dk1">
                  <a:lumMod val="15000"/>
                  <a:lumOff val="85000"/>
                  <a:alpha val="54000"/>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r>
                  <a:rPr lang="en-US"/>
                  <a:t>Sites</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endParaRPr lang="en-US"/>
            </a:p>
          </c:txPr>
        </c:title>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crossAx val="550300207"/>
        <c:crosses val="autoZero"/>
        <c:crossBetween val="between"/>
      </c:valAx>
      <c:dTable>
        <c:showHorzBorder val="1"/>
        <c:showVertBorder val="1"/>
        <c:showOutline val="1"/>
        <c:showKeys val="1"/>
        <c:spPr>
          <a:noFill/>
          <a:ln w="9525" cap="flat" cmpd="sng" algn="ctr">
            <a:solidFill>
              <a:schemeClr val="dk1">
                <a:lumMod val="15000"/>
                <a:lumOff val="85000"/>
              </a:schemeClr>
            </a:solidFill>
            <a:round/>
          </a:ln>
          <a:effectLst/>
        </c:spPr>
        <c:txPr>
          <a:bodyPr rot="0" spcFirstLastPara="1" vertOverflow="ellipsis" vert="horz" wrap="square" anchor="ctr" anchorCtr="1"/>
          <a:lstStyle/>
          <a:p>
            <a:pPr rtl="0">
              <a:defRPr sz="800" b="0" i="0" u="none" strike="noStrike" kern="1200" baseline="0">
                <a:solidFill>
                  <a:schemeClr val="dk1">
                    <a:lumMod val="65000"/>
                    <a:lumOff val="35000"/>
                  </a:schemeClr>
                </a:solidFill>
                <a:latin typeface="+mn-lt"/>
                <a:ea typeface="+mn-ea"/>
                <a:cs typeface="+mn-cs"/>
              </a:defRPr>
            </a:pPr>
            <a:endParaRPr lang="en-US"/>
          </a:p>
        </c:txPr>
      </c:dTable>
      <c:spPr>
        <a:pattFill prst="ltDnDiag">
          <a:fgClr>
            <a:schemeClr val="dk1">
              <a:lumMod val="15000"/>
              <a:lumOff val="85000"/>
            </a:schemeClr>
          </a:fgClr>
          <a:bgClr>
            <a:schemeClr val="lt1"/>
          </a:bgClr>
        </a:patt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12"/>
          <c:order val="12"/>
          <c:tx>
            <c:strRef>
              <c:f>'6. Summary Tracking Sheet'!$CR$3</c:f>
              <c:strCache>
                <c:ptCount val="1"/>
                <c:pt idx="0">
                  <c:v>SiteOnAir_BL(SUM)</c:v>
                </c:pt>
              </c:strCache>
              <c:extLst xmlns:c15="http://schemas.microsoft.com/office/drawing/2012/chart"/>
            </c:strRef>
          </c:tx>
          <c:spPr>
            <a:ln w="22225" cap="rnd">
              <a:solidFill>
                <a:schemeClr val="accent1">
                  <a:lumMod val="80000"/>
                  <a:lumOff val="20000"/>
                </a:schemeClr>
              </a:solidFill>
              <a:round/>
            </a:ln>
            <a:effectLst/>
          </c:spPr>
          <c:marker>
            <c:symbol val="none"/>
          </c:marker>
          <c:cat>
            <c:strLit>
              <c:ptCount val="18"/>
              <c:pt idx="0">
                <c:v>20</c:v>
              </c:pt>
              <c:pt idx="1">
                <c:v>21</c:v>
              </c:pt>
              <c:pt idx="2">
                <c:v>22</c:v>
              </c:pt>
              <c:pt idx="3">
                <c:v>23</c:v>
              </c:pt>
              <c:pt idx="4">
                <c:v>24</c:v>
              </c:pt>
              <c:pt idx="5">
                <c:v>25</c:v>
              </c:pt>
              <c:pt idx="6">
                <c:v>26</c:v>
              </c:pt>
              <c:pt idx="7">
                <c:v>27</c:v>
              </c:pt>
              <c:pt idx="8">
                <c:v>28</c:v>
              </c:pt>
              <c:pt idx="9">
                <c:v>29</c:v>
              </c:pt>
              <c:pt idx="10">
                <c:v>30</c:v>
              </c:pt>
              <c:pt idx="11">
                <c:v>31</c:v>
              </c:pt>
              <c:pt idx="12">
                <c:v>32</c:v>
              </c:pt>
              <c:pt idx="13">
                <c:v>33</c:v>
              </c:pt>
              <c:pt idx="14">
                <c:v>34</c:v>
              </c:pt>
              <c:pt idx="15">
                <c:v>35</c:v>
              </c:pt>
              <c:pt idx="16">
                <c:v>36</c:v>
              </c:pt>
              <c:pt idx="17">
                <c:v>37</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'6. Summary Tracking Sheet'!$CR$4:$CR$43</c15:sqref>
                  </c15:fullRef>
                </c:ext>
              </c:extLst>
              <c:f>'6. Summary Tracking Sheet'!$CR$23:$CR$40</c:f>
              <c:numCache>
                <c:formatCode>0;\-0;\-;@</c:formatCode>
                <c:ptCount val="18"/>
                <c:pt idx="0">
                  <c:v>0</c:v>
                </c:pt>
                <c:pt idx="1">
                  <c:v>0</c:v>
                </c:pt>
                <c:pt idx="2">
                  <c:v>0</c:v>
                </c:pt>
                <c:pt idx="3">
                  <c:v>0</c:v>
                </c:pt>
                <c:pt idx="4">
                  <c:v>0</c:v>
                </c:pt>
                <c:pt idx="5">
                  <c:v>0</c:v>
                </c:pt>
                <c:pt idx="6">
                  <c:v>0</c:v>
                </c:pt>
                <c:pt idx="7">
                  <c:v>0</c:v>
                </c:pt>
                <c:pt idx="8">
                  <c:v>1</c:v>
                </c:pt>
                <c:pt idx="9">
                  <c:v>7</c:v>
                </c:pt>
                <c:pt idx="10">
                  <c:v>16</c:v>
                </c:pt>
                <c:pt idx="11">
                  <c:v>26</c:v>
                </c:pt>
                <c:pt idx="12">
                  <c:v>38</c:v>
                </c:pt>
                <c:pt idx="13">
                  <c:v>67</c:v>
                </c:pt>
                <c:pt idx="14">
                  <c:v>86</c:v>
                </c:pt>
                <c:pt idx="15">
                  <c:v>100</c:v>
                </c:pt>
                <c:pt idx="16">
                  <c:v>100</c:v>
                </c:pt>
                <c:pt idx="17">
                  <c:v>100</c:v>
                </c:pt>
              </c:numCache>
            </c:numRef>
          </c:val>
          <c:smooth val="0"/>
          <c:extLst>
            <c:ext xmlns:c16="http://schemas.microsoft.com/office/drawing/2014/chart" uri="{C3380CC4-5D6E-409C-BE32-E72D297353CC}">
              <c16:uniqueId val="{0000000C-2FFF-48D4-A501-1DC8462247AE}"/>
            </c:ext>
          </c:extLst>
        </c:ser>
        <c:ser>
          <c:idx val="13"/>
          <c:order val="13"/>
          <c:tx>
            <c:strRef>
              <c:f>'6. Summary Tracking Sheet'!$CT$3</c:f>
              <c:strCache>
                <c:ptCount val="1"/>
                <c:pt idx="0">
                  <c:v>SiteOnAir_AC(SUM)</c:v>
                </c:pt>
              </c:strCache>
              <c:extLst xmlns:c15="http://schemas.microsoft.com/office/drawing/2012/chart"/>
            </c:strRef>
          </c:tx>
          <c:spPr>
            <a:ln w="22225" cap="rnd">
              <a:solidFill>
                <a:schemeClr val="accent2">
                  <a:lumMod val="80000"/>
                  <a:lumOff val="20000"/>
                </a:schemeClr>
              </a:solidFill>
              <a:round/>
            </a:ln>
            <a:effectLst/>
          </c:spPr>
          <c:marker>
            <c:symbol val="none"/>
          </c:marker>
          <c:cat>
            <c:strLit>
              <c:ptCount val="18"/>
              <c:pt idx="0">
                <c:v>20</c:v>
              </c:pt>
              <c:pt idx="1">
                <c:v>21</c:v>
              </c:pt>
              <c:pt idx="2">
                <c:v>22</c:v>
              </c:pt>
              <c:pt idx="3">
                <c:v>23</c:v>
              </c:pt>
              <c:pt idx="4">
                <c:v>24</c:v>
              </c:pt>
              <c:pt idx="5">
                <c:v>25</c:v>
              </c:pt>
              <c:pt idx="6">
                <c:v>26</c:v>
              </c:pt>
              <c:pt idx="7">
                <c:v>27</c:v>
              </c:pt>
              <c:pt idx="8">
                <c:v>28</c:v>
              </c:pt>
              <c:pt idx="9">
                <c:v>29</c:v>
              </c:pt>
              <c:pt idx="10">
                <c:v>30</c:v>
              </c:pt>
              <c:pt idx="11">
                <c:v>31</c:v>
              </c:pt>
              <c:pt idx="12">
                <c:v>32</c:v>
              </c:pt>
              <c:pt idx="13">
                <c:v>33</c:v>
              </c:pt>
              <c:pt idx="14">
                <c:v>34</c:v>
              </c:pt>
              <c:pt idx="15">
                <c:v>35</c:v>
              </c:pt>
              <c:pt idx="16">
                <c:v>36</c:v>
              </c:pt>
              <c:pt idx="17">
                <c:v>37</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'6. Summary Tracking Sheet'!$CT$4:$CT$43</c15:sqref>
                  </c15:fullRef>
                </c:ext>
              </c:extLst>
              <c:f>'6. Summary Tracking Sheet'!$CT$23:$CT$40</c:f>
              <c:numCache>
                <c:formatCode>0;\-0;\-;@</c:formatCode>
                <c:ptCount val="18"/>
                <c:pt idx="0">
                  <c:v>0</c:v>
                </c:pt>
                <c:pt idx="1">
                  <c:v>0</c:v>
                </c:pt>
                <c:pt idx="2">
                  <c:v>0</c:v>
                </c:pt>
                <c:pt idx="3">
                  <c:v>0</c:v>
                </c:pt>
                <c:pt idx="4">
                  <c:v>0</c:v>
                </c:pt>
                <c:pt idx="5">
                  <c:v>0</c:v>
                </c:pt>
                <c:pt idx="6">
                  <c:v>0</c:v>
                </c:pt>
                <c:pt idx="7">
                  <c:v>0</c:v>
                </c:pt>
                <c:pt idx="8">
                  <c:v>1</c:v>
                </c:pt>
                <c:pt idx="9">
                  <c:v>6</c:v>
                </c:pt>
                <c:pt idx="10">
                  <c:v>10</c:v>
                </c:pt>
                <c:pt idx="11">
                  <c:v>21</c:v>
                </c:pt>
                <c:pt idx="12">
                  <c:v>28</c:v>
                </c:pt>
                <c:pt idx="13">
                  <c:v>30</c:v>
                </c:pt>
                <c:pt idx="14">
                  <c:v>30</c:v>
                </c:pt>
                <c:pt idx="15">
                  <c:v>30</c:v>
                </c:pt>
                <c:pt idx="16">
                  <c:v>30</c:v>
                </c:pt>
                <c:pt idx="17">
                  <c:v>30</c:v>
                </c:pt>
              </c:numCache>
            </c:numRef>
          </c:val>
          <c:smooth val="0"/>
          <c:extLst>
            <c:ext xmlns:c16="http://schemas.microsoft.com/office/drawing/2014/chart" uri="{C3380CC4-5D6E-409C-BE32-E72D297353CC}">
              <c16:uniqueId val="{0000000D-2FFF-48D4-A501-1DC8462247AE}"/>
            </c:ext>
          </c:extLst>
        </c:ser>
        <c:dLbls>
          <c:showLegendKey val="0"/>
          <c:showVal val="0"/>
          <c:showCatName val="0"/>
          <c:showSerName val="0"/>
          <c:showPercent val="0"/>
          <c:showBubbleSize val="0"/>
        </c:dLbls>
        <c:smooth val="0"/>
        <c:axId val="550300207"/>
        <c:axId val="506817855"/>
        <c:extLst>
          <c:ext xmlns:c15="http://schemas.microsoft.com/office/drawing/2012/chart" uri="{02D57815-91ED-43cb-92C2-25804820EDAC}">
            <c15:filteredLineSeries>
              <c15:ser>
                <c:idx val="1"/>
                <c:order val="0"/>
                <c:tx>
                  <c:strRef>
                    <c:extLst>
                      <c:ext uri="{02D57815-91ED-43cb-92C2-25804820EDAC}">
                        <c15:formulaRef>
                          <c15:sqref>'6. Summary Tracking Sheet'!$P$3</c15:sqref>
                        </c15:formulaRef>
                      </c:ext>
                    </c:extLst>
                    <c:strCache>
                      <c:ptCount val="1"/>
                      <c:pt idx="0">
                        <c:v>SiteDesignReady_BL(SUM)</c:v>
                      </c:pt>
                    </c:strCache>
                  </c:strRef>
                </c:tx>
                <c:spPr>
                  <a:ln w="22225" cap="rnd">
                    <a:solidFill>
                      <a:schemeClr val="accent2"/>
                    </a:solidFill>
                    <a:round/>
                  </a:ln>
                  <a:effectLst/>
                </c:spPr>
                <c:marker>
                  <c:symbol val="none"/>
                </c:marker>
                <c:val>
                  <c:numRef>
                    <c:extLst>
                      <c:ext uri="{02D57815-91ED-43cb-92C2-25804820EDAC}">
                        <c15:fullRef>
                          <c15:sqref>'6. Summary Tracking Sheet'!$P$4:$P$44</c15:sqref>
                        </c15:fullRef>
                        <c15:formulaRef>
                          <c15:sqref>'6. Summary Tracking Sheet'!$P$23:$P$40</c15:sqref>
                        </c15:formulaRef>
                      </c:ext>
                    </c:extLst>
                    <c:numCache>
                      <c:formatCode>0;\-0;\-;@</c:formatCode>
                      <c:ptCount val="18"/>
                      <c:pt idx="0">
                        <c:v>0</c:v>
                      </c:pt>
                      <c:pt idx="1">
                        <c:v>0</c:v>
                      </c:pt>
                      <c:pt idx="2">
                        <c:v>1</c:v>
                      </c:pt>
                      <c:pt idx="3">
                        <c:v>7</c:v>
                      </c:pt>
                      <c:pt idx="4">
                        <c:v>16</c:v>
                      </c:pt>
                      <c:pt idx="5">
                        <c:v>38</c:v>
                      </c:pt>
                      <c:pt idx="6">
                        <c:v>51</c:v>
                      </c:pt>
                      <c:pt idx="7">
                        <c:v>67</c:v>
                      </c:pt>
                      <c:pt idx="8">
                        <c:v>86</c:v>
                      </c:pt>
                      <c:pt idx="9">
                        <c:v>100</c:v>
                      </c:pt>
                      <c:pt idx="10">
                        <c:v>100</c:v>
                      </c:pt>
                      <c:pt idx="11">
                        <c:v>100</c:v>
                      </c:pt>
                      <c:pt idx="12">
                        <c:v>100</c:v>
                      </c:pt>
                      <c:pt idx="13">
                        <c:v>100</c:v>
                      </c:pt>
                      <c:pt idx="14">
                        <c:v>100</c:v>
                      </c:pt>
                      <c:pt idx="15">
                        <c:v>100</c:v>
                      </c:pt>
                      <c:pt idx="16">
                        <c:v>100</c:v>
                      </c:pt>
                      <c:pt idx="17">
                        <c:v>100</c:v>
                      </c:pt>
                    </c:numCache>
                  </c:numRef>
                </c:val>
                <c:smooth val="0"/>
                <c:extLst>
                  <c:ext xmlns:c16="http://schemas.microsoft.com/office/drawing/2014/chart" uri="{C3380CC4-5D6E-409C-BE32-E72D297353CC}">
                    <c16:uniqueId val="{00000002-2FFF-48D4-A501-1DC8462247AE}"/>
                  </c:ext>
                </c:extLst>
              </c15:ser>
            </c15:filteredLineSeries>
            <c15:filteredLineSeries>
              <c15:ser>
                <c:idx val="0"/>
                <c:order val="1"/>
                <c:tx>
                  <c:strRef>
                    <c:extLst xmlns:c15="http://schemas.microsoft.com/office/drawing/2012/chart">
                      <c:ext xmlns:c15="http://schemas.microsoft.com/office/drawing/2012/chart" uri="{02D57815-91ED-43cb-92C2-25804820EDAC}">
                        <c15:formulaRef>
                          <c15:sqref>'6. Summary Tracking Sheet'!$R$3</c15:sqref>
                        </c15:formulaRef>
                      </c:ext>
                    </c:extLst>
                    <c:strCache>
                      <c:ptCount val="1"/>
                      <c:pt idx="0">
                        <c:v>SiteDesignReady_AC(SUM)</c:v>
                      </c:pt>
                    </c:strCache>
                  </c:strRef>
                </c:tx>
                <c:spPr>
                  <a:ln w="22225" cap="rnd">
                    <a:solidFill>
                      <a:schemeClr val="accent1"/>
                    </a:solidFill>
                    <a:round/>
                  </a:ln>
                  <a:effectLst/>
                </c:spPr>
                <c:marker>
                  <c:symbol val="none"/>
                </c:marker>
                <c:val>
                  <c:numRef>
                    <c:extLst>
                      <c:ext xmlns:c15="http://schemas.microsoft.com/office/drawing/2012/chart" uri="{02D57815-91ED-43cb-92C2-25804820EDAC}">
                        <c15:fullRef>
                          <c15:sqref>'6. Summary Tracking Sheet'!$R$4:$R$44</c15:sqref>
                        </c15:fullRef>
                        <c15:formulaRef>
                          <c15:sqref>'6. Summary Tracking Sheet'!$R$23:$R$40</c15:sqref>
                        </c15:formulaRef>
                      </c:ext>
                    </c:extLst>
                    <c:numCache>
                      <c:formatCode>0;\-0;\-;@</c:formatCode>
                      <c:ptCount val="18"/>
                      <c:pt idx="0">
                        <c:v>0</c:v>
                      </c:pt>
                      <c:pt idx="1">
                        <c:v>0</c:v>
                      </c:pt>
                      <c:pt idx="2">
                        <c:v>1</c:v>
                      </c:pt>
                      <c:pt idx="3">
                        <c:v>7</c:v>
                      </c:pt>
                      <c:pt idx="4">
                        <c:v>16</c:v>
                      </c:pt>
                      <c:pt idx="5">
                        <c:v>27</c:v>
                      </c:pt>
                      <c:pt idx="6">
                        <c:v>40</c:v>
                      </c:pt>
                      <c:pt idx="7">
                        <c:v>66</c:v>
                      </c:pt>
                      <c:pt idx="8">
                        <c:v>85</c:v>
                      </c:pt>
                      <c:pt idx="9">
                        <c:v>90</c:v>
                      </c:pt>
                      <c:pt idx="10">
                        <c:v>90</c:v>
                      </c:pt>
                      <c:pt idx="11">
                        <c:v>90</c:v>
                      </c:pt>
                      <c:pt idx="12">
                        <c:v>90</c:v>
                      </c:pt>
                      <c:pt idx="13">
                        <c:v>90</c:v>
                      </c:pt>
                      <c:pt idx="14">
                        <c:v>90</c:v>
                      </c:pt>
                      <c:pt idx="15">
                        <c:v>90</c:v>
                      </c:pt>
                      <c:pt idx="16">
                        <c:v>90</c:v>
                      </c:pt>
                      <c:pt idx="17">
                        <c:v>90</c:v>
                      </c:pt>
                    </c:numCache>
                  </c:numRef>
                </c:val>
                <c:smooth val="0"/>
                <c:extLst xmlns:c15="http://schemas.microsoft.com/office/drawing/2012/chart">
                  <c:ext xmlns:c16="http://schemas.microsoft.com/office/drawing/2014/chart" uri="{C3380CC4-5D6E-409C-BE32-E72D297353CC}">
                    <c16:uniqueId val="{00000003-2FFF-48D4-A501-1DC8462247AE}"/>
                  </c:ext>
                </c:extLst>
              </c15:ser>
            </c15:filteredLineSeries>
            <c15:filteredLineSeries>
              <c15:ser>
                <c:idx val="2"/>
                <c:order val="2"/>
                <c:tx>
                  <c:strRef>
                    <c:extLst xmlns:c15="http://schemas.microsoft.com/office/drawing/2012/chart">
                      <c:ext xmlns:c15="http://schemas.microsoft.com/office/drawing/2012/chart" uri="{02D57815-91ED-43cb-92C2-25804820EDAC}">
                        <c15:formulaRef>
                          <c15:sqref>'6. Summary Tracking Sheet'!$AT$3</c15:sqref>
                        </c15:formulaRef>
                      </c:ext>
                    </c:extLst>
                    <c:strCache>
                      <c:ptCount val="1"/>
                      <c:pt idx="0">
                        <c:v>ReadyForCW_BL(SUM)</c:v>
                      </c:pt>
                    </c:strCache>
                  </c:strRef>
                </c:tx>
                <c:spPr>
                  <a:ln w="22225" cap="rnd">
                    <a:solidFill>
                      <a:schemeClr val="accent3"/>
                    </a:solidFill>
                    <a:round/>
                  </a:ln>
                  <a:effectLst/>
                </c:spPr>
                <c:marker>
                  <c:symbol val="none"/>
                </c:marker>
                <c:val>
                  <c:numRef>
                    <c:extLst>
                      <c:ext xmlns:c15="http://schemas.microsoft.com/office/drawing/2012/chart" uri="{02D57815-91ED-43cb-92C2-25804820EDAC}">
                        <c15:fullRef>
                          <c15:sqref>'6. Summary Tracking Sheet'!$AV$4:$AV$44</c15:sqref>
                        </c15:fullRef>
                        <c15:formulaRef>
                          <c15:sqref>'6. Summary Tracking Sheet'!$AV$23:$AV$40</c15:sqref>
                        </c15:formulaRef>
                      </c:ext>
                    </c:extLst>
                    <c:numCache>
                      <c:formatCode>0;\-0;\-;@</c:formatCode>
                      <c:ptCount val="18"/>
                      <c:pt idx="0">
                        <c:v>0</c:v>
                      </c:pt>
                      <c:pt idx="1">
                        <c:v>0</c:v>
                      </c:pt>
                      <c:pt idx="2">
                        <c:v>0</c:v>
                      </c:pt>
                      <c:pt idx="3">
                        <c:v>0</c:v>
                      </c:pt>
                      <c:pt idx="4">
                        <c:v>1</c:v>
                      </c:pt>
                      <c:pt idx="5">
                        <c:v>5</c:v>
                      </c:pt>
                      <c:pt idx="6">
                        <c:v>15</c:v>
                      </c:pt>
                      <c:pt idx="7">
                        <c:v>25</c:v>
                      </c:pt>
                      <c:pt idx="8">
                        <c:v>38</c:v>
                      </c:pt>
                      <c:pt idx="9">
                        <c:v>61</c:v>
                      </c:pt>
                      <c:pt idx="10">
                        <c:v>71</c:v>
                      </c:pt>
                      <c:pt idx="11">
                        <c:v>80</c:v>
                      </c:pt>
                      <c:pt idx="12">
                        <c:v>80</c:v>
                      </c:pt>
                      <c:pt idx="13">
                        <c:v>80</c:v>
                      </c:pt>
                      <c:pt idx="14">
                        <c:v>80</c:v>
                      </c:pt>
                      <c:pt idx="15">
                        <c:v>80</c:v>
                      </c:pt>
                      <c:pt idx="16">
                        <c:v>80</c:v>
                      </c:pt>
                      <c:pt idx="17">
                        <c:v>80</c:v>
                      </c:pt>
                    </c:numCache>
                  </c:numRef>
                </c:val>
                <c:smooth val="0"/>
                <c:extLst xmlns:c15="http://schemas.microsoft.com/office/drawing/2012/chart">
                  <c:ext xmlns:c16="http://schemas.microsoft.com/office/drawing/2014/chart" uri="{C3380CC4-5D6E-409C-BE32-E72D297353CC}">
                    <c16:uniqueId val="{00000004-2FFF-48D4-A501-1DC8462247AE}"/>
                  </c:ext>
                </c:extLst>
              </c15:ser>
            </c15:filteredLineSeries>
            <c15:filteredLineSeries>
              <c15:ser>
                <c:idx val="3"/>
                <c:order val="3"/>
                <c:tx>
                  <c:strRef>
                    <c:extLst xmlns:c15="http://schemas.microsoft.com/office/drawing/2012/chart">
                      <c:ext xmlns:c15="http://schemas.microsoft.com/office/drawing/2012/chart" uri="{02D57815-91ED-43cb-92C2-25804820EDAC}">
                        <c15:formulaRef>
                          <c15:sqref>'6. Summary Tracking Sheet'!$AV$3</c15:sqref>
                        </c15:formulaRef>
                      </c:ext>
                    </c:extLst>
                    <c:strCache>
                      <c:ptCount val="1"/>
                      <c:pt idx="0">
                        <c:v>ReadyForCW_AC(SUM)</c:v>
                      </c:pt>
                    </c:strCache>
                  </c:strRef>
                </c:tx>
                <c:spPr>
                  <a:ln w="22225" cap="rnd">
                    <a:solidFill>
                      <a:schemeClr val="accent4"/>
                    </a:solidFill>
                    <a:round/>
                  </a:ln>
                  <a:effectLst/>
                </c:spPr>
                <c:marker>
                  <c:symbol val="none"/>
                </c:marker>
                <c:val>
                  <c:numRef>
                    <c:extLst>
                      <c:ext xmlns:c15="http://schemas.microsoft.com/office/drawing/2012/chart" uri="{02D57815-91ED-43cb-92C2-25804820EDAC}">
                        <c15:fullRef>
                          <c15:sqref>'6. Summary Tracking Sheet'!$AX$4:$AX$44</c15:sqref>
                        </c15:fullRef>
                        <c15:formulaRef>
                          <c15:sqref>'6. Summary Tracking Sheet'!$AX$23:$AX$40</c15:sqref>
                        </c15:formulaRef>
                      </c:ext>
                    </c:extLst>
                    <c:numCache>
                      <c:formatCode>0;\-0;\-;@</c:formatCode>
                      <c:ptCount val="18"/>
                      <c:pt idx="0">
                        <c:v>0</c:v>
                      </c:pt>
                      <c:pt idx="1">
                        <c:v>0</c:v>
                      </c:pt>
                      <c:pt idx="2">
                        <c:v>0</c:v>
                      </c:pt>
                      <c:pt idx="3">
                        <c:v>0</c:v>
                      </c:pt>
                      <c:pt idx="4">
                        <c:v>0</c:v>
                      </c:pt>
                      <c:pt idx="5">
                        <c:v>1500</c:v>
                      </c:pt>
                      <c:pt idx="6">
                        <c:v>9000</c:v>
                      </c:pt>
                      <c:pt idx="7">
                        <c:v>15000</c:v>
                      </c:pt>
                      <c:pt idx="8">
                        <c:v>33000</c:v>
                      </c:pt>
                      <c:pt idx="9">
                        <c:v>52500</c:v>
                      </c:pt>
                      <c:pt idx="10">
                        <c:v>78000</c:v>
                      </c:pt>
                      <c:pt idx="11">
                        <c:v>100500</c:v>
                      </c:pt>
                      <c:pt idx="12">
                        <c:v>105000</c:v>
                      </c:pt>
                      <c:pt idx="13">
                        <c:v>105000</c:v>
                      </c:pt>
                      <c:pt idx="14">
                        <c:v>105000</c:v>
                      </c:pt>
                      <c:pt idx="15">
                        <c:v>105000</c:v>
                      </c:pt>
                      <c:pt idx="16">
                        <c:v>105000</c:v>
                      </c:pt>
                      <c:pt idx="17">
                        <c:v>105000</c:v>
                      </c:pt>
                    </c:numCache>
                  </c:numRef>
                </c:val>
                <c:smooth val="0"/>
                <c:extLst xmlns:c15="http://schemas.microsoft.com/office/drawing/2012/chart">
                  <c:ext xmlns:c16="http://schemas.microsoft.com/office/drawing/2014/chart" uri="{C3380CC4-5D6E-409C-BE32-E72D297353CC}">
                    <c16:uniqueId val="{00000005-2FFF-48D4-A501-1DC8462247AE}"/>
                  </c:ext>
                </c:extLst>
              </c15:ser>
            </c15:filteredLineSeries>
            <c15:filteredLineSeries>
              <c15:ser>
                <c:idx val="4"/>
                <c:order val="4"/>
                <c:tx>
                  <c:strRef>
                    <c:extLst xmlns:c15="http://schemas.microsoft.com/office/drawing/2012/chart">
                      <c:ext xmlns:c15="http://schemas.microsoft.com/office/drawing/2012/chart" uri="{02D57815-91ED-43cb-92C2-25804820EDAC}">
                        <c15:formulaRef>
                          <c15:sqref>'6. Summary Tracking Sheet'!$BD$3</c15:sqref>
                        </c15:formulaRef>
                      </c:ext>
                    </c:extLst>
                    <c:strCache>
                      <c:ptCount val="1"/>
                      <c:pt idx="0">
                        <c:v>ReadyForPower_BL(SUM)</c:v>
                      </c:pt>
                    </c:strCache>
                  </c:strRef>
                </c:tx>
                <c:spPr>
                  <a:ln w="22225" cap="rnd">
                    <a:solidFill>
                      <a:schemeClr val="accent5"/>
                    </a:solidFill>
                    <a:round/>
                  </a:ln>
                  <a:effectLst/>
                </c:spPr>
                <c:marker>
                  <c:symbol val="none"/>
                </c:marker>
                <c:val>
                  <c:numRef>
                    <c:extLst>
                      <c:ext xmlns:c15="http://schemas.microsoft.com/office/drawing/2012/chart" uri="{02D57815-91ED-43cb-92C2-25804820EDAC}">
                        <c15:fullRef>
                          <c15:sqref>'6. Summary Tracking Sheet'!$BF$4:$BF$44</c15:sqref>
                        </c15:fullRef>
                        <c15:formulaRef>
                          <c15:sqref>'6. Summary Tracking Sheet'!$BF$23:$BF$40</c15:sqref>
                        </c15:formulaRef>
                      </c:ext>
                    </c:extLst>
                    <c:numCache>
                      <c:formatCode>0;\-0;\-;@</c:formatCode>
                      <c:ptCount val="18"/>
                      <c:pt idx="0">
                        <c:v>0</c:v>
                      </c:pt>
                      <c:pt idx="1">
                        <c:v>0</c:v>
                      </c:pt>
                      <c:pt idx="2">
                        <c:v>0</c:v>
                      </c:pt>
                      <c:pt idx="3">
                        <c:v>0</c:v>
                      </c:pt>
                      <c:pt idx="4">
                        <c:v>0</c:v>
                      </c:pt>
                      <c:pt idx="5">
                        <c:v>1</c:v>
                      </c:pt>
                      <c:pt idx="6">
                        <c:v>6</c:v>
                      </c:pt>
                      <c:pt idx="7">
                        <c:v>10</c:v>
                      </c:pt>
                      <c:pt idx="8">
                        <c:v>22</c:v>
                      </c:pt>
                      <c:pt idx="9">
                        <c:v>35</c:v>
                      </c:pt>
                      <c:pt idx="10">
                        <c:v>52</c:v>
                      </c:pt>
                      <c:pt idx="11">
                        <c:v>67</c:v>
                      </c:pt>
                      <c:pt idx="12">
                        <c:v>70</c:v>
                      </c:pt>
                      <c:pt idx="13">
                        <c:v>70</c:v>
                      </c:pt>
                      <c:pt idx="14">
                        <c:v>70</c:v>
                      </c:pt>
                      <c:pt idx="15">
                        <c:v>70</c:v>
                      </c:pt>
                      <c:pt idx="16">
                        <c:v>70</c:v>
                      </c:pt>
                      <c:pt idx="17">
                        <c:v>70</c:v>
                      </c:pt>
                    </c:numCache>
                  </c:numRef>
                </c:val>
                <c:smooth val="0"/>
                <c:extLst xmlns:c15="http://schemas.microsoft.com/office/drawing/2012/chart">
                  <c:ext xmlns:c16="http://schemas.microsoft.com/office/drawing/2014/chart" uri="{C3380CC4-5D6E-409C-BE32-E72D297353CC}">
                    <c16:uniqueId val="{00000006-2FFF-48D4-A501-1DC8462247AE}"/>
                  </c:ext>
                </c:extLst>
              </c15:ser>
            </c15:filteredLineSeries>
            <c15:filteredLineSeries>
              <c15:ser>
                <c:idx val="5"/>
                <c:order val="5"/>
                <c:tx>
                  <c:strRef>
                    <c:extLst xmlns:c15="http://schemas.microsoft.com/office/drawing/2012/chart">
                      <c:ext xmlns:c15="http://schemas.microsoft.com/office/drawing/2012/chart" uri="{02D57815-91ED-43cb-92C2-25804820EDAC}">
                        <c15:formulaRef>
                          <c15:sqref>'6. Summary Tracking Sheet'!$BF$3</c15:sqref>
                        </c15:formulaRef>
                      </c:ext>
                    </c:extLst>
                    <c:strCache>
                      <c:ptCount val="1"/>
                      <c:pt idx="0">
                        <c:v>ReadyForPower_AC(SUM)</c:v>
                      </c:pt>
                    </c:strCache>
                  </c:strRef>
                </c:tx>
                <c:spPr>
                  <a:ln w="22225" cap="rnd">
                    <a:solidFill>
                      <a:schemeClr val="accent6"/>
                    </a:solidFill>
                    <a:round/>
                  </a:ln>
                  <a:effectLst/>
                </c:spPr>
                <c:marker>
                  <c:symbol val="none"/>
                </c:marker>
                <c:val>
                  <c:numRef>
                    <c:extLst>
                      <c:ext xmlns:c15="http://schemas.microsoft.com/office/drawing/2012/chart" uri="{02D57815-91ED-43cb-92C2-25804820EDAC}">
                        <c15:fullRef>
                          <c15:sqref>'6. Summary Tracking Sheet'!$BH$4:$BH$44</c15:sqref>
                        </c15:fullRef>
                        <c15:formulaRef>
                          <c15:sqref>'6. Summary Tracking Sheet'!$BH$23:$BH$40</c15:sqref>
                        </c15:formulaRef>
                      </c:ext>
                    </c:extLst>
                    <c:numCache>
                      <c:formatCode>0;\-0;\-;@</c:formatCode>
                      <c:ptCount val="18"/>
                      <c:pt idx="0">
                        <c:v>0</c:v>
                      </c:pt>
                      <c:pt idx="1">
                        <c:v>0</c:v>
                      </c:pt>
                      <c:pt idx="2">
                        <c:v>0</c:v>
                      </c:pt>
                      <c:pt idx="3">
                        <c:v>0</c:v>
                      </c:pt>
                      <c:pt idx="4">
                        <c:v>0</c:v>
                      </c:pt>
                      <c:pt idx="5">
                        <c:v>0</c:v>
                      </c:pt>
                      <c:pt idx="6">
                        <c:v>500</c:v>
                      </c:pt>
                      <c:pt idx="7">
                        <c:v>2000</c:v>
                      </c:pt>
                      <c:pt idx="8">
                        <c:v>7500</c:v>
                      </c:pt>
                      <c:pt idx="9">
                        <c:v>12500</c:v>
                      </c:pt>
                      <c:pt idx="10">
                        <c:v>19000</c:v>
                      </c:pt>
                      <c:pt idx="11">
                        <c:v>27000</c:v>
                      </c:pt>
                      <c:pt idx="12">
                        <c:v>29500</c:v>
                      </c:pt>
                      <c:pt idx="13">
                        <c:v>30000</c:v>
                      </c:pt>
                      <c:pt idx="14">
                        <c:v>30000</c:v>
                      </c:pt>
                      <c:pt idx="15">
                        <c:v>30000</c:v>
                      </c:pt>
                      <c:pt idx="16">
                        <c:v>30000</c:v>
                      </c:pt>
                      <c:pt idx="17">
                        <c:v>30000</c:v>
                      </c:pt>
                    </c:numCache>
                  </c:numRef>
                </c:val>
                <c:smooth val="0"/>
                <c:extLst xmlns:c15="http://schemas.microsoft.com/office/drawing/2012/chart">
                  <c:ext xmlns:c16="http://schemas.microsoft.com/office/drawing/2014/chart" uri="{C3380CC4-5D6E-409C-BE32-E72D297353CC}">
                    <c16:uniqueId val="{00000007-2FFF-48D4-A501-1DC8462247AE}"/>
                  </c:ext>
                </c:extLst>
              </c15:ser>
            </c15:filteredLineSeries>
            <c15:filteredLineSeries>
              <c15:ser>
                <c:idx val="6"/>
                <c:order val="6"/>
                <c:tx>
                  <c:strRef>
                    <c:extLst xmlns:c15="http://schemas.microsoft.com/office/drawing/2012/chart">
                      <c:ext xmlns:c15="http://schemas.microsoft.com/office/drawing/2012/chart" uri="{02D57815-91ED-43cb-92C2-25804820EDAC}">
                        <c15:formulaRef>
                          <c15:sqref>'6. Summary Tracking Sheet'!$BN$3</c15:sqref>
                        </c15:formulaRef>
                      </c:ext>
                    </c:extLst>
                    <c:strCache>
                      <c:ptCount val="1"/>
                      <c:pt idx="0">
                        <c:v>TXReady_BL(SUM)</c:v>
                      </c:pt>
                    </c:strCache>
                  </c:strRef>
                </c:tx>
                <c:spPr>
                  <a:ln w="22225" cap="rnd">
                    <a:solidFill>
                      <a:schemeClr val="accent1">
                        <a:lumMod val="60000"/>
                      </a:schemeClr>
                    </a:solidFill>
                    <a:round/>
                  </a:ln>
                  <a:effectLst/>
                </c:spPr>
                <c:marker>
                  <c:symbol val="none"/>
                </c:marker>
                <c:val>
                  <c:numRef>
                    <c:extLst>
                      <c:ext xmlns:c15="http://schemas.microsoft.com/office/drawing/2012/chart" uri="{02D57815-91ED-43cb-92C2-25804820EDAC}">
                        <c15:fullRef>
                          <c15:sqref>'6. Summary Tracking Sheet'!$BP$4:$BP$44</c15:sqref>
                        </c15:fullRef>
                        <c15:formulaRef>
                          <c15:sqref>'6. Summary Tracking Sheet'!$BP$23:$BP$40</c15:sqref>
                        </c15:formulaRef>
                      </c:ext>
                    </c:extLst>
                    <c:numCache>
                      <c:formatCode>0;\-0;\-;@</c:formatCode>
                      <c:ptCount val="18"/>
                      <c:pt idx="0">
                        <c:v>0</c:v>
                      </c:pt>
                      <c:pt idx="1">
                        <c:v>0</c:v>
                      </c:pt>
                      <c:pt idx="2">
                        <c:v>0</c:v>
                      </c:pt>
                      <c:pt idx="3">
                        <c:v>0</c:v>
                      </c:pt>
                      <c:pt idx="4">
                        <c:v>0</c:v>
                      </c:pt>
                      <c:pt idx="5">
                        <c:v>0</c:v>
                      </c:pt>
                      <c:pt idx="6">
                        <c:v>1</c:v>
                      </c:pt>
                      <c:pt idx="7">
                        <c:v>4</c:v>
                      </c:pt>
                      <c:pt idx="8">
                        <c:v>15</c:v>
                      </c:pt>
                      <c:pt idx="9">
                        <c:v>25</c:v>
                      </c:pt>
                      <c:pt idx="10">
                        <c:v>38</c:v>
                      </c:pt>
                      <c:pt idx="11">
                        <c:v>54</c:v>
                      </c:pt>
                      <c:pt idx="12">
                        <c:v>59</c:v>
                      </c:pt>
                      <c:pt idx="13">
                        <c:v>60</c:v>
                      </c:pt>
                      <c:pt idx="14">
                        <c:v>60</c:v>
                      </c:pt>
                      <c:pt idx="15">
                        <c:v>60</c:v>
                      </c:pt>
                      <c:pt idx="16">
                        <c:v>60</c:v>
                      </c:pt>
                      <c:pt idx="17">
                        <c:v>60</c:v>
                      </c:pt>
                    </c:numCache>
                  </c:numRef>
                </c:val>
                <c:smooth val="0"/>
                <c:extLst xmlns:c15="http://schemas.microsoft.com/office/drawing/2012/chart">
                  <c:ext xmlns:c16="http://schemas.microsoft.com/office/drawing/2014/chart" uri="{C3380CC4-5D6E-409C-BE32-E72D297353CC}">
                    <c16:uniqueId val="{00000008-2FFF-48D4-A501-1DC8462247AE}"/>
                  </c:ext>
                </c:extLst>
              </c15:ser>
            </c15:filteredLineSeries>
            <c15:filteredLineSeries>
              <c15:ser>
                <c:idx val="7"/>
                <c:order val="7"/>
                <c:tx>
                  <c:strRef>
                    <c:extLst xmlns:c15="http://schemas.microsoft.com/office/drawing/2012/chart">
                      <c:ext xmlns:c15="http://schemas.microsoft.com/office/drawing/2012/chart" uri="{02D57815-91ED-43cb-92C2-25804820EDAC}">
                        <c15:formulaRef>
                          <c15:sqref>'6. Summary Tracking Sheet'!$BP$3</c15:sqref>
                        </c15:formulaRef>
                      </c:ext>
                    </c:extLst>
                    <c:strCache>
                      <c:ptCount val="1"/>
                      <c:pt idx="0">
                        <c:v>TXReady_AC(SUM)</c:v>
                      </c:pt>
                    </c:strCache>
                  </c:strRef>
                </c:tx>
                <c:spPr>
                  <a:ln w="22225" cap="rnd">
                    <a:solidFill>
                      <a:schemeClr val="accent2">
                        <a:lumMod val="60000"/>
                      </a:schemeClr>
                    </a:solidFill>
                    <a:round/>
                  </a:ln>
                  <a:effectLst/>
                </c:spPr>
                <c:marker>
                  <c:symbol val="none"/>
                </c:marker>
                <c:val>
                  <c:numRef>
                    <c:extLst>
                      <c:ext xmlns:c15="http://schemas.microsoft.com/office/drawing/2012/chart" uri="{02D57815-91ED-43cb-92C2-25804820EDAC}">
                        <c15:fullRef>
                          <c15:sqref>'6. Summary Tracking Sheet'!$BR$4:$BR$44</c15:sqref>
                        </c15:fullRef>
                        <c15:formulaRef>
                          <c15:sqref>'6. Summary Tracking Sheet'!$BR$23:$BR$40</c15:sqref>
                        </c15:formulaRef>
                      </c:ext>
                    </c:extLst>
                    <c:numCache>
                      <c:formatCode>0;\-0;\-;@</c:formatCode>
                      <c:ptCount val="18"/>
                      <c:pt idx="0">
                        <c:v>0</c:v>
                      </c:pt>
                      <c:pt idx="1">
                        <c:v>0</c:v>
                      </c:pt>
                      <c:pt idx="2">
                        <c:v>0</c:v>
                      </c:pt>
                      <c:pt idx="3">
                        <c:v>0</c:v>
                      </c:pt>
                      <c:pt idx="4">
                        <c:v>0</c:v>
                      </c:pt>
                      <c:pt idx="5">
                        <c:v>0</c:v>
                      </c:pt>
                      <c:pt idx="6">
                        <c:v>0</c:v>
                      </c:pt>
                      <c:pt idx="7">
                        <c:v>500</c:v>
                      </c:pt>
                      <c:pt idx="8">
                        <c:v>2500</c:v>
                      </c:pt>
                      <c:pt idx="9">
                        <c:v>6000</c:v>
                      </c:pt>
                      <c:pt idx="10">
                        <c:v>12000</c:v>
                      </c:pt>
                      <c:pt idx="11">
                        <c:v>19000</c:v>
                      </c:pt>
                      <c:pt idx="12">
                        <c:v>24500</c:v>
                      </c:pt>
                      <c:pt idx="13">
                        <c:v>25500</c:v>
                      </c:pt>
                      <c:pt idx="14">
                        <c:v>25500</c:v>
                      </c:pt>
                      <c:pt idx="15">
                        <c:v>25500</c:v>
                      </c:pt>
                      <c:pt idx="16">
                        <c:v>25500</c:v>
                      </c:pt>
                      <c:pt idx="17">
                        <c:v>25500</c:v>
                      </c:pt>
                    </c:numCache>
                  </c:numRef>
                </c:val>
                <c:smooth val="0"/>
                <c:extLst xmlns:c15="http://schemas.microsoft.com/office/drawing/2012/chart">
                  <c:ext xmlns:c16="http://schemas.microsoft.com/office/drawing/2014/chart" uri="{C3380CC4-5D6E-409C-BE32-E72D297353CC}">
                    <c16:uniqueId val="{00000009-2FFF-48D4-A501-1DC8462247AE}"/>
                  </c:ext>
                </c:extLst>
              </c15:ser>
            </c15:filteredLineSeries>
            <c15:filteredLineSeries>
              <c15:ser>
                <c:idx val="8"/>
                <c:order val="8"/>
                <c:tx>
                  <c:strRef>
                    <c:extLst xmlns:c15="http://schemas.microsoft.com/office/drawing/2012/chart">
                      <c:ext xmlns:c15="http://schemas.microsoft.com/office/drawing/2012/chart" uri="{02D57815-91ED-43cb-92C2-25804820EDAC}">
                        <c15:formulaRef>
                          <c15:sqref>'6. Summary Tracking Sheet'!$BX$3</c15:sqref>
                        </c15:formulaRef>
                      </c:ext>
                    </c:extLst>
                    <c:strCache>
                      <c:ptCount val="1"/>
                      <c:pt idx="0">
                        <c:v>ReadyForInstallation_BL(SUM)</c:v>
                      </c:pt>
                    </c:strCache>
                  </c:strRef>
                </c:tx>
                <c:spPr>
                  <a:ln w="22225" cap="rnd">
                    <a:solidFill>
                      <a:schemeClr val="accent3">
                        <a:lumMod val="60000"/>
                      </a:schemeClr>
                    </a:solidFill>
                    <a:round/>
                  </a:ln>
                  <a:effectLst/>
                </c:spPr>
                <c:marker>
                  <c:symbol val="none"/>
                </c:marker>
                <c:val>
                  <c:numRef>
                    <c:extLst>
                      <c:ext xmlns:c15="http://schemas.microsoft.com/office/drawing/2012/chart" uri="{02D57815-91ED-43cb-92C2-25804820EDAC}">
                        <c15:fullRef>
                          <c15:sqref>'6. Summary Tracking Sheet'!$BZ$4:$BZ$44</c15:sqref>
                        </c15:fullRef>
                        <c15:formulaRef>
                          <c15:sqref>'6. Summary Tracking Sheet'!$BZ$23:$BZ$40</c15:sqref>
                        </c15:formulaRef>
                      </c:ext>
                    </c:extLst>
                    <c:numCache>
                      <c:formatCode>0;\-0;\-;@</c:formatCode>
                      <c:ptCount val="18"/>
                      <c:pt idx="0">
                        <c:v>0</c:v>
                      </c:pt>
                      <c:pt idx="1">
                        <c:v>0</c:v>
                      </c:pt>
                      <c:pt idx="2">
                        <c:v>0</c:v>
                      </c:pt>
                      <c:pt idx="3">
                        <c:v>0</c:v>
                      </c:pt>
                      <c:pt idx="4">
                        <c:v>0</c:v>
                      </c:pt>
                      <c:pt idx="5">
                        <c:v>0</c:v>
                      </c:pt>
                      <c:pt idx="6">
                        <c:v>0</c:v>
                      </c:pt>
                      <c:pt idx="7">
                        <c:v>1</c:v>
                      </c:pt>
                      <c:pt idx="8">
                        <c:v>5</c:v>
                      </c:pt>
                      <c:pt idx="9">
                        <c:v>12</c:v>
                      </c:pt>
                      <c:pt idx="10">
                        <c:v>24</c:v>
                      </c:pt>
                      <c:pt idx="11">
                        <c:v>38</c:v>
                      </c:pt>
                      <c:pt idx="12">
                        <c:v>49</c:v>
                      </c:pt>
                      <c:pt idx="13">
                        <c:v>51</c:v>
                      </c:pt>
                      <c:pt idx="14">
                        <c:v>51</c:v>
                      </c:pt>
                      <c:pt idx="15">
                        <c:v>51</c:v>
                      </c:pt>
                      <c:pt idx="16">
                        <c:v>51</c:v>
                      </c:pt>
                      <c:pt idx="17">
                        <c:v>51</c:v>
                      </c:pt>
                    </c:numCache>
                  </c:numRef>
                </c:val>
                <c:smooth val="0"/>
                <c:extLst xmlns:c15="http://schemas.microsoft.com/office/drawing/2012/chart">
                  <c:ext xmlns:c16="http://schemas.microsoft.com/office/drawing/2014/chart" uri="{C3380CC4-5D6E-409C-BE32-E72D297353CC}">
                    <c16:uniqueId val="{0000000A-2FFF-48D4-A501-1DC8462247AE}"/>
                  </c:ext>
                </c:extLst>
              </c15:ser>
            </c15:filteredLineSeries>
            <c15:filteredLineSeries>
              <c15:ser>
                <c:idx val="9"/>
                <c:order val="9"/>
                <c:tx>
                  <c:strRef>
                    <c:extLst xmlns:c15="http://schemas.microsoft.com/office/drawing/2012/chart">
                      <c:ext xmlns:c15="http://schemas.microsoft.com/office/drawing/2012/chart" uri="{02D57815-91ED-43cb-92C2-25804820EDAC}">
                        <c15:formulaRef>
                          <c15:sqref>'6. Summary Tracking Sheet'!$BZ$3</c15:sqref>
                        </c15:formulaRef>
                      </c:ext>
                    </c:extLst>
                    <c:strCache>
                      <c:ptCount val="1"/>
                      <c:pt idx="0">
                        <c:v>ReadyForInstallation_AC(SUM)</c:v>
                      </c:pt>
                    </c:strCache>
                  </c:strRef>
                </c:tx>
                <c:spPr>
                  <a:ln w="22225" cap="rnd">
                    <a:solidFill>
                      <a:schemeClr val="accent4">
                        <a:lumMod val="60000"/>
                      </a:schemeClr>
                    </a:solidFill>
                    <a:round/>
                  </a:ln>
                  <a:effectLst/>
                </c:spPr>
                <c:marker>
                  <c:symbol val="none"/>
                </c:marker>
                <c:val>
                  <c:numRef>
                    <c:extLst>
                      <c:ext xmlns:c15="http://schemas.microsoft.com/office/drawing/2012/chart" uri="{02D57815-91ED-43cb-92C2-25804820EDAC}">
                        <c15:fullRef>
                          <c15:sqref>'6. Summary Tracking Sheet'!$CB$4:$CB$44</c15:sqref>
                        </c15:fullRef>
                        <c15:formulaRef>
                          <c15:sqref>'6. Summary Tracking Sheet'!$CB$23:$CB$40</c15:sqref>
                        </c15:formulaRef>
                      </c:ext>
                    </c:extLst>
                    <c:numCache>
                      <c:formatCode>0;\-0;\-;@</c:formatCode>
                      <c:ptCount val="18"/>
                      <c:pt idx="0">
                        <c:v>0</c:v>
                      </c:pt>
                      <c:pt idx="1">
                        <c:v>0</c:v>
                      </c:pt>
                      <c:pt idx="2">
                        <c:v>0</c:v>
                      </c:pt>
                      <c:pt idx="3">
                        <c:v>0</c:v>
                      </c:pt>
                      <c:pt idx="4">
                        <c:v>0</c:v>
                      </c:pt>
                      <c:pt idx="5">
                        <c:v>0</c:v>
                      </c:pt>
                      <c:pt idx="6">
                        <c:v>0</c:v>
                      </c:pt>
                      <c:pt idx="7">
                        <c:v>0</c:v>
                      </c:pt>
                      <c:pt idx="8">
                        <c:v>5000</c:v>
                      </c:pt>
                      <c:pt idx="9">
                        <c:v>17500</c:v>
                      </c:pt>
                      <c:pt idx="10">
                        <c:v>40000</c:v>
                      </c:pt>
                      <c:pt idx="11">
                        <c:v>70000</c:v>
                      </c:pt>
                      <c:pt idx="12">
                        <c:v>95000</c:v>
                      </c:pt>
                      <c:pt idx="13">
                        <c:v>100000</c:v>
                      </c:pt>
                      <c:pt idx="14">
                        <c:v>100000</c:v>
                      </c:pt>
                      <c:pt idx="15">
                        <c:v>100000</c:v>
                      </c:pt>
                      <c:pt idx="16">
                        <c:v>100000</c:v>
                      </c:pt>
                      <c:pt idx="17">
                        <c:v>100000</c:v>
                      </c:pt>
                    </c:numCache>
                  </c:numRef>
                </c:val>
                <c:smooth val="0"/>
                <c:extLst xmlns:c15="http://schemas.microsoft.com/office/drawing/2012/chart">
                  <c:ext xmlns:c16="http://schemas.microsoft.com/office/drawing/2014/chart" uri="{C3380CC4-5D6E-409C-BE32-E72D297353CC}">
                    <c16:uniqueId val="{0000000B-2FFF-48D4-A501-1DC8462247AE}"/>
                  </c:ext>
                </c:extLst>
              </c15:ser>
            </c15:filteredLineSeries>
            <c15:filteredLineSeries>
              <c15:ser>
                <c:idx val="10"/>
                <c:order val="10"/>
                <c:tx>
                  <c:strRef>
                    <c:extLst xmlns:c15="http://schemas.microsoft.com/office/drawing/2012/chart">
                      <c:ext xmlns:c15="http://schemas.microsoft.com/office/drawing/2012/chart" uri="{02D57815-91ED-43cb-92C2-25804820EDAC}">
                        <c15:formulaRef>
                          <c15:sqref>'6. Summary Tracking Sheet'!$CH$3</c15:sqref>
                        </c15:formulaRef>
                      </c:ext>
                    </c:extLst>
                    <c:strCache>
                      <c:ptCount val="1"/>
                      <c:pt idx="0">
                        <c:v>ReadyForIntegration_BL(SUM)</c:v>
                      </c:pt>
                    </c:strCache>
                  </c:strRef>
                </c:tx>
                <c:spPr>
                  <a:ln w="22225" cap="rnd">
                    <a:solidFill>
                      <a:schemeClr val="accent5">
                        <a:lumMod val="60000"/>
                      </a:schemeClr>
                    </a:solidFill>
                    <a:round/>
                  </a:ln>
                  <a:effectLst/>
                </c:spPr>
                <c:marker>
                  <c:symbol val="none"/>
                </c:marker>
                <c:val>
                  <c:numRef>
                    <c:extLst>
                      <c:ext xmlns:c15="http://schemas.microsoft.com/office/drawing/2012/chart" uri="{02D57815-91ED-43cb-92C2-25804820EDAC}">
                        <c15:fullRef>
                          <c15:sqref>'6. Summary Tracking Sheet'!$CJ$4:$CJ$44</c15:sqref>
                        </c15:fullRef>
                        <c15:formulaRef>
                          <c15:sqref>'6. Summary Tracking Sheet'!$CJ$23:$CJ$40</c15:sqref>
                        </c15:formulaRef>
                      </c:ext>
                    </c:extLst>
                    <c:numCache>
                      <c:formatCode>0;\-0;\-;@</c:formatCode>
                      <c:ptCount val="18"/>
                      <c:pt idx="0">
                        <c:v>0</c:v>
                      </c:pt>
                      <c:pt idx="1">
                        <c:v>0</c:v>
                      </c:pt>
                      <c:pt idx="2">
                        <c:v>0</c:v>
                      </c:pt>
                      <c:pt idx="3">
                        <c:v>0</c:v>
                      </c:pt>
                      <c:pt idx="4">
                        <c:v>0</c:v>
                      </c:pt>
                      <c:pt idx="5">
                        <c:v>0</c:v>
                      </c:pt>
                      <c:pt idx="6">
                        <c:v>0</c:v>
                      </c:pt>
                      <c:pt idx="7">
                        <c:v>0</c:v>
                      </c:pt>
                      <c:pt idx="8">
                        <c:v>2</c:v>
                      </c:pt>
                      <c:pt idx="9">
                        <c:v>7</c:v>
                      </c:pt>
                      <c:pt idx="10">
                        <c:v>16</c:v>
                      </c:pt>
                      <c:pt idx="11">
                        <c:v>28</c:v>
                      </c:pt>
                      <c:pt idx="12">
                        <c:v>38</c:v>
                      </c:pt>
                      <c:pt idx="13">
                        <c:v>40</c:v>
                      </c:pt>
                      <c:pt idx="14">
                        <c:v>40</c:v>
                      </c:pt>
                      <c:pt idx="15">
                        <c:v>40</c:v>
                      </c:pt>
                      <c:pt idx="16">
                        <c:v>40</c:v>
                      </c:pt>
                      <c:pt idx="17">
                        <c:v>40</c:v>
                      </c:pt>
                    </c:numCache>
                  </c:numRef>
                </c:val>
                <c:smooth val="0"/>
                <c:extLst xmlns:c15="http://schemas.microsoft.com/office/drawing/2012/chart">
                  <c:ext xmlns:c16="http://schemas.microsoft.com/office/drawing/2014/chart" uri="{C3380CC4-5D6E-409C-BE32-E72D297353CC}">
                    <c16:uniqueId val="{00000000-2FFF-48D4-A501-1DC8462247AE}"/>
                  </c:ext>
                </c:extLst>
              </c15:ser>
            </c15:filteredLineSeries>
            <c15:filteredLineSeries>
              <c15:ser>
                <c:idx val="11"/>
                <c:order val="11"/>
                <c:tx>
                  <c:strRef>
                    <c:extLst xmlns:c15="http://schemas.microsoft.com/office/drawing/2012/chart">
                      <c:ext xmlns:c15="http://schemas.microsoft.com/office/drawing/2012/chart" uri="{02D57815-91ED-43cb-92C2-25804820EDAC}">
                        <c15:formulaRef>
                          <c15:sqref>'6. Summary Tracking Sheet'!$CJ$3</c15:sqref>
                        </c15:formulaRef>
                      </c:ext>
                    </c:extLst>
                    <c:strCache>
                      <c:ptCount val="1"/>
                      <c:pt idx="0">
                        <c:v>ReadyForIntegration_AC(SUM)</c:v>
                      </c:pt>
                    </c:strCache>
                  </c:strRef>
                </c:tx>
                <c:spPr>
                  <a:ln w="22225" cap="rnd">
                    <a:solidFill>
                      <a:schemeClr val="accent6">
                        <a:lumMod val="60000"/>
                      </a:schemeClr>
                    </a:solidFill>
                    <a:round/>
                  </a:ln>
                  <a:effectLst/>
                </c:spPr>
                <c:marker>
                  <c:symbol val="none"/>
                </c:marker>
                <c:val>
                  <c:numRef>
                    <c:extLst>
                      <c:ext xmlns:c15="http://schemas.microsoft.com/office/drawing/2012/chart" uri="{02D57815-91ED-43cb-92C2-25804820EDAC}">
                        <c15:fullRef>
                          <c15:sqref>'6. Summary Tracking Sheet'!$CL$4:$CL$44</c15:sqref>
                        </c15:fullRef>
                        <c15:formulaRef>
                          <c15:sqref>'6. Summary Tracking Sheet'!$CL$23:$CL$40</c15:sqref>
                        </c15:formulaRef>
                      </c:ext>
                    </c:extLst>
                    <c:numCache>
                      <c:formatCode>0;\-0;\-;@</c:formatCode>
                      <c:ptCount val="18"/>
                      <c:pt idx="0">
                        <c:v>0</c:v>
                      </c:pt>
                      <c:pt idx="1">
                        <c:v>0</c:v>
                      </c:pt>
                      <c:pt idx="2">
                        <c:v>0</c:v>
                      </c:pt>
                      <c:pt idx="3">
                        <c:v>0</c:v>
                      </c:pt>
                      <c:pt idx="4">
                        <c:v>0</c:v>
                      </c:pt>
                      <c:pt idx="5">
                        <c:v>0</c:v>
                      </c:pt>
                      <c:pt idx="6">
                        <c:v>0</c:v>
                      </c:pt>
                      <c:pt idx="7">
                        <c:v>0</c:v>
                      </c:pt>
                      <c:pt idx="8">
                        <c:v>500</c:v>
                      </c:pt>
                      <c:pt idx="9">
                        <c:v>3000</c:v>
                      </c:pt>
                      <c:pt idx="10">
                        <c:v>5000</c:v>
                      </c:pt>
                      <c:pt idx="11">
                        <c:v>10500</c:v>
                      </c:pt>
                      <c:pt idx="12">
                        <c:v>14000</c:v>
                      </c:pt>
                      <c:pt idx="13">
                        <c:v>15000</c:v>
                      </c:pt>
                      <c:pt idx="14">
                        <c:v>15000</c:v>
                      </c:pt>
                      <c:pt idx="15">
                        <c:v>15000</c:v>
                      </c:pt>
                      <c:pt idx="16">
                        <c:v>15000</c:v>
                      </c:pt>
                      <c:pt idx="17">
                        <c:v>15000</c:v>
                      </c:pt>
                    </c:numCache>
                  </c:numRef>
                </c:val>
                <c:smooth val="0"/>
                <c:extLst xmlns:c15="http://schemas.microsoft.com/office/drawing/2012/chart">
                  <c:ext xmlns:c16="http://schemas.microsoft.com/office/drawing/2014/chart" uri="{C3380CC4-5D6E-409C-BE32-E72D297353CC}">
                    <c16:uniqueId val="{00000001-2FFF-48D4-A501-1DC8462247AE}"/>
                  </c:ext>
                </c:extLst>
              </c15:ser>
            </c15:filteredLineSeries>
            <c15:filteredLineSeries>
              <c15:ser>
                <c:idx val="14"/>
                <c:order val="14"/>
                <c:tx>
                  <c:strRef>
                    <c:extLst xmlns:c15="http://schemas.microsoft.com/office/drawing/2012/chart">
                      <c:ext xmlns:c15="http://schemas.microsoft.com/office/drawing/2012/chart" uri="{02D57815-91ED-43cb-92C2-25804820EDAC}">
                        <c15:formulaRef>
                          <c15:sqref>'6. Summary Tracking Sheet'!$DB$3</c15:sqref>
                        </c15:formulaRef>
                      </c:ext>
                    </c:extLst>
                    <c:strCache>
                      <c:ptCount val="1"/>
                      <c:pt idx="0">
                        <c:v>SiteAccepted_BL(SUM)</c:v>
                      </c:pt>
                    </c:strCache>
                  </c:strRef>
                </c:tx>
                <c:spPr>
                  <a:ln w="22225" cap="rnd">
                    <a:solidFill>
                      <a:schemeClr val="accent3">
                        <a:lumMod val="80000"/>
                        <a:lumOff val="20000"/>
                      </a:schemeClr>
                    </a:solidFill>
                    <a:round/>
                  </a:ln>
                  <a:effectLst/>
                </c:spPr>
                <c:marker>
                  <c:symbol val="none"/>
                </c:marker>
                <c:val>
                  <c:numRef>
                    <c:extLst>
                      <c:ext xmlns:c15="http://schemas.microsoft.com/office/drawing/2012/chart" uri="{02D57815-91ED-43cb-92C2-25804820EDAC}">
                        <c15:fullRef>
                          <c15:sqref>'6. Summary Tracking Sheet'!$DD$4:$DD$44</c15:sqref>
                        </c15:fullRef>
                        <c15:formulaRef>
                          <c15:sqref>'6. Summary Tracking Sheet'!$DD$23:$DD$40</c15:sqref>
                        </c15:formulaRef>
                      </c:ext>
                    </c:extLst>
                    <c:numCache>
                      <c:formatCode>0;\-0;\-;@</c:formatCode>
                      <c:ptCount val="18"/>
                      <c:pt idx="0">
                        <c:v>0</c:v>
                      </c:pt>
                      <c:pt idx="1">
                        <c:v>0</c:v>
                      </c:pt>
                      <c:pt idx="2">
                        <c:v>0</c:v>
                      </c:pt>
                      <c:pt idx="3">
                        <c:v>0</c:v>
                      </c:pt>
                      <c:pt idx="4">
                        <c:v>0</c:v>
                      </c:pt>
                      <c:pt idx="5">
                        <c:v>0</c:v>
                      </c:pt>
                      <c:pt idx="6">
                        <c:v>0</c:v>
                      </c:pt>
                      <c:pt idx="7">
                        <c:v>0</c:v>
                      </c:pt>
                      <c:pt idx="8">
                        <c:v>0</c:v>
                      </c:pt>
                      <c:pt idx="9">
                        <c:v>2</c:v>
                      </c:pt>
                      <c:pt idx="10">
                        <c:v>5</c:v>
                      </c:pt>
                      <c:pt idx="11">
                        <c:v>15</c:v>
                      </c:pt>
                      <c:pt idx="12">
                        <c:v>19</c:v>
                      </c:pt>
                      <c:pt idx="13">
                        <c:v>20</c:v>
                      </c:pt>
                      <c:pt idx="14">
                        <c:v>20</c:v>
                      </c:pt>
                      <c:pt idx="15">
                        <c:v>20</c:v>
                      </c:pt>
                      <c:pt idx="16">
                        <c:v>20</c:v>
                      </c:pt>
                      <c:pt idx="17">
                        <c:v>20</c:v>
                      </c:pt>
                    </c:numCache>
                  </c:numRef>
                </c:val>
                <c:smooth val="0"/>
                <c:extLst xmlns:c15="http://schemas.microsoft.com/office/drawing/2012/chart">
                  <c:ext xmlns:c16="http://schemas.microsoft.com/office/drawing/2014/chart" uri="{C3380CC4-5D6E-409C-BE32-E72D297353CC}">
                    <c16:uniqueId val="{0000000E-2FFF-48D4-A501-1DC8462247AE}"/>
                  </c:ext>
                </c:extLst>
              </c15:ser>
            </c15:filteredLineSeries>
            <c15:filteredLineSeries>
              <c15:ser>
                <c:idx val="15"/>
                <c:order val="15"/>
                <c:tx>
                  <c:strRef>
                    <c:extLst xmlns:c15="http://schemas.microsoft.com/office/drawing/2012/chart">
                      <c:ext xmlns:c15="http://schemas.microsoft.com/office/drawing/2012/chart" uri="{02D57815-91ED-43cb-92C2-25804820EDAC}">
                        <c15:formulaRef>
                          <c15:sqref>'6. Summary Tracking Sheet'!$DD$3</c15:sqref>
                        </c15:formulaRef>
                      </c:ext>
                    </c:extLst>
                    <c:strCache>
                      <c:ptCount val="1"/>
                      <c:pt idx="0">
                        <c:v>SiteAccepted_AC(SUM)</c:v>
                      </c:pt>
                    </c:strCache>
                  </c:strRef>
                </c:tx>
                <c:spPr>
                  <a:ln w="22225" cap="rnd">
                    <a:solidFill>
                      <a:schemeClr val="accent4">
                        <a:lumMod val="80000"/>
                        <a:lumOff val="20000"/>
                      </a:schemeClr>
                    </a:solidFill>
                    <a:round/>
                  </a:ln>
                  <a:effectLst/>
                </c:spPr>
                <c:marker>
                  <c:symbol val="none"/>
                </c:marker>
                <c:val>
                  <c:numRef>
                    <c:extLst>
                      <c:ext xmlns:c15="http://schemas.microsoft.com/office/drawing/2012/chart" uri="{02D57815-91ED-43cb-92C2-25804820EDAC}">
                        <c15:fullRef>
                          <c15:sqref>'6. Summary Tracking Sheet'!$DF$4:$DF$44</c15:sqref>
                        </c15:fullRef>
                        <c15:formulaRef>
                          <c15:sqref>'6. Summary Tracking Sheet'!$DF$23:$DF$40</c15:sqref>
                        </c15:formulaRef>
                      </c:ext>
                    </c:extLst>
                    <c:numCache>
                      <c:formatCode>0;\-0;\-;@</c:formatCode>
                      <c:ptCount val="18"/>
                      <c:pt idx="0">
                        <c:v>0</c:v>
                      </c:pt>
                      <c:pt idx="1">
                        <c:v>0</c:v>
                      </c:pt>
                      <c:pt idx="2">
                        <c:v>0</c:v>
                      </c:pt>
                      <c:pt idx="3">
                        <c:v>0</c:v>
                      </c:pt>
                      <c:pt idx="4">
                        <c:v>0</c:v>
                      </c:pt>
                      <c:pt idx="5">
                        <c:v>0</c:v>
                      </c:pt>
                      <c:pt idx="6">
                        <c:v>0</c:v>
                      </c:pt>
                      <c:pt idx="7">
                        <c:v>0</c:v>
                      </c:pt>
                      <c:pt idx="8">
                        <c:v>0</c:v>
                      </c:pt>
                      <c:pt idx="9">
                        <c:v>0</c:v>
                      </c:pt>
                      <c:pt idx="10">
                        <c:v>200</c:v>
                      </c:pt>
                      <c:pt idx="11">
                        <c:v>600</c:v>
                      </c:pt>
                      <c:pt idx="12">
                        <c:v>1400</c:v>
                      </c:pt>
                      <c:pt idx="13">
                        <c:v>1800</c:v>
                      </c:pt>
                      <c:pt idx="14">
                        <c:v>2000</c:v>
                      </c:pt>
                      <c:pt idx="15">
                        <c:v>2000</c:v>
                      </c:pt>
                      <c:pt idx="16">
                        <c:v>2000</c:v>
                      </c:pt>
                      <c:pt idx="17">
                        <c:v>2000</c:v>
                      </c:pt>
                    </c:numCache>
                  </c:numRef>
                </c:val>
                <c:smooth val="0"/>
                <c:extLst xmlns:c15="http://schemas.microsoft.com/office/drawing/2012/chart">
                  <c:ext xmlns:c16="http://schemas.microsoft.com/office/drawing/2014/chart" uri="{C3380CC4-5D6E-409C-BE32-E72D297353CC}">
                    <c16:uniqueId val="{0000000F-2FFF-48D4-A501-1DC8462247AE}"/>
                  </c:ext>
                </c:extLst>
              </c15:ser>
            </c15:filteredLineSeries>
            <c15:filteredLineSeries>
              <c15:ser>
                <c:idx val="16"/>
                <c:order val="16"/>
                <c:tx>
                  <c:strRef>
                    <c:extLst xmlns:c15="http://schemas.microsoft.com/office/drawing/2012/chart">
                      <c:ext xmlns:c15="http://schemas.microsoft.com/office/drawing/2012/chart" uri="{02D57815-91ED-43cb-92C2-25804820EDAC}">
                        <c15:formulaRef>
                          <c15:sqref>'6. Summary Tracking Sheet'!$DL$3</c15:sqref>
                        </c15:formulaRef>
                      </c:ext>
                    </c:extLst>
                    <c:strCache>
                      <c:ptCount val="1"/>
                      <c:pt idx="0">
                        <c:v>SiteInOperations_BL(SUM)</c:v>
                      </c:pt>
                    </c:strCache>
                  </c:strRef>
                </c:tx>
                <c:spPr>
                  <a:ln w="22225" cap="rnd">
                    <a:solidFill>
                      <a:schemeClr val="accent5">
                        <a:lumMod val="80000"/>
                        <a:lumOff val="20000"/>
                      </a:schemeClr>
                    </a:solidFill>
                    <a:round/>
                  </a:ln>
                  <a:effectLst/>
                </c:spPr>
                <c:marker>
                  <c:symbol val="none"/>
                </c:marker>
                <c:val>
                  <c:numRef>
                    <c:extLst>
                      <c:ext xmlns:c15="http://schemas.microsoft.com/office/drawing/2012/chart" uri="{02D57815-91ED-43cb-92C2-25804820EDAC}">
                        <c15:fullRef>
                          <c15:sqref>'6. Summary Tracking Sheet'!$DN$4:$DN$44</c15:sqref>
                        </c15:fullRef>
                        <c15:formulaRef>
                          <c15:sqref>'6. Summary Tracking Sheet'!$DN$23:$DN$40</c15:sqref>
                        </c15:formulaRef>
                      </c:ext>
                    </c:extLst>
                    <c:numCache>
                      <c:formatCode>0;\-0;\-;@</c:formatCode>
                      <c:ptCount val="18"/>
                      <c:pt idx="0">
                        <c:v>0</c:v>
                      </c:pt>
                      <c:pt idx="1">
                        <c:v>0</c:v>
                      </c:pt>
                      <c:pt idx="2">
                        <c:v>0</c:v>
                      </c:pt>
                      <c:pt idx="3">
                        <c:v>0</c:v>
                      </c:pt>
                      <c:pt idx="4">
                        <c:v>0</c:v>
                      </c:pt>
                      <c:pt idx="5">
                        <c:v>0</c:v>
                      </c:pt>
                      <c:pt idx="6">
                        <c:v>0</c:v>
                      </c:pt>
                      <c:pt idx="7">
                        <c:v>0</c:v>
                      </c:pt>
                      <c:pt idx="8">
                        <c:v>0</c:v>
                      </c:pt>
                      <c:pt idx="9">
                        <c:v>0</c:v>
                      </c:pt>
                      <c:pt idx="10">
                        <c:v>1</c:v>
                      </c:pt>
                      <c:pt idx="11">
                        <c:v>3</c:v>
                      </c:pt>
                      <c:pt idx="12">
                        <c:v>7</c:v>
                      </c:pt>
                      <c:pt idx="13">
                        <c:v>9</c:v>
                      </c:pt>
                      <c:pt idx="14">
                        <c:v>10</c:v>
                      </c:pt>
                      <c:pt idx="15">
                        <c:v>10</c:v>
                      </c:pt>
                      <c:pt idx="16">
                        <c:v>10</c:v>
                      </c:pt>
                      <c:pt idx="17">
                        <c:v>10</c:v>
                      </c:pt>
                    </c:numCache>
                  </c:numRef>
                </c:val>
                <c:smooth val="0"/>
                <c:extLst xmlns:c15="http://schemas.microsoft.com/office/drawing/2012/chart">
                  <c:ext xmlns:c16="http://schemas.microsoft.com/office/drawing/2014/chart" uri="{C3380CC4-5D6E-409C-BE32-E72D297353CC}">
                    <c16:uniqueId val="{00000010-2FFF-48D4-A501-1DC8462247AE}"/>
                  </c:ext>
                </c:extLst>
              </c15:ser>
            </c15:filteredLineSeries>
            <c15:filteredLineSeries>
              <c15:ser>
                <c:idx val="17"/>
                <c:order val="17"/>
                <c:tx>
                  <c:strRef>
                    <c:extLst xmlns:c15="http://schemas.microsoft.com/office/drawing/2012/chart">
                      <c:ext xmlns:c15="http://schemas.microsoft.com/office/drawing/2012/chart" uri="{02D57815-91ED-43cb-92C2-25804820EDAC}">
                        <c15:formulaRef>
                          <c15:sqref>'6. Summary Tracking Sheet'!$DN$3</c15:sqref>
                        </c15:formulaRef>
                      </c:ext>
                    </c:extLst>
                    <c:strCache>
                      <c:ptCount val="1"/>
                      <c:pt idx="0">
                        <c:v>SiteInOperations_AC(SUM)</c:v>
                      </c:pt>
                    </c:strCache>
                  </c:strRef>
                </c:tx>
                <c:spPr>
                  <a:ln w="22225" cap="rnd">
                    <a:solidFill>
                      <a:schemeClr val="accent6">
                        <a:lumMod val="80000"/>
                        <a:lumOff val="20000"/>
                      </a:schemeClr>
                    </a:solidFill>
                    <a:round/>
                  </a:ln>
                  <a:effectLst/>
                </c:spPr>
                <c:marker>
                  <c:symbol val="none"/>
                </c:marker>
                <c:val>
                  <c:numRef>
                    <c:extLst>
                      <c:ext xmlns:c15="http://schemas.microsoft.com/office/drawing/2012/chart" uri="{02D57815-91ED-43cb-92C2-25804820EDAC}">
                        <c15:fullRef>
                          <c15:sqref>'6. Summary Tracking Sheet'!$DP$4:$DP$44</c15:sqref>
                        </c15:fullRef>
                        <c15:formulaRef>
                          <c15:sqref>'6. Summary Tracking Sheet'!$DP$23:$DP$40</c15:sqref>
                        </c15:formulaRef>
                      </c:ext>
                    </c:extLst>
                    <c:numCache>
                      <c:formatCode>_(* #,##0_);_(* \(#,##0\);_(* "-"??_);_(@_)</c:formatCode>
                      <c:ptCount val="18"/>
                      <c:pt idx="0">
                        <c:v>0</c:v>
                      </c:pt>
                      <c:pt idx="1">
                        <c:v>0</c:v>
                      </c:pt>
                      <c:pt idx="2">
                        <c:v>1000</c:v>
                      </c:pt>
                      <c:pt idx="3">
                        <c:v>7000</c:v>
                      </c:pt>
                      <c:pt idx="4">
                        <c:v>20350</c:v>
                      </c:pt>
                      <c:pt idx="5">
                        <c:v>44150</c:v>
                      </c:pt>
                      <c:pt idx="6">
                        <c:v>73500</c:v>
                      </c:pt>
                      <c:pt idx="7">
                        <c:v>124200</c:v>
                      </c:pt>
                      <c:pt idx="8">
                        <c:v>190800</c:v>
                      </c:pt>
                      <c:pt idx="9">
                        <c:v>279500</c:v>
                      </c:pt>
                      <c:pt idx="10">
                        <c:v>387900</c:v>
                      </c:pt>
                      <c:pt idx="11">
                        <c:v>480700</c:v>
                      </c:pt>
                      <c:pt idx="12">
                        <c:v>602700</c:v>
                      </c:pt>
                      <c:pt idx="13">
                        <c:v>686850</c:v>
                      </c:pt>
                      <c:pt idx="14">
                        <c:v>742450</c:v>
                      </c:pt>
                      <c:pt idx="15">
                        <c:v>760150</c:v>
                      </c:pt>
                      <c:pt idx="16">
                        <c:v>767200</c:v>
                      </c:pt>
                      <c:pt idx="17">
                        <c:v>770000</c:v>
                      </c:pt>
                    </c:numCache>
                  </c:numRef>
                </c:val>
                <c:smooth val="0"/>
                <c:extLst xmlns:c15="http://schemas.microsoft.com/office/drawing/2012/chart">
                  <c:ext xmlns:c16="http://schemas.microsoft.com/office/drawing/2014/chart" uri="{C3380CC4-5D6E-409C-BE32-E72D297353CC}">
                    <c16:uniqueId val="{00000011-2FFF-48D4-A501-1DC8462247AE}"/>
                  </c:ext>
                </c:extLst>
              </c15:ser>
            </c15:filteredLineSeries>
          </c:ext>
        </c:extLst>
      </c:lineChart>
      <c:catAx>
        <c:axId val="550300207"/>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r>
                  <a:rPr lang="en-US"/>
                  <a:t>Week</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endParaRPr lang="en-US"/>
            </a:p>
          </c:txPr>
        </c:title>
        <c:numFmt formatCode="General" sourceLinked="0"/>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cap="none" spc="0" normalizeH="0" baseline="0">
                <a:solidFill>
                  <a:schemeClr val="dk1">
                    <a:lumMod val="65000"/>
                    <a:lumOff val="35000"/>
                  </a:schemeClr>
                </a:solidFill>
                <a:latin typeface="+mn-lt"/>
                <a:ea typeface="+mn-ea"/>
                <a:cs typeface="+mn-cs"/>
              </a:defRPr>
            </a:pPr>
            <a:endParaRPr lang="en-US"/>
          </a:p>
        </c:txPr>
        <c:crossAx val="506817855"/>
        <c:crosses val="autoZero"/>
        <c:auto val="1"/>
        <c:lblAlgn val="ctr"/>
        <c:lblOffset val="100"/>
        <c:noMultiLvlLbl val="0"/>
      </c:catAx>
      <c:valAx>
        <c:axId val="506817855"/>
        <c:scaling>
          <c:orientation val="minMax"/>
        </c:scaling>
        <c:delete val="0"/>
        <c:axPos val="l"/>
        <c:majorGridlines>
          <c:spPr>
            <a:ln w="9525" cap="flat" cmpd="sng" algn="ctr">
              <a:solidFill>
                <a:schemeClr val="dk1">
                  <a:lumMod val="15000"/>
                  <a:lumOff val="85000"/>
                  <a:alpha val="54000"/>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r>
                  <a:rPr lang="en-US"/>
                  <a:t>Sites</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endParaRPr lang="en-US"/>
            </a:p>
          </c:txPr>
        </c:title>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crossAx val="550300207"/>
        <c:crosses val="autoZero"/>
        <c:crossBetween val="between"/>
      </c:valAx>
      <c:dTable>
        <c:showHorzBorder val="1"/>
        <c:showVertBorder val="1"/>
        <c:showOutline val="1"/>
        <c:showKeys val="1"/>
        <c:spPr>
          <a:noFill/>
          <a:ln w="9525" cap="flat" cmpd="sng" algn="ctr">
            <a:solidFill>
              <a:schemeClr val="dk1">
                <a:lumMod val="15000"/>
                <a:lumOff val="85000"/>
              </a:schemeClr>
            </a:solidFill>
            <a:round/>
          </a:ln>
          <a:effectLst/>
        </c:spPr>
        <c:txPr>
          <a:bodyPr rot="0" spcFirstLastPara="1" vertOverflow="ellipsis" vert="horz" wrap="square" anchor="ctr" anchorCtr="1"/>
          <a:lstStyle/>
          <a:p>
            <a:pPr rtl="0">
              <a:defRPr sz="800" b="0" i="0" u="none" strike="noStrike" kern="1200" baseline="0">
                <a:solidFill>
                  <a:schemeClr val="dk1">
                    <a:lumMod val="65000"/>
                    <a:lumOff val="35000"/>
                  </a:schemeClr>
                </a:solidFill>
                <a:latin typeface="+mn-lt"/>
                <a:ea typeface="+mn-ea"/>
                <a:cs typeface="+mn-cs"/>
              </a:defRPr>
            </a:pPr>
            <a:endParaRPr lang="en-US"/>
          </a:p>
        </c:txPr>
      </c:dTable>
      <c:spPr>
        <a:pattFill prst="ltDnDiag">
          <a:fgClr>
            <a:schemeClr val="dk1">
              <a:lumMod val="15000"/>
              <a:lumOff val="85000"/>
            </a:schemeClr>
          </a:fgClr>
          <a:bgClr>
            <a:schemeClr val="lt1"/>
          </a:bgClr>
        </a:patt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14"/>
          <c:order val="14"/>
          <c:tx>
            <c:strRef>
              <c:f>'6. Summary Tracking Sheet'!$DB$3</c:f>
              <c:strCache>
                <c:ptCount val="1"/>
                <c:pt idx="0">
                  <c:v>SiteAccepted_BL(SUM)</c:v>
                </c:pt>
              </c:strCache>
              <c:extLst xmlns:c15="http://schemas.microsoft.com/office/drawing/2012/chart"/>
            </c:strRef>
          </c:tx>
          <c:spPr>
            <a:ln w="22225" cap="rnd">
              <a:solidFill>
                <a:schemeClr val="accent3">
                  <a:lumMod val="80000"/>
                  <a:lumOff val="20000"/>
                </a:schemeClr>
              </a:solidFill>
              <a:round/>
            </a:ln>
            <a:effectLst/>
          </c:spPr>
          <c:marker>
            <c:symbol val="none"/>
          </c:marker>
          <c:cat>
            <c:strLit>
              <c:ptCount val="18"/>
              <c:pt idx="0">
                <c:v>20</c:v>
              </c:pt>
              <c:pt idx="1">
                <c:v>21</c:v>
              </c:pt>
              <c:pt idx="2">
                <c:v>22</c:v>
              </c:pt>
              <c:pt idx="3">
                <c:v>23</c:v>
              </c:pt>
              <c:pt idx="4">
                <c:v>24</c:v>
              </c:pt>
              <c:pt idx="5">
                <c:v>25</c:v>
              </c:pt>
              <c:pt idx="6">
                <c:v>26</c:v>
              </c:pt>
              <c:pt idx="7">
                <c:v>27</c:v>
              </c:pt>
              <c:pt idx="8">
                <c:v>28</c:v>
              </c:pt>
              <c:pt idx="9">
                <c:v>29</c:v>
              </c:pt>
              <c:pt idx="10">
                <c:v>30</c:v>
              </c:pt>
              <c:pt idx="11">
                <c:v>31</c:v>
              </c:pt>
              <c:pt idx="12">
                <c:v>32</c:v>
              </c:pt>
              <c:pt idx="13">
                <c:v>33</c:v>
              </c:pt>
              <c:pt idx="14">
                <c:v>34</c:v>
              </c:pt>
              <c:pt idx="15">
                <c:v>35</c:v>
              </c:pt>
              <c:pt idx="16">
                <c:v>36</c:v>
              </c:pt>
              <c:pt idx="17">
                <c:v>37</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'6. Summary Tracking Sheet'!$DB$4:$DB$43</c15:sqref>
                  </c15:fullRef>
                </c:ext>
              </c:extLst>
              <c:f>'6. Summary Tracking Sheet'!$DB$23:$DB$40</c:f>
              <c:numCache>
                <c:formatCode>0;\-0;\-;@</c:formatCode>
                <c:ptCount val="18"/>
                <c:pt idx="0">
                  <c:v>0</c:v>
                </c:pt>
                <c:pt idx="1">
                  <c:v>0</c:v>
                </c:pt>
                <c:pt idx="2">
                  <c:v>0</c:v>
                </c:pt>
                <c:pt idx="3">
                  <c:v>0</c:v>
                </c:pt>
                <c:pt idx="4">
                  <c:v>0</c:v>
                </c:pt>
                <c:pt idx="5">
                  <c:v>0</c:v>
                </c:pt>
                <c:pt idx="6">
                  <c:v>0</c:v>
                </c:pt>
                <c:pt idx="7">
                  <c:v>0</c:v>
                </c:pt>
                <c:pt idx="8">
                  <c:v>0</c:v>
                </c:pt>
                <c:pt idx="9">
                  <c:v>7</c:v>
                </c:pt>
                <c:pt idx="10">
                  <c:v>16</c:v>
                </c:pt>
                <c:pt idx="11">
                  <c:v>26</c:v>
                </c:pt>
                <c:pt idx="12">
                  <c:v>38</c:v>
                </c:pt>
                <c:pt idx="13">
                  <c:v>51</c:v>
                </c:pt>
                <c:pt idx="14">
                  <c:v>67</c:v>
                </c:pt>
                <c:pt idx="15">
                  <c:v>87</c:v>
                </c:pt>
                <c:pt idx="16">
                  <c:v>100</c:v>
                </c:pt>
                <c:pt idx="17">
                  <c:v>100</c:v>
                </c:pt>
              </c:numCache>
            </c:numRef>
          </c:val>
          <c:smooth val="0"/>
          <c:extLst>
            <c:ext xmlns:c16="http://schemas.microsoft.com/office/drawing/2014/chart" uri="{C3380CC4-5D6E-409C-BE32-E72D297353CC}">
              <c16:uniqueId val="{0000000E-8A76-43C3-B274-9CC7CA9C7ECF}"/>
            </c:ext>
          </c:extLst>
        </c:ser>
        <c:ser>
          <c:idx val="15"/>
          <c:order val="15"/>
          <c:tx>
            <c:strRef>
              <c:f>'6. Summary Tracking Sheet'!$DD$3</c:f>
              <c:strCache>
                <c:ptCount val="1"/>
                <c:pt idx="0">
                  <c:v>SiteAccepted_AC(SUM)</c:v>
                </c:pt>
              </c:strCache>
              <c:extLst xmlns:c15="http://schemas.microsoft.com/office/drawing/2012/chart"/>
            </c:strRef>
          </c:tx>
          <c:spPr>
            <a:ln w="22225" cap="rnd">
              <a:solidFill>
                <a:schemeClr val="accent4">
                  <a:lumMod val="80000"/>
                  <a:lumOff val="20000"/>
                </a:schemeClr>
              </a:solidFill>
              <a:round/>
            </a:ln>
            <a:effectLst/>
          </c:spPr>
          <c:marker>
            <c:symbol val="none"/>
          </c:marker>
          <c:cat>
            <c:strLit>
              <c:ptCount val="18"/>
              <c:pt idx="0">
                <c:v>20</c:v>
              </c:pt>
              <c:pt idx="1">
                <c:v>21</c:v>
              </c:pt>
              <c:pt idx="2">
                <c:v>22</c:v>
              </c:pt>
              <c:pt idx="3">
                <c:v>23</c:v>
              </c:pt>
              <c:pt idx="4">
                <c:v>24</c:v>
              </c:pt>
              <c:pt idx="5">
                <c:v>25</c:v>
              </c:pt>
              <c:pt idx="6">
                <c:v>26</c:v>
              </c:pt>
              <c:pt idx="7">
                <c:v>27</c:v>
              </c:pt>
              <c:pt idx="8">
                <c:v>28</c:v>
              </c:pt>
              <c:pt idx="9">
                <c:v>29</c:v>
              </c:pt>
              <c:pt idx="10">
                <c:v>30</c:v>
              </c:pt>
              <c:pt idx="11">
                <c:v>31</c:v>
              </c:pt>
              <c:pt idx="12">
                <c:v>32</c:v>
              </c:pt>
              <c:pt idx="13">
                <c:v>33</c:v>
              </c:pt>
              <c:pt idx="14">
                <c:v>34</c:v>
              </c:pt>
              <c:pt idx="15">
                <c:v>35</c:v>
              </c:pt>
              <c:pt idx="16">
                <c:v>36</c:v>
              </c:pt>
              <c:pt idx="17">
                <c:v>37</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'6. Summary Tracking Sheet'!$DD$4:$DD$43</c15:sqref>
                  </c15:fullRef>
                </c:ext>
              </c:extLst>
              <c:f>'6. Summary Tracking Sheet'!$DD$23:$DD$40</c:f>
              <c:numCache>
                <c:formatCode>0;\-0;\-;@</c:formatCode>
                <c:ptCount val="18"/>
                <c:pt idx="0">
                  <c:v>0</c:v>
                </c:pt>
                <c:pt idx="1">
                  <c:v>0</c:v>
                </c:pt>
                <c:pt idx="2">
                  <c:v>0</c:v>
                </c:pt>
                <c:pt idx="3">
                  <c:v>0</c:v>
                </c:pt>
                <c:pt idx="4">
                  <c:v>0</c:v>
                </c:pt>
                <c:pt idx="5">
                  <c:v>0</c:v>
                </c:pt>
                <c:pt idx="6">
                  <c:v>0</c:v>
                </c:pt>
                <c:pt idx="7">
                  <c:v>0</c:v>
                </c:pt>
                <c:pt idx="8">
                  <c:v>0</c:v>
                </c:pt>
                <c:pt idx="9">
                  <c:v>2</c:v>
                </c:pt>
                <c:pt idx="10">
                  <c:v>5</c:v>
                </c:pt>
                <c:pt idx="11">
                  <c:v>15</c:v>
                </c:pt>
                <c:pt idx="12">
                  <c:v>19</c:v>
                </c:pt>
                <c:pt idx="13">
                  <c:v>20</c:v>
                </c:pt>
                <c:pt idx="14">
                  <c:v>20</c:v>
                </c:pt>
                <c:pt idx="15">
                  <c:v>20</c:v>
                </c:pt>
                <c:pt idx="16">
                  <c:v>20</c:v>
                </c:pt>
                <c:pt idx="17">
                  <c:v>20</c:v>
                </c:pt>
              </c:numCache>
            </c:numRef>
          </c:val>
          <c:smooth val="0"/>
          <c:extLst>
            <c:ext xmlns:c16="http://schemas.microsoft.com/office/drawing/2014/chart" uri="{C3380CC4-5D6E-409C-BE32-E72D297353CC}">
              <c16:uniqueId val="{0000000F-8A76-43C3-B274-9CC7CA9C7ECF}"/>
            </c:ext>
          </c:extLst>
        </c:ser>
        <c:dLbls>
          <c:showLegendKey val="0"/>
          <c:showVal val="0"/>
          <c:showCatName val="0"/>
          <c:showSerName val="0"/>
          <c:showPercent val="0"/>
          <c:showBubbleSize val="0"/>
        </c:dLbls>
        <c:smooth val="0"/>
        <c:axId val="550300207"/>
        <c:axId val="506817855"/>
        <c:extLst>
          <c:ext xmlns:c15="http://schemas.microsoft.com/office/drawing/2012/chart" uri="{02D57815-91ED-43cb-92C2-25804820EDAC}">
            <c15:filteredLineSeries>
              <c15:ser>
                <c:idx val="1"/>
                <c:order val="0"/>
                <c:tx>
                  <c:strRef>
                    <c:extLst>
                      <c:ext uri="{02D57815-91ED-43cb-92C2-25804820EDAC}">
                        <c15:formulaRef>
                          <c15:sqref>'6. Summary Tracking Sheet'!$P$3</c15:sqref>
                        </c15:formulaRef>
                      </c:ext>
                    </c:extLst>
                    <c:strCache>
                      <c:ptCount val="1"/>
                      <c:pt idx="0">
                        <c:v>SiteDesignReady_BL(SUM)</c:v>
                      </c:pt>
                    </c:strCache>
                  </c:strRef>
                </c:tx>
                <c:spPr>
                  <a:ln w="22225" cap="rnd">
                    <a:solidFill>
                      <a:schemeClr val="accent2"/>
                    </a:solidFill>
                    <a:round/>
                  </a:ln>
                  <a:effectLst/>
                </c:spPr>
                <c:marker>
                  <c:symbol val="none"/>
                </c:marker>
                <c:val>
                  <c:numRef>
                    <c:extLst>
                      <c:ext uri="{02D57815-91ED-43cb-92C2-25804820EDAC}">
                        <c15:fullRef>
                          <c15:sqref>'6. Summary Tracking Sheet'!$P$4:$P$44</c15:sqref>
                        </c15:fullRef>
                        <c15:formulaRef>
                          <c15:sqref>'6. Summary Tracking Sheet'!$P$23:$P$40</c15:sqref>
                        </c15:formulaRef>
                      </c:ext>
                    </c:extLst>
                    <c:numCache>
                      <c:formatCode>0;\-0;\-;@</c:formatCode>
                      <c:ptCount val="18"/>
                      <c:pt idx="0">
                        <c:v>0</c:v>
                      </c:pt>
                      <c:pt idx="1">
                        <c:v>0</c:v>
                      </c:pt>
                      <c:pt idx="2">
                        <c:v>1</c:v>
                      </c:pt>
                      <c:pt idx="3">
                        <c:v>7</c:v>
                      </c:pt>
                      <c:pt idx="4">
                        <c:v>16</c:v>
                      </c:pt>
                      <c:pt idx="5">
                        <c:v>38</c:v>
                      </c:pt>
                      <c:pt idx="6">
                        <c:v>51</c:v>
                      </c:pt>
                      <c:pt idx="7">
                        <c:v>67</c:v>
                      </c:pt>
                      <c:pt idx="8">
                        <c:v>86</c:v>
                      </c:pt>
                      <c:pt idx="9">
                        <c:v>100</c:v>
                      </c:pt>
                      <c:pt idx="10">
                        <c:v>100</c:v>
                      </c:pt>
                      <c:pt idx="11">
                        <c:v>100</c:v>
                      </c:pt>
                      <c:pt idx="12">
                        <c:v>100</c:v>
                      </c:pt>
                      <c:pt idx="13">
                        <c:v>100</c:v>
                      </c:pt>
                      <c:pt idx="14">
                        <c:v>100</c:v>
                      </c:pt>
                      <c:pt idx="15">
                        <c:v>100</c:v>
                      </c:pt>
                      <c:pt idx="16">
                        <c:v>100</c:v>
                      </c:pt>
                      <c:pt idx="17">
                        <c:v>100</c:v>
                      </c:pt>
                    </c:numCache>
                  </c:numRef>
                </c:val>
                <c:smooth val="0"/>
                <c:extLst>
                  <c:ext xmlns:c16="http://schemas.microsoft.com/office/drawing/2014/chart" uri="{C3380CC4-5D6E-409C-BE32-E72D297353CC}">
                    <c16:uniqueId val="{00000002-8A76-43C3-B274-9CC7CA9C7ECF}"/>
                  </c:ext>
                </c:extLst>
              </c15:ser>
            </c15:filteredLineSeries>
            <c15:filteredLineSeries>
              <c15:ser>
                <c:idx val="0"/>
                <c:order val="1"/>
                <c:tx>
                  <c:strRef>
                    <c:extLst xmlns:c15="http://schemas.microsoft.com/office/drawing/2012/chart">
                      <c:ext xmlns:c15="http://schemas.microsoft.com/office/drawing/2012/chart" uri="{02D57815-91ED-43cb-92C2-25804820EDAC}">
                        <c15:formulaRef>
                          <c15:sqref>'6. Summary Tracking Sheet'!$R$3</c15:sqref>
                        </c15:formulaRef>
                      </c:ext>
                    </c:extLst>
                    <c:strCache>
                      <c:ptCount val="1"/>
                      <c:pt idx="0">
                        <c:v>SiteDesignReady_AC(SUM)</c:v>
                      </c:pt>
                    </c:strCache>
                  </c:strRef>
                </c:tx>
                <c:spPr>
                  <a:ln w="22225" cap="rnd">
                    <a:solidFill>
                      <a:schemeClr val="accent1"/>
                    </a:solidFill>
                    <a:round/>
                  </a:ln>
                  <a:effectLst/>
                </c:spPr>
                <c:marker>
                  <c:symbol val="none"/>
                </c:marker>
                <c:val>
                  <c:numRef>
                    <c:extLst>
                      <c:ext xmlns:c15="http://schemas.microsoft.com/office/drawing/2012/chart" uri="{02D57815-91ED-43cb-92C2-25804820EDAC}">
                        <c15:fullRef>
                          <c15:sqref>'6. Summary Tracking Sheet'!$R$4:$R$44</c15:sqref>
                        </c15:fullRef>
                        <c15:formulaRef>
                          <c15:sqref>'6. Summary Tracking Sheet'!$R$23:$R$40</c15:sqref>
                        </c15:formulaRef>
                      </c:ext>
                    </c:extLst>
                    <c:numCache>
                      <c:formatCode>0;\-0;\-;@</c:formatCode>
                      <c:ptCount val="18"/>
                      <c:pt idx="0">
                        <c:v>0</c:v>
                      </c:pt>
                      <c:pt idx="1">
                        <c:v>0</c:v>
                      </c:pt>
                      <c:pt idx="2">
                        <c:v>1</c:v>
                      </c:pt>
                      <c:pt idx="3">
                        <c:v>7</c:v>
                      </c:pt>
                      <c:pt idx="4">
                        <c:v>16</c:v>
                      </c:pt>
                      <c:pt idx="5">
                        <c:v>27</c:v>
                      </c:pt>
                      <c:pt idx="6">
                        <c:v>40</c:v>
                      </c:pt>
                      <c:pt idx="7">
                        <c:v>66</c:v>
                      </c:pt>
                      <c:pt idx="8">
                        <c:v>85</c:v>
                      </c:pt>
                      <c:pt idx="9">
                        <c:v>90</c:v>
                      </c:pt>
                      <c:pt idx="10">
                        <c:v>90</c:v>
                      </c:pt>
                      <c:pt idx="11">
                        <c:v>90</c:v>
                      </c:pt>
                      <c:pt idx="12">
                        <c:v>90</c:v>
                      </c:pt>
                      <c:pt idx="13">
                        <c:v>90</c:v>
                      </c:pt>
                      <c:pt idx="14">
                        <c:v>90</c:v>
                      </c:pt>
                      <c:pt idx="15">
                        <c:v>90</c:v>
                      </c:pt>
                      <c:pt idx="16">
                        <c:v>90</c:v>
                      </c:pt>
                      <c:pt idx="17">
                        <c:v>90</c:v>
                      </c:pt>
                    </c:numCache>
                  </c:numRef>
                </c:val>
                <c:smooth val="0"/>
                <c:extLst xmlns:c15="http://schemas.microsoft.com/office/drawing/2012/chart">
                  <c:ext xmlns:c16="http://schemas.microsoft.com/office/drawing/2014/chart" uri="{C3380CC4-5D6E-409C-BE32-E72D297353CC}">
                    <c16:uniqueId val="{00000003-8A76-43C3-B274-9CC7CA9C7ECF}"/>
                  </c:ext>
                </c:extLst>
              </c15:ser>
            </c15:filteredLineSeries>
            <c15:filteredLineSeries>
              <c15:ser>
                <c:idx val="2"/>
                <c:order val="2"/>
                <c:tx>
                  <c:strRef>
                    <c:extLst xmlns:c15="http://schemas.microsoft.com/office/drawing/2012/chart">
                      <c:ext xmlns:c15="http://schemas.microsoft.com/office/drawing/2012/chart" uri="{02D57815-91ED-43cb-92C2-25804820EDAC}">
                        <c15:formulaRef>
                          <c15:sqref>'6. Summary Tracking Sheet'!$AT$3</c15:sqref>
                        </c15:formulaRef>
                      </c:ext>
                    </c:extLst>
                    <c:strCache>
                      <c:ptCount val="1"/>
                      <c:pt idx="0">
                        <c:v>ReadyForCW_BL(SUM)</c:v>
                      </c:pt>
                    </c:strCache>
                  </c:strRef>
                </c:tx>
                <c:spPr>
                  <a:ln w="22225" cap="rnd">
                    <a:solidFill>
                      <a:schemeClr val="accent3"/>
                    </a:solidFill>
                    <a:round/>
                  </a:ln>
                  <a:effectLst/>
                </c:spPr>
                <c:marker>
                  <c:symbol val="none"/>
                </c:marker>
                <c:val>
                  <c:numRef>
                    <c:extLst>
                      <c:ext xmlns:c15="http://schemas.microsoft.com/office/drawing/2012/chart" uri="{02D57815-91ED-43cb-92C2-25804820EDAC}">
                        <c15:fullRef>
                          <c15:sqref>'6. Summary Tracking Sheet'!$AV$4:$AV$44</c15:sqref>
                        </c15:fullRef>
                        <c15:formulaRef>
                          <c15:sqref>'6. Summary Tracking Sheet'!$AV$23:$AV$40</c15:sqref>
                        </c15:formulaRef>
                      </c:ext>
                    </c:extLst>
                    <c:numCache>
                      <c:formatCode>0;\-0;\-;@</c:formatCode>
                      <c:ptCount val="18"/>
                      <c:pt idx="0">
                        <c:v>0</c:v>
                      </c:pt>
                      <c:pt idx="1">
                        <c:v>0</c:v>
                      </c:pt>
                      <c:pt idx="2">
                        <c:v>0</c:v>
                      </c:pt>
                      <c:pt idx="3">
                        <c:v>0</c:v>
                      </c:pt>
                      <c:pt idx="4">
                        <c:v>1</c:v>
                      </c:pt>
                      <c:pt idx="5">
                        <c:v>5</c:v>
                      </c:pt>
                      <c:pt idx="6">
                        <c:v>15</c:v>
                      </c:pt>
                      <c:pt idx="7">
                        <c:v>25</c:v>
                      </c:pt>
                      <c:pt idx="8">
                        <c:v>38</c:v>
                      </c:pt>
                      <c:pt idx="9">
                        <c:v>61</c:v>
                      </c:pt>
                      <c:pt idx="10">
                        <c:v>71</c:v>
                      </c:pt>
                      <c:pt idx="11">
                        <c:v>80</c:v>
                      </c:pt>
                      <c:pt idx="12">
                        <c:v>80</c:v>
                      </c:pt>
                      <c:pt idx="13">
                        <c:v>80</c:v>
                      </c:pt>
                      <c:pt idx="14">
                        <c:v>80</c:v>
                      </c:pt>
                      <c:pt idx="15">
                        <c:v>80</c:v>
                      </c:pt>
                      <c:pt idx="16">
                        <c:v>80</c:v>
                      </c:pt>
                      <c:pt idx="17">
                        <c:v>80</c:v>
                      </c:pt>
                    </c:numCache>
                  </c:numRef>
                </c:val>
                <c:smooth val="0"/>
                <c:extLst xmlns:c15="http://schemas.microsoft.com/office/drawing/2012/chart">
                  <c:ext xmlns:c16="http://schemas.microsoft.com/office/drawing/2014/chart" uri="{C3380CC4-5D6E-409C-BE32-E72D297353CC}">
                    <c16:uniqueId val="{00000004-8A76-43C3-B274-9CC7CA9C7ECF}"/>
                  </c:ext>
                </c:extLst>
              </c15:ser>
            </c15:filteredLineSeries>
            <c15:filteredLineSeries>
              <c15:ser>
                <c:idx val="3"/>
                <c:order val="3"/>
                <c:tx>
                  <c:strRef>
                    <c:extLst xmlns:c15="http://schemas.microsoft.com/office/drawing/2012/chart">
                      <c:ext xmlns:c15="http://schemas.microsoft.com/office/drawing/2012/chart" uri="{02D57815-91ED-43cb-92C2-25804820EDAC}">
                        <c15:formulaRef>
                          <c15:sqref>'6. Summary Tracking Sheet'!$AV$3</c15:sqref>
                        </c15:formulaRef>
                      </c:ext>
                    </c:extLst>
                    <c:strCache>
                      <c:ptCount val="1"/>
                      <c:pt idx="0">
                        <c:v>ReadyForCW_AC(SUM)</c:v>
                      </c:pt>
                    </c:strCache>
                  </c:strRef>
                </c:tx>
                <c:spPr>
                  <a:ln w="22225" cap="rnd">
                    <a:solidFill>
                      <a:schemeClr val="accent4"/>
                    </a:solidFill>
                    <a:round/>
                  </a:ln>
                  <a:effectLst/>
                </c:spPr>
                <c:marker>
                  <c:symbol val="none"/>
                </c:marker>
                <c:val>
                  <c:numRef>
                    <c:extLst>
                      <c:ext xmlns:c15="http://schemas.microsoft.com/office/drawing/2012/chart" uri="{02D57815-91ED-43cb-92C2-25804820EDAC}">
                        <c15:fullRef>
                          <c15:sqref>'6. Summary Tracking Sheet'!$AX$4:$AX$44</c15:sqref>
                        </c15:fullRef>
                        <c15:formulaRef>
                          <c15:sqref>'6. Summary Tracking Sheet'!$AX$23:$AX$40</c15:sqref>
                        </c15:formulaRef>
                      </c:ext>
                    </c:extLst>
                    <c:numCache>
                      <c:formatCode>0;\-0;\-;@</c:formatCode>
                      <c:ptCount val="18"/>
                      <c:pt idx="0">
                        <c:v>0</c:v>
                      </c:pt>
                      <c:pt idx="1">
                        <c:v>0</c:v>
                      </c:pt>
                      <c:pt idx="2">
                        <c:v>0</c:v>
                      </c:pt>
                      <c:pt idx="3">
                        <c:v>0</c:v>
                      </c:pt>
                      <c:pt idx="4">
                        <c:v>0</c:v>
                      </c:pt>
                      <c:pt idx="5">
                        <c:v>1500</c:v>
                      </c:pt>
                      <c:pt idx="6">
                        <c:v>9000</c:v>
                      </c:pt>
                      <c:pt idx="7">
                        <c:v>15000</c:v>
                      </c:pt>
                      <c:pt idx="8">
                        <c:v>33000</c:v>
                      </c:pt>
                      <c:pt idx="9">
                        <c:v>52500</c:v>
                      </c:pt>
                      <c:pt idx="10">
                        <c:v>78000</c:v>
                      </c:pt>
                      <c:pt idx="11">
                        <c:v>100500</c:v>
                      </c:pt>
                      <c:pt idx="12">
                        <c:v>105000</c:v>
                      </c:pt>
                      <c:pt idx="13">
                        <c:v>105000</c:v>
                      </c:pt>
                      <c:pt idx="14">
                        <c:v>105000</c:v>
                      </c:pt>
                      <c:pt idx="15">
                        <c:v>105000</c:v>
                      </c:pt>
                      <c:pt idx="16">
                        <c:v>105000</c:v>
                      </c:pt>
                      <c:pt idx="17">
                        <c:v>105000</c:v>
                      </c:pt>
                    </c:numCache>
                  </c:numRef>
                </c:val>
                <c:smooth val="0"/>
                <c:extLst xmlns:c15="http://schemas.microsoft.com/office/drawing/2012/chart">
                  <c:ext xmlns:c16="http://schemas.microsoft.com/office/drawing/2014/chart" uri="{C3380CC4-5D6E-409C-BE32-E72D297353CC}">
                    <c16:uniqueId val="{00000005-8A76-43C3-B274-9CC7CA9C7ECF}"/>
                  </c:ext>
                </c:extLst>
              </c15:ser>
            </c15:filteredLineSeries>
            <c15:filteredLineSeries>
              <c15:ser>
                <c:idx val="4"/>
                <c:order val="4"/>
                <c:tx>
                  <c:strRef>
                    <c:extLst xmlns:c15="http://schemas.microsoft.com/office/drawing/2012/chart">
                      <c:ext xmlns:c15="http://schemas.microsoft.com/office/drawing/2012/chart" uri="{02D57815-91ED-43cb-92C2-25804820EDAC}">
                        <c15:formulaRef>
                          <c15:sqref>'6. Summary Tracking Sheet'!$BD$3</c15:sqref>
                        </c15:formulaRef>
                      </c:ext>
                    </c:extLst>
                    <c:strCache>
                      <c:ptCount val="1"/>
                      <c:pt idx="0">
                        <c:v>ReadyForPower_BL(SUM)</c:v>
                      </c:pt>
                    </c:strCache>
                  </c:strRef>
                </c:tx>
                <c:spPr>
                  <a:ln w="22225" cap="rnd">
                    <a:solidFill>
                      <a:schemeClr val="accent5"/>
                    </a:solidFill>
                    <a:round/>
                  </a:ln>
                  <a:effectLst/>
                </c:spPr>
                <c:marker>
                  <c:symbol val="none"/>
                </c:marker>
                <c:val>
                  <c:numRef>
                    <c:extLst>
                      <c:ext xmlns:c15="http://schemas.microsoft.com/office/drawing/2012/chart" uri="{02D57815-91ED-43cb-92C2-25804820EDAC}">
                        <c15:fullRef>
                          <c15:sqref>'6. Summary Tracking Sheet'!$BF$4:$BF$44</c15:sqref>
                        </c15:fullRef>
                        <c15:formulaRef>
                          <c15:sqref>'6. Summary Tracking Sheet'!$BF$23:$BF$40</c15:sqref>
                        </c15:formulaRef>
                      </c:ext>
                    </c:extLst>
                    <c:numCache>
                      <c:formatCode>0;\-0;\-;@</c:formatCode>
                      <c:ptCount val="18"/>
                      <c:pt idx="0">
                        <c:v>0</c:v>
                      </c:pt>
                      <c:pt idx="1">
                        <c:v>0</c:v>
                      </c:pt>
                      <c:pt idx="2">
                        <c:v>0</c:v>
                      </c:pt>
                      <c:pt idx="3">
                        <c:v>0</c:v>
                      </c:pt>
                      <c:pt idx="4">
                        <c:v>0</c:v>
                      </c:pt>
                      <c:pt idx="5">
                        <c:v>1</c:v>
                      </c:pt>
                      <c:pt idx="6">
                        <c:v>6</c:v>
                      </c:pt>
                      <c:pt idx="7">
                        <c:v>10</c:v>
                      </c:pt>
                      <c:pt idx="8">
                        <c:v>22</c:v>
                      </c:pt>
                      <c:pt idx="9">
                        <c:v>35</c:v>
                      </c:pt>
                      <c:pt idx="10">
                        <c:v>52</c:v>
                      </c:pt>
                      <c:pt idx="11">
                        <c:v>67</c:v>
                      </c:pt>
                      <c:pt idx="12">
                        <c:v>70</c:v>
                      </c:pt>
                      <c:pt idx="13">
                        <c:v>70</c:v>
                      </c:pt>
                      <c:pt idx="14">
                        <c:v>70</c:v>
                      </c:pt>
                      <c:pt idx="15">
                        <c:v>70</c:v>
                      </c:pt>
                      <c:pt idx="16">
                        <c:v>70</c:v>
                      </c:pt>
                      <c:pt idx="17">
                        <c:v>70</c:v>
                      </c:pt>
                    </c:numCache>
                  </c:numRef>
                </c:val>
                <c:smooth val="0"/>
                <c:extLst xmlns:c15="http://schemas.microsoft.com/office/drawing/2012/chart">
                  <c:ext xmlns:c16="http://schemas.microsoft.com/office/drawing/2014/chart" uri="{C3380CC4-5D6E-409C-BE32-E72D297353CC}">
                    <c16:uniqueId val="{00000006-8A76-43C3-B274-9CC7CA9C7ECF}"/>
                  </c:ext>
                </c:extLst>
              </c15:ser>
            </c15:filteredLineSeries>
            <c15:filteredLineSeries>
              <c15:ser>
                <c:idx val="5"/>
                <c:order val="5"/>
                <c:tx>
                  <c:strRef>
                    <c:extLst xmlns:c15="http://schemas.microsoft.com/office/drawing/2012/chart">
                      <c:ext xmlns:c15="http://schemas.microsoft.com/office/drawing/2012/chart" uri="{02D57815-91ED-43cb-92C2-25804820EDAC}">
                        <c15:formulaRef>
                          <c15:sqref>'6. Summary Tracking Sheet'!$BF$3</c15:sqref>
                        </c15:formulaRef>
                      </c:ext>
                    </c:extLst>
                    <c:strCache>
                      <c:ptCount val="1"/>
                      <c:pt idx="0">
                        <c:v>ReadyForPower_AC(SUM)</c:v>
                      </c:pt>
                    </c:strCache>
                  </c:strRef>
                </c:tx>
                <c:spPr>
                  <a:ln w="22225" cap="rnd">
                    <a:solidFill>
                      <a:schemeClr val="accent6"/>
                    </a:solidFill>
                    <a:round/>
                  </a:ln>
                  <a:effectLst/>
                </c:spPr>
                <c:marker>
                  <c:symbol val="none"/>
                </c:marker>
                <c:val>
                  <c:numRef>
                    <c:extLst>
                      <c:ext xmlns:c15="http://schemas.microsoft.com/office/drawing/2012/chart" uri="{02D57815-91ED-43cb-92C2-25804820EDAC}">
                        <c15:fullRef>
                          <c15:sqref>'6. Summary Tracking Sheet'!$BH$4:$BH$44</c15:sqref>
                        </c15:fullRef>
                        <c15:formulaRef>
                          <c15:sqref>'6. Summary Tracking Sheet'!$BH$23:$BH$40</c15:sqref>
                        </c15:formulaRef>
                      </c:ext>
                    </c:extLst>
                    <c:numCache>
                      <c:formatCode>0;\-0;\-;@</c:formatCode>
                      <c:ptCount val="18"/>
                      <c:pt idx="0">
                        <c:v>0</c:v>
                      </c:pt>
                      <c:pt idx="1">
                        <c:v>0</c:v>
                      </c:pt>
                      <c:pt idx="2">
                        <c:v>0</c:v>
                      </c:pt>
                      <c:pt idx="3">
                        <c:v>0</c:v>
                      </c:pt>
                      <c:pt idx="4">
                        <c:v>0</c:v>
                      </c:pt>
                      <c:pt idx="5">
                        <c:v>0</c:v>
                      </c:pt>
                      <c:pt idx="6">
                        <c:v>500</c:v>
                      </c:pt>
                      <c:pt idx="7">
                        <c:v>2000</c:v>
                      </c:pt>
                      <c:pt idx="8">
                        <c:v>7500</c:v>
                      </c:pt>
                      <c:pt idx="9">
                        <c:v>12500</c:v>
                      </c:pt>
                      <c:pt idx="10">
                        <c:v>19000</c:v>
                      </c:pt>
                      <c:pt idx="11">
                        <c:v>27000</c:v>
                      </c:pt>
                      <c:pt idx="12">
                        <c:v>29500</c:v>
                      </c:pt>
                      <c:pt idx="13">
                        <c:v>30000</c:v>
                      </c:pt>
                      <c:pt idx="14">
                        <c:v>30000</c:v>
                      </c:pt>
                      <c:pt idx="15">
                        <c:v>30000</c:v>
                      </c:pt>
                      <c:pt idx="16">
                        <c:v>30000</c:v>
                      </c:pt>
                      <c:pt idx="17">
                        <c:v>30000</c:v>
                      </c:pt>
                    </c:numCache>
                  </c:numRef>
                </c:val>
                <c:smooth val="0"/>
                <c:extLst xmlns:c15="http://schemas.microsoft.com/office/drawing/2012/chart">
                  <c:ext xmlns:c16="http://schemas.microsoft.com/office/drawing/2014/chart" uri="{C3380CC4-5D6E-409C-BE32-E72D297353CC}">
                    <c16:uniqueId val="{00000007-8A76-43C3-B274-9CC7CA9C7ECF}"/>
                  </c:ext>
                </c:extLst>
              </c15:ser>
            </c15:filteredLineSeries>
            <c15:filteredLineSeries>
              <c15:ser>
                <c:idx val="6"/>
                <c:order val="6"/>
                <c:tx>
                  <c:strRef>
                    <c:extLst xmlns:c15="http://schemas.microsoft.com/office/drawing/2012/chart">
                      <c:ext xmlns:c15="http://schemas.microsoft.com/office/drawing/2012/chart" uri="{02D57815-91ED-43cb-92C2-25804820EDAC}">
                        <c15:formulaRef>
                          <c15:sqref>'6. Summary Tracking Sheet'!$BN$3</c15:sqref>
                        </c15:formulaRef>
                      </c:ext>
                    </c:extLst>
                    <c:strCache>
                      <c:ptCount val="1"/>
                      <c:pt idx="0">
                        <c:v>TXReady_BL(SUM)</c:v>
                      </c:pt>
                    </c:strCache>
                  </c:strRef>
                </c:tx>
                <c:spPr>
                  <a:ln w="22225" cap="rnd">
                    <a:solidFill>
                      <a:schemeClr val="accent1">
                        <a:lumMod val="60000"/>
                      </a:schemeClr>
                    </a:solidFill>
                    <a:round/>
                  </a:ln>
                  <a:effectLst/>
                </c:spPr>
                <c:marker>
                  <c:symbol val="none"/>
                </c:marker>
                <c:val>
                  <c:numRef>
                    <c:extLst>
                      <c:ext xmlns:c15="http://schemas.microsoft.com/office/drawing/2012/chart" uri="{02D57815-91ED-43cb-92C2-25804820EDAC}">
                        <c15:fullRef>
                          <c15:sqref>'6. Summary Tracking Sheet'!$BP$4:$BP$44</c15:sqref>
                        </c15:fullRef>
                        <c15:formulaRef>
                          <c15:sqref>'6. Summary Tracking Sheet'!$BP$23:$BP$40</c15:sqref>
                        </c15:formulaRef>
                      </c:ext>
                    </c:extLst>
                    <c:numCache>
                      <c:formatCode>0;\-0;\-;@</c:formatCode>
                      <c:ptCount val="18"/>
                      <c:pt idx="0">
                        <c:v>0</c:v>
                      </c:pt>
                      <c:pt idx="1">
                        <c:v>0</c:v>
                      </c:pt>
                      <c:pt idx="2">
                        <c:v>0</c:v>
                      </c:pt>
                      <c:pt idx="3">
                        <c:v>0</c:v>
                      </c:pt>
                      <c:pt idx="4">
                        <c:v>0</c:v>
                      </c:pt>
                      <c:pt idx="5">
                        <c:v>0</c:v>
                      </c:pt>
                      <c:pt idx="6">
                        <c:v>1</c:v>
                      </c:pt>
                      <c:pt idx="7">
                        <c:v>4</c:v>
                      </c:pt>
                      <c:pt idx="8">
                        <c:v>15</c:v>
                      </c:pt>
                      <c:pt idx="9">
                        <c:v>25</c:v>
                      </c:pt>
                      <c:pt idx="10">
                        <c:v>38</c:v>
                      </c:pt>
                      <c:pt idx="11">
                        <c:v>54</c:v>
                      </c:pt>
                      <c:pt idx="12">
                        <c:v>59</c:v>
                      </c:pt>
                      <c:pt idx="13">
                        <c:v>60</c:v>
                      </c:pt>
                      <c:pt idx="14">
                        <c:v>60</c:v>
                      </c:pt>
                      <c:pt idx="15">
                        <c:v>60</c:v>
                      </c:pt>
                      <c:pt idx="16">
                        <c:v>60</c:v>
                      </c:pt>
                      <c:pt idx="17">
                        <c:v>60</c:v>
                      </c:pt>
                    </c:numCache>
                  </c:numRef>
                </c:val>
                <c:smooth val="0"/>
                <c:extLst xmlns:c15="http://schemas.microsoft.com/office/drawing/2012/chart">
                  <c:ext xmlns:c16="http://schemas.microsoft.com/office/drawing/2014/chart" uri="{C3380CC4-5D6E-409C-BE32-E72D297353CC}">
                    <c16:uniqueId val="{00000008-8A76-43C3-B274-9CC7CA9C7ECF}"/>
                  </c:ext>
                </c:extLst>
              </c15:ser>
            </c15:filteredLineSeries>
            <c15:filteredLineSeries>
              <c15:ser>
                <c:idx val="7"/>
                <c:order val="7"/>
                <c:tx>
                  <c:strRef>
                    <c:extLst xmlns:c15="http://schemas.microsoft.com/office/drawing/2012/chart">
                      <c:ext xmlns:c15="http://schemas.microsoft.com/office/drawing/2012/chart" uri="{02D57815-91ED-43cb-92C2-25804820EDAC}">
                        <c15:formulaRef>
                          <c15:sqref>'6. Summary Tracking Sheet'!$BP$3</c15:sqref>
                        </c15:formulaRef>
                      </c:ext>
                    </c:extLst>
                    <c:strCache>
                      <c:ptCount val="1"/>
                      <c:pt idx="0">
                        <c:v>TXReady_AC(SUM)</c:v>
                      </c:pt>
                    </c:strCache>
                  </c:strRef>
                </c:tx>
                <c:spPr>
                  <a:ln w="22225" cap="rnd">
                    <a:solidFill>
                      <a:schemeClr val="accent2">
                        <a:lumMod val="60000"/>
                      </a:schemeClr>
                    </a:solidFill>
                    <a:round/>
                  </a:ln>
                  <a:effectLst/>
                </c:spPr>
                <c:marker>
                  <c:symbol val="none"/>
                </c:marker>
                <c:val>
                  <c:numRef>
                    <c:extLst>
                      <c:ext xmlns:c15="http://schemas.microsoft.com/office/drawing/2012/chart" uri="{02D57815-91ED-43cb-92C2-25804820EDAC}">
                        <c15:fullRef>
                          <c15:sqref>'6. Summary Tracking Sheet'!$BR$4:$BR$44</c15:sqref>
                        </c15:fullRef>
                        <c15:formulaRef>
                          <c15:sqref>'6. Summary Tracking Sheet'!$BR$23:$BR$40</c15:sqref>
                        </c15:formulaRef>
                      </c:ext>
                    </c:extLst>
                    <c:numCache>
                      <c:formatCode>0;\-0;\-;@</c:formatCode>
                      <c:ptCount val="18"/>
                      <c:pt idx="0">
                        <c:v>0</c:v>
                      </c:pt>
                      <c:pt idx="1">
                        <c:v>0</c:v>
                      </c:pt>
                      <c:pt idx="2">
                        <c:v>0</c:v>
                      </c:pt>
                      <c:pt idx="3">
                        <c:v>0</c:v>
                      </c:pt>
                      <c:pt idx="4">
                        <c:v>0</c:v>
                      </c:pt>
                      <c:pt idx="5">
                        <c:v>0</c:v>
                      </c:pt>
                      <c:pt idx="6">
                        <c:v>0</c:v>
                      </c:pt>
                      <c:pt idx="7">
                        <c:v>500</c:v>
                      </c:pt>
                      <c:pt idx="8">
                        <c:v>2500</c:v>
                      </c:pt>
                      <c:pt idx="9">
                        <c:v>6000</c:v>
                      </c:pt>
                      <c:pt idx="10">
                        <c:v>12000</c:v>
                      </c:pt>
                      <c:pt idx="11">
                        <c:v>19000</c:v>
                      </c:pt>
                      <c:pt idx="12">
                        <c:v>24500</c:v>
                      </c:pt>
                      <c:pt idx="13">
                        <c:v>25500</c:v>
                      </c:pt>
                      <c:pt idx="14">
                        <c:v>25500</c:v>
                      </c:pt>
                      <c:pt idx="15">
                        <c:v>25500</c:v>
                      </c:pt>
                      <c:pt idx="16">
                        <c:v>25500</c:v>
                      </c:pt>
                      <c:pt idx="17">
                        <c:v>25500</c:v>
                      </c:pt>
                    </c:numCache>
                  </c:numRef>
                </c:val>
                <c:smooth val="0"/>
                <c:extLst xmlns:c15="http://schemas.microsoft.com/office/drawing/2012/chart">
                  <c:ext xmlns:c16="http://schemas.microsoft.com/office/drawing/2014/chart" uri="{C3380CC4-5D6E-409C-BE32-E72D297353CC}">
                    <c16:uniqueId val="{00000009-8A76-43C3-B274-9CC7CA9C7ECF}"/>
                  </c:ext>
                </c:extLst>
              </c15:ser>
            </c15:filteredLineSeries>
            <c15:filteredLineSeries>
              <c15:ser>
                <c:idx val="8"/>
                <c:order val="8"/>
                <c:tx>
                  <c:strRef>
                    <c:extLst xmlns:c15="http://schemas.microsoft.com/office/drawing/2012/chart">
                      <c:ext xmlns:c15="http://schemas.microsoft.com/office/drawing/2012/chart" uri="{02D57815-91ED-43cb-92C2-25804820EDAC}">
                        <c15:formulaRef>
                          <c15:sqref>'6. Summary Tracking Sheet'!$BX$3</c15:sqref>
                        </c15:formulaRef>
                      </c:ext>
                    </c:extLst>
                    <c:strCache>
                      <c:ptCount val="1"/>
                      <c:pt idx="0">
                        <c:v>ReadyForInstallation_BL(SUM)</c:v>
                      </c:pt>
                    </c:strCache>
                  </c:strRef>
                </c:tx>
                <c:spPr>
                  <a:ln w="22225" cap="rnd">
                    <a:solidFill>
                      <a:schemeClr val="accent3">
                        <a:lumMod val="60000"/>
                      </a:schemeClr>
                    </a:solidFill>
                    <a:round/>
                  </a:ln>
                  <a:effectLst/>
                </c:spPr>
                <c:marker>
                  <c:symbol val="none"/>
                </c:marker>
                <c:val>
                  <c:numRef>
                    <c:extLst>
                      <c:ext xmlns:c15="http://schemas.microsoft.com/office/drawing/2012/chart" uri="{02D57815-91ED-43cb-92C2-25804820EDAC}">
                        <c15:fullRef>
                          <c15:sqref>'6. Summary Tracking Sheet'!$BZ$4:$BZ$44</c15:sqref>
                        </c15:fullRef>
                        <c15:formulaRef>
                          <c15:sqref>'6. Summary Tracking Sheet'!$BZ$23:$BZ$40</c15:sqref>
                        </c15:formulaRef>
                      </c:ext>
                    </c:extLst>
                    <c:numCache>
                      <c:formatCode>0;\-0;\-;@</c:formatCode>
                      <c:ptCount val="18"/>
                      <c:pt idx="0">
                        <c:v>0</c:v>
                      </c:pt>
                      <c:pt idx="1">
                        <c:v>0</c:v>
                      </c:pt>
                      <c:pt idx="2">
                        <c:v>0</c:v>
                      </c:pt>
                      <c:pt idx="3">
                        <c:v>0</c:v>
                      </c:pt>
                      <c:pt idx="4">
                        <c:v>0</c:v>
                      </c:pt>
                      <c:pt idx="5">
                        <c:v>0</c:v>
                      </c:pt>
                      <c:pt idx="6">
                        <c:v>0</c:v>
                      </c:pt>
                      <c:pt idx="7">
                        <c:v>1</c:v>
                      </c:pt>
                      <c:pt idx="8">
                        <c:v>5</c:v>
                      </c:pt>
                      <c:pt idx="9">
                        <c:v>12</c:v>
                      </c:pt>
                      <c:pt idx="10">
                        <c:v>24</c:v>
                      </c:pt>
                      <c:pt idx="11">
                        <c:v>38</c:v>
                      </c:pt>
                      <c:pt idx="12">
                        <c:v>49</c:v>
                      </c:pt>
                      <c:pt idx="13">
                        <c:v>51</c:v>
                      </c:pt>
                      <c:pt idx="14">
                        <c:v>51</c:v>
                      </c:pt>
                      <c:pt idx="15">
                        <c:v>51</c:v>
                      </c:pt>
                      <c:pt idx="16">
                        <c:v>51</c:v>
                      </c:pt>
                      <c:pt idx="17">
                        <c:v>51</c:v>
                      </c:pt>
                    </c:numCache>
                  </c:numRef>
                </c:val>
                <c:smooth val="0"/>
                <c:extLst xmlns:c15="http://schemas.microsoft.com/office/drawing/2012/chart">
                  <c:ext xmlns:c16="http://schemas.microsoft.com/office/drawing/2014/chart" uri="{C3380CC4-5D6E-409C-BE32-E72D297353CC}">
                    <c16:uniqueId val="{0000000A-8A76-43C3-B274-9CC7CA9C7ECF}"/>
                  </c:ext>
                </c:extLst>
              </c15:ser>
            </c15:filteredLineSeries>
            <c15:filteredLineSeries>
              <c15:ser>
                <c:idx val="9"/>
                <c:order val="9"/>
                <c:tx>
                  <c:strRef>
                    <c:extLst xmlns:c15="http://schemas.microsoft.com/office/drawing/2012/chart">
                      <c:ext xmlns:c15="http://schemas.microsoft.com/office/drawing/2012/chart" uri="{02D57815-91ED-43cb-92C2-25804820EDAC}">
                        <c15:formulaRef>
                          <c15:sqref>'6. Summary Tracking Sheet'!$BZ$3</c15:sqref>
                        </c15:formulaRef>
                      </c:ext>
                    </c:extLst>
                    <c:strCache>
                      <c:ptCount val="1"/>
                      <c:pt idx="0">
                        <c:v>ReadyForInstallation_AC(SUM)</c:v>
                      </c:pt>
                    </c:strCache>
                  </c:strRef>
                </c:tx>
                <c:spPr>
                  <a:ln w="22225" cap="rnd">
                    <a:solidFill>
                      <a:schemeClr val="accent4">
                        <a:lumMod val="60000"/>
                      </a:schemeClr>
                    </a:solidFill>
                    <a:round/>
                  </a:ln>
                  <a:effectLst/>
                </c:spPr>
                <c:marker>
                  <c:symbol val="none"/>
                </c:marker>
                <c:val>
                  <c:numRef>
                    <c:extLst>
                      <c:ext xmlns:c15="http://schemas.microsoft.com/office/drawing/2012/chart" uri="{02D57815-91ED-43cb-92C2-25804820EDAC}">
                        <c15:fullRef>
                          <c15:sqref>'6. Summary Tracking Sheet'!$CB$4:$CB$44</c15:sqref>
                        </c15:fullRef>
                        <c15:formulaRef>
                          <c15:sqref>'6. Summary Tracking Sheet'!$CB$23:$CB$40</c15:sqref>
                        </c15:formulaRef>
                      </c:ext>
                    </c:extLst>
                    <c:numCache>
                      <c:formatCode>0;\-0;\-;@</c:formatCode>
                      <c:ptCount val="18"/>
                      <c:pt idx="0">
                        <c:v>0</c:v>
                      </c:pt>
                      <c:pt idx="1">
                        <c:v>0</c:v>
                      </c:pt>
                      <c:pt idx="2">
                        <c:v>0</c:v>
                      </c:pt>
                      <c:pt idx="3">
                        <c:v>0</c:v>
                      </c:pt>
                      <c:pt idx="4">
                        <c:v>0</c:v>
                      </c:pt>
                      <c:pt idx="5">
                        <c:v>0</c:v>
                      </c:pt>
                      <c:pt idx="6">
                        <c:v>0</c:v>
                      </c:pt>
                      <c:pt idx="7">
                        <c:v>0</c:v>
                      </c:pt>
                      <c:pt idx="8">
                        <c:v>5000</c:v>
                      </c:pt>
                      <c:pt idx="9">
                        <c:v>17500</c:v>
                      </c:pt>
                      <c:pt idx="10">
                        <c:v>40000</c:v>
                      </c:pt>
                      <c:pt idx="11">
                        <c:v>70000</c:v>
                      </c:pt>
                      <c:pt idx="12">
                        <c:v>95000</c:v>
                      </c:pt>
                      <c:pt idx="13">
                        <c:v>100000</c:v>
                      </c:pt>
                      <c:pt idx="14">
                        <c:v>100000</c:v>
                      </c:pt>
                      <c:pt idx="15">
                        <c:v>100000</c:v>
                      </c:pt>
                      <c:pt idx="16">
                        <c:v>100000</c:v>
                      </c:pt>
                      <c:pt idx="17">
                        <c:v>100000</c:v>
                      </c:pt>
                    </c:numCache>
                  </c:numRef>
                </c:val>
                <c:smooth val="0"/>
                <c:extLst xmlns:c15="http://schemas.microsoft.com/office/drawing/2012/chart">
                  <c:ext xmlns:c16="http://schemas.microsoft.com/office/drawing/2014/chart" uri="{C3380CC4-5D6E-409C-BE32-E72D297353CC}">
                    <c16:uniqueId val="{0000000B-8A76-43C3-B274-9CC7CA9C7ECF}"/>
                  </c:ext>
                </c:extLst>
              </c15:ser>
            </c15:filteredLineSeries>
            <c15:filteredLineSeries>
              <c15:ser>
                <c:idx val="10"/>
                <c:order val="10"/>
                <c:tx>
                  <c:strRef>
                    <c:extLst xmlns:c15="http://schemas.microsoft.com/office/drawing/2012/chart">
                      <c:ext xmlns:c15="http://schemas.microsoft.com/office/drawing/2012/chart" uri="{02D57815-91ED-43cb-92C2-25804820EDAC}">
                        <c15:formulaRef>
                          <c15:sqref>'6. Summary Tracking Sheet'!$CH$3</c15:sqref>
                        </c15:formulaRef>
                      </c:ext>
                    </c:extLst>
                    <c:strCache>
                      <c:ptCount val="1"/>
                      <c:pt idx="0">
                        <c:v>ReadyForIntegration_BL(SUM)</c:v>
                      </c:pt>
                    </c:strCache>
                  </c:strRef>
                </c:tx>
                <c:spPr>
                  <a:ln w="22225" cap="rnd">
                    <a:solidFill>
                      <a:schemeClr val="accent5">
                        <a:lumMod val="60000"/>
                      </a:schemeClr>
                    </a:solidFill>
                    <a:round/>
                  </a:ln>
                  <a:effectLst/>
                </c:spPr>
                <c:marker>
                  <c:symbol val="none"/>
                </c:marker>
                <c:val>
                  <c:numRef>
                    <c:extLst>
                      <c:ext xmlns:c15="http://schemas.microsoft.com/office/drawing/2012/chart" uri="{02D57815-91ED-43cb-92C2-25804820EDAC}">
                        <c15:fullRef>
                          <c15:sqref>'6. Summary Tracking Sheet'!$CJ$4:$CJ$44</c15:sqref>
                        </c15:fullRef>
                        <c15:formulaRef>
                          <c15:sqref>'6. Summary Tracking Sheet'!$CJ$23:$CJ$40</c15:sqref>
                        </c15:formulaRef>
                      </c:ext>
                    </c:extLst>
                    <c:numCache>
                      <c:formatCode>0;\-0;\-;@</c:formatCode>
                      <c:ptCount val="18"/>
                      <c:pt idx="0">
                        <c:v>0</c:v>
                      </c:pt>
                      <c:pt idx="1">
                        <c:v>0</c:v>
                      </c:pt>
                      <c:pt idx="2">
                        <c:v>0</c:v>
                      </c:pt>
                      <c:pt idx="3">
                        <c:v>0</c:v>
                      </c:pt>
                      <c:pt idx="4">
                        <c:v>0</c:v>
                      </c:pt>
                      <c:pt idx="5">
                        <c:v>0</c:v>
                      </c:pt>
                      <c:pt idx="6">
                        <c:v>0</c:v>
                      </c:pt>
                      <c:pt idx="7">
                        <c:v>0</c:v>
                      </c:pt>
                      <c:pt idx="8">
                        <c:v>2</c:v>
                      </c:pt>
                      <c:pt idx="9">
                        <c:v>7</c:v>
                      </c:pt>
                      <c:pt idx="10">
                        <c:v>16</c:v>
                      </c:pt>
                      <c:pt idx="11">
                        <c:v>28</c:v>
                      </c:pt>
                      <c:pt idx="12">
                        <c:v>38</c:v>
                      </c:pt>
                      <c:pt idx="13">
                        <c:v>40</c:v>
                      </c:pt>
                      <c:pt idx="14">
                        <c:v>40</c:v>
                      </c:pt>
                      <c:pt idx="15">
                        <c:v>40</c:v>
                      </c:pt>
                      <c:pt idx="16">
                        <c:v>40</c:v>
                      </c:pt>
                      <c:pt idx="17">
                        <c:v>40</c:v>
                      </c:pt>
                    </c:numCache>
                  </c:numRef>
                </c:val>
                <c:smooth val="0"/>
                <c:extLst xmlns:c15="http://schemas.microsoft.com/office/drawing/2012/chart">
                  <c:ext xmlns:c16="http://schemas.microsoft.com/office/drawing/2014/chart" uri="{C3380CC4-5D6E-409C-BE32-E72D297353CC}">
                    <c16:uniqueId val="{0000000C-8A76-43C3-B274-9CC7CA9C7ECF}"/>
                  </c:ext>
                </c:extLst>
              </c15:ser>
            </c15:filteredLineSeries>
            <c15:filteredLineSeries>
              <c15:ser>
                <c:idx val="11"/>
                <c:order val="11"/>
                <c:tx>
                  <c:strRef>
                    <c:extLst xmlns:c15="http://schemas.microsoft.com/office/drawing/2012/chart">
                      <c:ext xmlns:c15="http://schemas.microsoft.com/office/drawing/2012/chart" uri="{02D57815-91ED-43cb-92C2-25804820EDAC}">
                        <c15:formulaRef>
                          <c15:sqref>'6. Summary Tracking Sheet'!$CJ$3</c15:sqref>
                        </c15:formulaRef>
                      </c:ext>
                    </c:extLst>
                    <c:strCache>
                      <c:ptCount val="1"/>
                      <c:pt idx="0">
                        <c:v>ReadyForIntegration_AC(SUM)</c:v>
                      </c:pt>
                    </c:strCache>
                  </c:strRef>
                </c:tx>
                <c:spPr>
                  <a:ln w="22225" cap="rnd">
                    <a:solidFill>
                      <a:schemeClr val="accent6">
                        <a:lumMod val="60000"/>
                      </a:schemeClr>
                    </a:solidFill>
                    <a:round/>
                  </a:ln>
                  <a:effectLst/>
                </c:spPr>
                <c:marker>
                  <c:symbol val="none"/>
                </c:marker>
                <c:val>
                  <c:numRef>
                    <c:extLst>
                      <c:ext xmlns:c15="http://schemas.microsoft.com/office/drawing/2012/chart" uri="{02D57815-91ED-43cb-92C2-25804820EDAC}">
                        <c15:fullRef>
                          <c15:sqref>'6. Summary Tracking Sheet'!$CL$4:$CL$44</c15:sqref>
                        </c15:fullRef>
                        <c15:formulaRef>
                          <c15:sqref>'6. Summary Tracking Sheet'!$CL$23:$CL$40</c15:sqref>
                        </c15:formulaRef>
                      </c:ext>
                    </c:extLst>
                    <c:numCache>
                      <c:formatCode>0;\-0;\-;@</c:formatCode>
                      <c:ptCount val="18"/>
                      <c:pt idx="0">
                        <c:v>0</c:v>
                      </c:pt>
                      <c:pt idx="1">
                        <c:v>0</c:v>
                      </c:pt>
                      <c:pt idx="2">
                        <c:v>0</c:v>
                      </c:pt>
                      <c:pt idx="3">
                        <c:v>0</c:v>
                      </c:pt>
                      <c:pt idx="4">
                        <c:v>0</c:v>
                      </c:pt>
                      <c:pt idx="5">
                        <c:v>0</c:v>
                      </c:pt>
                      <c:pt idx="6">
                        <c:v>0</c:v>
                      </c:pt>
                      <c:pt idx="7">
                        <c:v>0</c:v>
                      </c:pt>
                      <c:pt idx="8">
                        <c:v>500</c:v>
                      </c:pt>
                      <c:pt idx="9">
                        <c:v>3000</c:v>
                      </c:pt>
                      <c:pt idx="10">
                        <c:v>5000</c:v>
                      </c:pt>
                      <c:pt idx="11">
                        <c:v>10500</c:v>
                      </c:pt>
                      <c:pt idx="12">
                        <c:v>14000</c:v>
                      </c:pt>
                      <c:pt idx="13">
                        <c:v>15000</c:v>
                      </c:pt>
                      <c:pt idx="14">
                        <c:v>15000</c:v>
                      </c:pt>
                      <c:pt idx="15">
                        <c:v>15000</c:v>
                      </c:pt>
                      <c:pt idx="16">
                        <c:v>15000</c:v>
                      </c:pt>
                      <c:pt idx="17">
                        <c:v>15000</c:v>
                      </c:pt>
                    </c:numCache>
                  </c:numRef>
                </c:val>
                <c:smooth val="0"/>
                <c:extLst xmlns:c15="http://schemas.microsoft.com/office/drawing/2012/chart">
                  <c:ext xmlns:c16="http://schemas.microsoft.com/office/drawing/2014/chart" uri="{C3380CC4-5D6E-409C-BE32-E72D297353CC}">
                    <c16:uniqueId val="{0000000D-8A76-43C3-B274-9CC7CA9C7ECF}"/>
                  </c:ext>
                </c:extLst>
              </c15:ser>
            </c15:filteredLineSeries>
            <c15:filteredLineSeries>
              <c15:ser>
                <c:idx val="12"/>
                <c:order val="12"/>
                <c:tx>
                  <c:strRef>
                    <c:extLst xmlns:c15="http://schemas.microsoft.com/office/drawing/2012/chart">
                      <c:ext xmlns:c15="http://schemas.microsoft.com/office/drawing/2012/chart" uri="{02D57815-91ED-43cb-92C2-25804820EDAC}">
                        <c15:formulaRef>
                          <c15:sqref>'6. Summary Tracking Sheet'!$CR$3</c15:sqref>
                        </c15:formulaRef>
                      </c:ext>
                    </c:extLst>
                    <c:strCache>
                      <c:ptCount val="1"/>
                      <c:pt idx="0">
                        <c:v>SiteOnAir_BL(SUM)</c:v>
                      </c:pt>
                    </c:strCache>
                  </c:strRef>
                </c:tx>
                <c:spPr>
                  <a:ln w="22225" cap="rnd">
                    <a:solidFill>
                      <a:schemeClr val="accent1">
                        <a:lumMod val="80000"/>
                        <a:lumOff val="20000"/>
                      </a:schemeClr>
                    </a:solidFill>
                    <a:round/>
                  </a:ln>
                  <a:effectLst/>
                </c:spPr>
                <c:marker>
                  <c:symbol val="none"/>
                </c:marker>
                <c:val>
                  <c:numRef>
                    <c:extLst>
                      <c:ext xmlns:c15="http://schemas.microsoft.com/office/drawing/2012/chart" uri="{02D57815-91ED-43cb-92C2-25804820EDAC}">
                        <c15:fullRef>
                          <c15:sqref>'6. Summary Tracking Sheet'!$CT$4:$CT$44</c15:sqref>
                        </c15:fullRef>
                        <c15:formulaRef>
                          <c15:sqref>'6. Summary Tracking Sheet'!$CT$23:$CT$40</c15:sqref>
                        </c15:formulaRef>
                      </c:ext>
                    </c:extLst>
                    <c:numCache>
                      <c:formatCode>0;\-0;\-;@</c:formatCode>
                      <c:ptCount val="18"/>
                      <c:pt idx="0">
                        <c:v>0</c:v>
                      </c:pt>
                      <c:pt idx="1">
                        <c:v>0</c:v>
                      </c:pt>
                      <c:pt idx="2">
                        <c:v>0</c:v>
                      </c:pt>
                      <c:pt idx="3">
                        <c:v>0</c:v>
                      </c:pt>
                      <c:pt idx="4">
                        <c:v>0</c:v>
                      </c:pt>
                      <c:pt idx="5">
                        <c:v>0</c:v>
                      </c:pt>
                      <c:pt idx="6">
                        <c:v>0</c:v>
                      </c:pt>
                      <c:pt idx="7">
                        <c:v>0</c:v>
                      </c:pt>
                      <c:pt idx="8">
                        <c:v>1</c:v>
                      </c:pt>
                      <c:pt idx="9">
                        <c:v>6</c:v>
                      </c:pt>
                      <c:pt idx="10">
                        <c:v>10</c:v>
                      </c:pt>
                      <c:pt idx="11">
                        <c:v>21</c:v>
                      </c:pt>
                      <c:pt idx="12">
                        <c:v>28</c:v>
                      </c:pt>
                      <c:pt idx="13">
                        <c:v>30</c:v>
                      </c:pt>
                      <c:pt idx="14">
                        <c:v>30</c:v>
                      </c:pt>
                      <c:pt idx="15">
                        <c:v>30</c:v>
                      </c:pt>
                      <c:pt idx="16">
                        <c:v>30</c:v>
                      </c:pt>
                      <c:pt idx="17">
                        <c:v>30</c:v>
                      </c:pt>
                    </c:numCache>
                  </c:numRef>
                </c:val>
                <c:smooth val="0"/>
                <c:extLst xmlns:c15="http://schemas.microsoft.com/office/drawing/2012/chart">
                  <c:ext xmlns:c16="http://schemas.microsoft.com/office/drawing/2014/chart" uri="{C3380CC4-5D6E-409C-BE32-E72D297353CC}">
                    <c16:uniqueId val="{00000000-8A76-43C3-B274-9CC7CA9C7ECF}"/>
                  </c:ext>
                </c:extLst>
              </c15:ser>
            </c15:filteredLineSeries>
            <c15:filteredLineSeries>
              <c15:ser>
                <c:idx val="13"/>
                <c:order val="13"/>
                <c:tx>
                  <c:strRef>
                    <c:extLst xmlns:c15="http://schemas.microsoft.com/office/drawing/2012/chart">
                      <c:ext xmlns:c15="http://schemas.microsoft.com/office/drawing/2012/chart" uri="{02D57815-91ED-43cb-92C2-25804820EDAC}">
                        <c15:formulaRef>
                          <c15:sqref>'6. Summary Tracking Sheet'!$CT$3</c15:sqref>
                        </c15:formulaRef>
                      </c:ext>
                    </c:extLst>
                    <c:strCache>
                      <c:ptCount val="1"/>
                      <c:pt idx="0">
                        <c:v>SiteOnAir_AC(SUM)</c:v>
                      </c:pt>
                    </c:strCache>
                  </c:strRef>
                </c:tx>
                <c:spPr>
                  <a:ln w="22225" cap="rnd">
                    <a:solidFill>
                      <a:schemeClr val="accent2">
                        <a:lumMod val="80000"/>
                        <a:lumOff val="20000"/>
                      </a:schemeClr>
                    </a:solidFill>
                    <a:round/>
                  </a:ln>
                  <a:effectLst/>
                </c:spPr>
                <c:marker>
                  <c:symbol val="none"/>
                </c:marker>
                <c:val>
                  <c:numRef>
                    <c:extLst>
                      <c:ext xmlns:c15="http://schemas.microsoft.com/office/drawing/2012/chart" uri="{02D57815-91ED-43cb-92C2-25804820EDAC}">
                        <c15:fullRef>
                          <c15:sqref>'6. Summary Tracking Sheet'!$CV$4:$CV$44</c15:sqref>
                        </c15:fullRef>
                        <c15:formulaRef>
                          <c15:sqref>'6. Summary Tracking Sheet'!$CV$23:$CV$40</c15:sqref>
                        </c15:formulaRef>
                      </c:ext>
                    </c:extLst>
                    <c:numCache>
                      <c:formatCode>0;\-0;\-;@</c:formatCode>
                      <c:ptCount val="18"/>
                      <c:pt idx="0">
                        <c:v>0</c:v>
                      </c:pt>
                      <c:pt idx="1">
                        <c:v>0</c:v>
                      </c:pt>
                      <c:pt idx="2">
                        <c:v>0</c:v>
                      </c:pt>
                      <c:pt idx="3">
                        <c:v>0</c:v>
                      </c:pt>
                      <c:pt idx="4">
                        <c:v>0</c:v>
                      </c:pt>
                      <c:pt idx="5">
                        <c:v>0</c:v>
                      </c:pt>
                      <c:pt idx="6">
                        <c:v>0</c:v>
                      </c:pt>
                      <c:pt idx="7">
                        <c:v>0</c:v>
                      </c:pt>
                      <c:pt idx="8">
                        <c:v>0</c:v>
                      </c:pt>
                      <c:pt idx="9">
                        <c:v>500</c:v>
                      </c:pt>
                      <c:pt idx="10">
                        <c:v>1250</c:v>
                      </c:pt>
                      <c:pt idx="11">
                        <c:v>3750</c:v>
                      </c:pt>
                      <c:pt idx="12">
                        <c:v>4750</c:v>
                      </c:pt>
                      <c:pt idx="13">
                        <c:v>5000</c:v>
                      </c:pt>
                      <c:pt idx="14">
                        <c:v>5000</c:v>
                      </c:pt>
                      <c:pt idx="15">
                        <c:v>5000</c:v>
                      </c:pt>
                      <c:pt idx="16">
                        <c:v>5000</c:v>
                      </c:pt>
                      <c:pt idx="17">
                        <c:v>5000</c:v>
                      </c:pt>
                    </c:numCache>
                  </c:numRef>
                </c:val>
                <c:smooth val="0"/>
                <c:extLst xmlns:c15="http://schemas.microsoft.com/office/drawing/2012/chart">
                  <c:ext xmlns:c16="http://schemas.microsoft.com/office/drawing/2014/chart" uri="{C3380CC4-5D6E-409C-BE32-E72D297353CC}">
                    <c16:uniqueId val="{00000001-8A76-43C3-B274-9CC7CA9C7ECF}"/>
                  </c:ext>
                </c:extLst>
              </c15:ser>
            </c15:filteredLineSeries>
            <c15:filteredLineSeries>
              <c15:ser>
                <c:idx val="16"/>
                <c:order val="16"/>
                <c:tx>
                  <c:strRef>
                    <c:extLst xmlns:c15="http://schemas.microsoft.com/office/drawing/2012/chart">
                      <c:ext xmlns:c15="http://schemas.microsoft.com/office/drawing/2012/chart" uri="{02D57815-91ED-43cb-92C2-25804820EDAC}">
                        <c15:formulaRef>
                          <c15:sqref>'6. Summary Tracking Sheet'!$DL$3</c15:sqref>
                        </c15:formulaRef>
                      </c:ext>
                    </c:extLst>
                    <c:strCache>
                      <c:ptCount val="1"/>
                      <c:pt idx="0">
                        <c:v>SiteInOperations_BL(SUM)</c:v>
                      </c:pt>
                    </c:strCache>
                  </c:strRef>
                </c:tx>
                <c:spPr>
                  <a:ln w="22225" cap="rnd">
                    <a:solidFill>
                      <a:schemeClr val="accent5">
                        <a:lumMod val="80000"/>
                        <a:lumOff val="20000"/>
                      </a:schemeClr>
                    </a:solidFill>
                    <a:round/>
                  </a:ln>
                  <a:effectLst/>
                </c:spPr>
                <c:marker>
                  <c:symbol val="none"/>
                </c:marker>
                <c:val>
                  <c:numRef>
                    <c:extLst>
                      <c:ext xmlns:c15="http://schemas.microsoft.com/office/drawing/2012/chart" uri="{02D57815-91ED-43cb-92C2-25804820EDAC}">
                        <c15:fullRef>
                          <c15:sqref>'6. Summary Tracking Sheet'!$DN$4:$DN$44</c15:sqref>
                        </c15:fullRef>
                        <c15:formulaRef>
                          <c15:sqref>'6. Summary Tracking Sheet'!$DN$23:$DN$40</c15:sqref>
                        </c15:formulaRef>
                      </c:ext>
                    </c:extLst>
                    <c:numCache>
                      <c:formatCode>0;\-0;\-;@</c:formatCode>
                      <c:ptCount val="18"/>
                      <c:pt idx="0">
                        <c:v>0</c:v>
                      </c:pt>
                      <c:pt idx="1">
                        <c:v>0</c:v>
                      </c:pt>
                      <c:pt idx="2">
                        <c:v>0</c:v>
                      </c:pt>
                      <c:pt idx="3">
                        <c:v>0</c:v>
                      </c:pt>
                      <c:pt idx="4">
                        <c:v>0</c:v>
                      </c:pt>
                      <c:pt idx="5">
                        <c:v>0</c:v>
                      </c:pt>
                      <c:pt idx="6">
                        <c:v>0</c:v>
                      </c:pt>
                      <c:pt idx="7">
                        <c:v>0</c:v>
                      </c:pt>
                      <c:pt idx="8">
                        <c:v>0</c:v>
                      </c:pt>
                      <c:pt idx="9">
                        <c:v>0</c:v>
                      </c:pt>
                      <c:pt idx="10">
                        <c:v>1</c:v>
                      </c:pt>
                      <c:pt idx="11">
                        <c:v>3</c:v>
                      </c:pt>
                      <c:pt idx="12">
                        <c:v>7</c:v>
                      </c:pt>
                      <c:pt idx="13">
                        <c:v>9</c:v>
                      </c:pt>
                      <c:pt idx="14">
                        <c:v>10</c:v>
                      </c:pt>
                      <c:pt idx="15">
                        <c:v>10</c:v>
                      </c:pt>
                      <c:pt idx="16">
                        <c:v>10</c:v>
                      </c:pt>
                      <c:pt idx="17">
                        <c:v>10</c:v>
                      </c:pt>
                    </c:numCache>
                  </c:numRef>
                </c:val>
                <c:smooth val="0"/>
                <c:extLst xmlns:c15="http://schemas.microsoft.com/office/drawing/2012/chart">
                  <c:ext xmlns:c16="http://schemas.microsoft.com/office/drawing/2014/chart" uri="{C3380CC4-5D6E-409C-BE32-E72D297353CC}">
                    <c16:uniqueId val="{00000010-8A76-43C3-B274-9CC7CA9C7ECF}"/>
                  </c:ext>
                </c:extLst>
              </c15:ser>
            </c15:filteredLineSeries>
            <c15:filteredLineSeries>
              <c15:ser>
                <c:idx val="17"/>
                <c:order val="17"/>
                <c:tx>
                  <c:strRef>
                    <c:extLst xmlns:c15="http://schemas.microsoft.com/office/drawing/2012/chart">
                      <c:ext xmlns:c15="http://schemas.microsoft.com/office/drawing/2012/chart" uri="{02D57815-91ED-43cb-92C2-25804820EDAC}">
                        <c15:formulaRef>
                          <c15:sqref>'6. Summary Tracking Sheet'!$DN$3</c15:sqref>
                        </c15:formulaRef>
                      </c:ext>
                    </c:extLst>
                    <c:strCache>
                      <c:ptCount val="1"/>
                      <c:pt idx="0">
                        <c:v>SiteInOperations_AC(SUM)</c:v>
                      </c:pt>
                    </c:strCache>
                  </c:strRef>
                </c:tx>
                <c:spPr>
                  <a:ln w="22225" cap="rnd">
                    <a:solidFill>
                      <a:schemeClr val="accent6">
                        <a:lumMod val="80000"/>
                        <a:lumOff val="20000"/>
                      </a:schemeClr>
                    </a:solidFill>
                    <a:round/>
                  </a:ln>
                  <a:effectLst/>
                </c:spPr>
                <c:marker>
                  <c:symbol val="none"/>
                </c:marker>
                <c:val>
                  <c:numRef>
                    <c:extLst>
                      <c:ext xmlns:c15="http://schemas.microsoft.com/office/drawing/2012/chart" uri="{02D57815-91ED-43cb-92C2-25804820EDAC}">
                        <c15:fullRef>
                          <c15:sqref>'6. Summary Tracking Sheet'!$DP$4:$DP$44</c15:sqref>
                        </c15:fullRef>
                        <c15:formulaRef>
                          <c15:sqref>'6. Summary Tracking Sheet'!$DP$23:$DP$40</c15:sqref>
                        </c15:formulaRef>
                      </c:ext>
                    </c:extLst>
                    <c:numCache>
                      <c:formatCode>_(* #,##0_);_(* \(#,##0\);_(* "-"??_);_(@_)</c:formatCode>
                      <c:ptCount val="18"/>
                      <c:pt idx="0">
                        <c:v>0</c:v>
                      </c:pt>
                      <c:pt idx="1">
                        <c:v>0</c:v>
                      </c:pt>
                      <c:pt idx="2">
                        <c:v>1000</c:v>
                      </c:pt>
                      <c:pt idx="3">
                        <c:v>7000</c:v>
                      </c:pt>
                      <c:pt idx="4">
                        <c:v>20350</c:v>
                      </c:pt>
                      <c:pt idx="5">
                        <c:v>44150</c:v>
                      </c:pt>
                      <c:pt idx="6">
                        <c:v>73500</c:v>
                      </c:pt>
                      <c:pt idx="7">
                        <c:v>124200</c:v>
                      </c:pt>
                      <c:pt idx="8">
                        <c:v>190800</c:v>
                      </c:pt>
                      <c:pt idx="9">
                        <c:v>279500</c:v>
                      </c:pt>
                      <c:pt idx="10">
                        <c:v>387900</c:v>
                      </c:pt>
                      <c:pt idx="11">
                        <c:v>480700</c:v>
                      </c:pt>
                      <c:pt idx="12">
                        <c:v>602700</c:v>
                      </c:pt>
                      <c:pt idx="13">
                        <c:v>686850</c:v>
                      </c:pt>
                      <c:pt idx="14">
                        <c:v>742450</c:v>
                      </c:pt>
                      <c:pt idx="15">
                        <c:v>760150</c:v>
                      </c:pt>
                      <c:pt idx="16">
                        <c:v>767200</c:v>
                      </c:pt>
                      <c:pt idx="17">
                        <c:v>770000</c:v>
                      </c:pt>
                    </c:numCache>
                  </c:numRef>
                </c:val>
                <c:smooth val="0"/>
                <c:extLst xmlns:c15="http://schemas.microsoft.com/office/drawing/2012/chart">
                  <c:ext xmlns:c16="http://schemas.microsoft.com/office/drawing/2014/chart" uri="{C3380CC4-5D6E-409C-BE32-E72D297353CC}">
                    <c16:uniqueId val="{00000011-8A76-43C3-B274-9CC7CA9C7ECF}"/>
                  </c:ext>
                </c:extLst>
              </c15:ser>
            </c15:filteredLineSeries>
          </c:ext>
        </c:extLst>
      </c:lineChart>
      <c:catAx>
        <c:axId val="550300207"/>
        <c:scaling>
          <c:orientation val="minMax"/>
        </c:scaling>
        <c:delete val="0"/>
        <c:axPos val="b"/>
        <c:majorGridlines>
          <c:spPr>
            <a:ln w="9525" cap="flat" cmpd="sng" algn="ctr">
              <a:solidFill>
                <a:schemeClr val="dk1">
                  <a:lumMod val="15000"/>
                  <a:lumOff val="85000"/>
                  <a:alpha val="54000"/>
                </a:schemeClr>
              </a:solidFill>
              <a:round/>
            </a:ln>
            <a:effectLst/>
          </c:spPr>
        </c:majorGridlines>
        <c:minorGridlines>
          <c:spPr>
            <a:ln w="9525" cap="flat" cmpd="sng" algn="ctr">
              <a:solidFill>
                <a:schemeClr val="dk1">
                  <a:lumMod val="15000"/>
                  <a:lumOff val="85000"/>
                  <a:alpha val="51000"/>
                </a:schemeClr>
              </a:solidFill>
              <a:round/>
            </a:ln>
            <a:effectLst/>
          </c:spPr>
        </c:minorGridlines>
        <c:title>
          <c:tx>
            <c:rich>
              <a:bodyPr rot="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r>
                  <a:rPr lang="en-US"/>
                  <a:t>Week</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endParaRPr lang="en-US"/>
            </a:p>
          </c:txPr>
        </c:title>
        <c:numFmt formatCode="General" sourceLinked="0"/>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cap="none" spc="0" normalizeH="0" baseline="0">
                <a:solidFill>
                  <a:schemeClr val="dk1">
                    <a:lumMod val="65000"/>
                    <a:lumOff val="35000"/>
                  </a:schemeClr>
                </a:solidFill>
                <a:latin typeface="+mn-lt"/>
                <a:ea typeface="+mn-ea"/>
                <a:cs typeface="+mn-cs"/>
              </a:defRPr>
            </a:pPr>
            <a:endParaRPr lang="en-US"/>
          </a:p>
        </c:txPr>
        <c:crossAx val="506817855"/>
        <c:crosses val="autoZero"/>
        <c:auto val="1"/>
        <c:lblAlgn val="ctr"/>
        <c:lblOffset val="100"/>
        <c:noMultiLvlLbl val="0"/>
      </c:catAx>
      <c:valAx>
        <c:axId val="506817855"/>
        <c:scaling>
          <c:orientation val="minMax"/>
        </c:scaling>
        <c:delete val="0"/>
        <c:axPos val="l"/>
        <c:majorGridlines>
          <c:spPr>
            <a:ln w="9525" cap="flat" cmpd="sng" algn="ctr">
              <a:solidFill>
                <a:schemeClr val="dk1">
                  <a:lumMod val="15000"/>
                  <a:lumOff val="85000"/>
                  <a:alpha val="54000"/>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r>
                  <a:rPr lang="en-US"/>
                  <a:t>Sites</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endParaRPr lang="en-US"/>
            </a:p>
          </c:txPr>
        </c:title>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crossAx val="550300207"/>
        <c:crosses val="autoZero"/>
        <c:crossBetween val="between"/>
      </c:valAx>
      <c:dTable>
        <c:showHorzBorder val="1"/>
        <c:showVertBorder val="1"/>
        <c:showOutline val="1"/>
        <c:showKeys val="1"/>
        <c:spPr>
          <a:noFill/>
          <a:ln w="9525" cap="flat" cmpd="sng" algn="ctr">
            <a:solidFill>
              <a:schemeClr val="dk1">
                <a:lumMod val="15000"/>
                <a:lumOff val="85000"/>
              </a:schemeClr>
            </a:solidFill>
            <a:round/>
          </a:ln>
          <a:effectLst/>
        </c:spPr>
        <c:txPr>
          <a:bodyPr rot="0" spcFirstLastPara="1" vertOverflow="ellipsis" vert="horz" wrap="square" anchor="ctr" anchorCtr="1"/>
          <a:lstStyle/>
          <a:p>
            <a:pPr rtl="0">
              <a:defRPr sz="800" b="0" i="0" u="none" strike="noStrike" kern="1200" baseline="0">
                <a:solidFill>
                  <a:schemeClr val="dk1">
                    <a:lumMod val="65000"/>
                    <a:lumOff val="35000"/>
                  </a:schemeClr>
                </a:solidFill>
                <a:latin typeface="+mn-lt"/>
                <a:ea typeface="+mn-ea"/>
                <a:cs typeface="+mn-cs"/>
              </a:defRPr>
            </a:pPr>
            <a:endParaRPr lang="en-US"/>
          </a:p>
        </c:txPr>
      </c:dTable>
      <c:spPr>
        <a:pattFill prst="ltDnDiag">
          <a:fgClr>
            <a:schemeClr val="dk1">
              <a:lumMod val="15000"/>
              <a:lumOff val="85000"/>
            </a:schemeClr>
          </a:fgClr>
          <a:bgClr>
            <a:schemeClr val="lt1"/>
          </a:bgClr>
        </a:patt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tx>
            <c:strRef>
              <c:f>'6. Summary Tracking Sheet'!$DL$3</c:f>
              <c:strCache>
                <c:ptCount val="1"/>
                <c:pt idx="0">
                  <c:v>SiteInOperations_BL(SUM)</c:v>
                </c:pt>
              </c:strCache>
            </c:strRef>
          </c:tx>
          <c:spPr>
            <a:ln w="22225" cap="rnd">
              <a:solidFill>
                <a:schemeClr val="accent1"/>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dk1">
                          <a:lumMod val="35000"/>
                          <a:lumOff val="65000"/>
                        </a:schemeClr>
                      </a:solidFill>
                      <a:round/>
                    </a:ln>
                    <a:effectLst/>
                  </c:spPr>
                </c15:leaderLines>
              </c:ext>
            </c:extLst>
          </c:dLbls>
          <c:cat>
            <c:strLit>
              <c:ptCount val="20"/>
              <c:pt idx="0">
                <c:v>21</c:v>
              </c:pt>
              <c:pt idx="1">
                <c:v>22</c:v>
              </c:pt>
              <c:pt idx="2">
                <c:v>23</c:v>
              </c:pt>
              <c:pt idx="3">
                <c:v>24</c:v>
              </c:pt>
              <c:pt idx="4">
                <c:v>25</c:v>
              </c:pt>
              <c:pt idx="5">
                <c:v>26</c:v>
              </c:pt>
              <c:pt idx="6">
                <c:v>27</c:v>
              </c:pt>
              <c:pt idx="7">
                <c:v>28</c:v>
              </c:pt>
              <c:pt idx="8">
                <c:v>29</c:v>
              </c:pt>
              <c:pt idx="9">
                <c:v>30</c:v>
              </c:pt>
              <c:pt idx="10">
                <c:v>31</c:v>
              </c:pt>
              <c:pt idx="11">
                <c:v>32</c:v>
              </c:pt>
              <c:pt idx="12">
                <c:v>33</c:v>
              </c:pt>
              <c:pt idx="13">
                <c:v>34</c:v>
              </c:pt>
              <c:pt idx="14">
                <c:v>35</c:v>
              </c:pt>
              <c:pt idx="15">
                <c:v>36</c:v>
              </c:pt>
              <c:pt idx="16">
                <c:v>37</c:v>
              </c:pt>
              <c:pt idx="17">
                <c:v>38</c:v>
              </c:pt>
              <c:pt idx="18">
                <c:v>39</c:v>
              </c:pt>
              <c:pt idx="19">
                <c:v>40</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'6. Summary Tracking Sheet'!$DL$4:$DL$43</c15:sqref>
                  </c15:fullRef>
                </c:ext>
              </c:extLst>
              <c:f>'6. Summary Tracking Sheet'!$DL$24:$DL$43</c:f>
              <c:numCache>
                <c:formatCode>0;\-0;\-;@</c:formatCode>
                <c:ptCount val="20"/>
                <c:pt idx="0">
                  <c:v>0</c:v>
                </c:pt>
                <c:pt idx="1">
                  <c:v>0</c:v>
                </c:pt>
                <c:pt idx="2">
                  <c:v>0</c:v>
                </c:pt>
                <c:pt idx="3">
                  <c:v>0</c:v>
                </c:pt>
                <c:pt idx="4">
                  <c:v>0</c:v>
                </c:pt>
                <c:pt idx="5">
                  <c:v>0</c:v>
                </c:pt>
                <c:pt idx="6">
                  <c:v>0</c:v>
                </c:pt>
                <c:pt idx="7">
                  <c:v>0</c:v>
                </c:pt>
                <c:pt idx="8">
                  <c:v>0</c:v>
                </c:pt>
                <c:pt idx="9">
                  <c:v>7</c:v>
                </c:pt>
                <c:pt idx="10">
                  <c:v>16</c:v>
                </c:pt>
                <c:pt idx="11">
                  <c:v>26</c:v>
                </c:pt>
                <c:pt idx="12">
                  <c:v>38</c:v>
                </c:pt>
                <c:pt idx="13">
                  <c:v>51</c:v>
                </c:pt>
                <c:pt idx="14">
                  <c:v>67</c:v>
                </c:pt>
                <c:pt idx="15">
                  <c:v>86</c:v>
                </c:pt>
                <c:pt idx="16">
                  <c:v>100</c:v>
                </c:pt>
                <c:pt idx="17">
                  <c:v>100</c:v>
                </c:pt>
                <c:pt idx="18">
                  <c:v>100</c:v>
                </c:pt>
                <c:pt idx="19">
                  <c:v>100</c:v>
                </c:pt>
              </c:numCache>
            </c:numRef>
          </c:val>
          <c:smooth val="0"/>
          <c:extLst>
            <c:ext xmlns:c16="http://schemas.microsoft.com/office/drawing/2014/chart" uri="{C3380CC4-5D6E-409C-BE32-E72D297353CC}">
              <c16:uniqueId val="{00000000-D3F7-4303-B766-7CCF5C68A916}"/>
            </c:ext>
          </c:extLst>
        </c:ser>
        <c:ser>
          <c:idx val="1"/>
          <c:order val="1"/>
          <c:tx>
            <c:strRef>
              <c:f>'6. Summary Tracking Sheet'!$DN$3</c:f>
              <c:strCache>
                <c:ptCount val="1"/>
                <c:pt idx="0">
                  <c:v>SiteInOperations_AC(SUM)</c:v>
                </c:pt>
              </c:strCache>
            </c:strRef>
          </c:tx>
          <c:spPr>
            <a:ln w="22225" cap="rnd">
              <a:solidFill>
                <a:schemeClr val="accent2"/>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dk1">
                          <a:lumMod val="35000"/>
                          <a:lumOff val="65000"/>
                        </a:schemeClr>
                      </a:solidFill>
                      <a:round/>
                    </a:ln>
                    <a:effectLst/>
                  </c:spPr>
                </c15:leaderLines>
              </c:ext>
            </c:extLst>
          </c:dLbls>
          <c:cat>
            <c:strLit>
              <c:ptCount val="20"/>
              <c:pt idx="0">
                <c:v>21</c:v>
              </c:pt>
              <c:pt idx="1">
                <c:v>22</c:v>
              </c:pt>
              <c:pt idx="2">
                <c:v>23</c:v>
              </c:pt>
              <c:pt idx="3">
                <c:v>24</c:v>
              </c:pt>
              <c:pt idx="4">
                <c:v>25</c:v>
              </c:pt>
              <c:pt idx="5">
                <c:v>26</c:v>
              </c:pt>
              <c:pt idx="6">
                <c:v>27</c:v>
              </c:pt>
              <c:pt idx="7">
                <c:v>28</c:v>
              </c:pt>
              <c:pt idx="8">
                <c:v>29</c:v>
              </c:pt>
              <c:pt idx="9">
                <c:v>30</c:v>
              </c:pt>
              <c:pt idx="10">
                <c:v>31</c:v>
              </c:pt>
              <c:pt idx="11">
                <c:v>32</c:v>
              </c:pt>
              <c:pt idx="12">
                <c:v>33</c:v>
              </c:pt>
              <c:pt idx="13">
                <c:v>34</c:v>
              </c:pt>
              <c:pt idx="14">
                <c:v>35</c:v>
              </c:pt>
              <c:pt idx="15">
                <c:v>36</c:v>
              </c:pt>
              <c:pt idx="16">
                <c:v>37</c:v>
              </c:pt>
              <c:pt idx="17">
                <c:v>38</c:v>
              </c:pt>
              <c:pt idx="18">
                <c:v>39</c:v>
              </c:pt>
              <c:pt idx="19">
                <c:v>40</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'6. Summary Tracking Sheet'!$DN$4:$DN$43</c15:sqref>
                  </c15:fullRef>
                </c:ext>
              </c:extLst>
              <c:f>'6. Summary Tracking Sheet'!$DN$24:$DN$43</c:f>
              <c:numCache>
                <c:formatCode>0;\-0;\-;@</c:formatCode>
                <c:ptCount val="20"/>
                <c:pt idx="0">
                  <c:v>0</c:v>
                </c:pt>
                <c:pt idx="1">
                  <c:v>0</c:v>
                </c:pt>
                <c:pt idx="2">
                  <c:v>0</c:v>
                </c:pt>
                <c:pt idx="3">
                  <c:v>0</c:v>
                </c:pt>
                <c:pt idx="4">
                  <c:v>0</c:v>
                </c:pt>
                <c:pt idx="5">
                  <c:v>0</c:v>
                </c:pt>
                <c:pt idx="6">
                  <c:v>0</c:v>
                </c:pt>
                <c:pt idx="7">
                  <c:v>0</c:v>
                </c:pt>
                <c:pt idx="8">
                  <c:v>0</c:v>
                </c:pt>
                <c:pt idx="9">
                  <c:v>1</c:v>
                </c:pt>
                <c:pt idx="10">
                  <c:v>3</c:v>
                </c:pt>
                <c:pt idx="11">
                  <c:v>7</c:v>
                </c:pt>
                <c:pt idx="12">
                  <c:v>9</c:v>
                </c:pt>
                <c:pt idx="13">
                  <c:v>10</c:v>
                </c:pt>
                <c:pt idx="14">
                  <c:v>10</c:v>
                </c:pt>
                <c:pt idx="15">
                  <c:v>10</c:v>
                </c:pt>
                <c:pt idx="16">
                  <c:v>10</c:v>
                </c:pt>
                <c:pt idx="17">
                  <c:v>10</c:v>
                </c:pt>
                <c:pt idx="18">
                  <c:v>10</c:v>
                </c:pt>
                <c:pt idx="19">
                  <c:v>10</c:v>
                </c:pt>
              </c:numCache>
            </c:numRef>
          </c:val>
          <c:smooth val="0"/>
          <c:extLst>
            <c:ext xmlns:c16="http://schemas.microsoft.com/office/drawing/2014/chart" uri="{C3380CC4-5D6E-409C-BE32-E72D297353CC}">
              <c16:uniqueId val="{00000001-D3F7-4303-B766-7CCF5C68A916}"/>
            </c:ext>
          </c:extLst>
        </c:ser>
        <c:dLbls>
          <c:showLegendKey val="0"/>
          <c:showVal val="0"/>
          <c:showCatName val="0"/>
          <c:showSerName val="0"/>
          <c:showPercent val="0"/>
          <c:showBubbleSize val="0"/>
        </c:dLbls>
        <c:smooth val="0"/>
        <c:axId val="550300207"/>
        <c:axId val="506817855"/>
        <c:extLst/>
      </c:lineChart>
      <c:catAx>
        <c:axId val="550300207"/>
        <c:scaling>
          <c:orientation val="minMax"/>
        </c:scaling>
        <c:delete val="0"/>
        <c:axPos val="b"/>
        <c:majorGridlines>
          <c:spPr>
            <a:ln w="9525" cap="flat" cmpd="sng" algn="ctr">
              <a:solidFill>
                <a:schemeClr val="dk1">
                  <a:lumMod val="15000"/>
                  <a:lumOff val="85000"/>
                  <a:alpha val="54000"/>
                </a:schemeClr>
              </a:solidFill>
              <a:round/>
            </a:ln>
            <a:effectLst/>
          </c:spPr>
        </c:majorGridlines>
        <c:minorGridlines>
          <c:spPr>
            <a:ln w="9525" cap="flat" cmpd="sng" algn="ctr">
              <a:solidFill>
                <a:schemeClr val="dk1">
                  <a:lumMod val="15000"/>
                  <a:lumOff val="85000"/>
                  <a:alpha val="51000"/>
                </a:schemeClr>
              </a:solidFill>
              <a:round/>
            </a:ln>
            <a:effectLst/>
          </c:spPr>
        </c:minorGridlines>
        <c:title>
          <c:tx>
            <c:rich>
              <a:bodyPr rot="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r>
                  <a:rPr lang="en-US"/>
                  <a:t>Week</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endParaRPr lang="en-US"/>
            </a:p>
          </c:txPr>
        </c:title>
        <c:numFmt formatCode="General" sourceLinked="0"/>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cap="none" spc="0" normalizeH="0" baseline="0">
                <a:solidFill>
                  <a:schemeClr val="dk1">
                    <a:lumMod val="65000"/>
                    <a:lumOff val="35000"/>
                  </a:schemeClr>
                </a:solidFill>
                <a:latin typeface="+mn-lt"/>
                <a:ea typeface="+mn-ea"/>
                <a:cs typeface="+mn-cs"/>
              </a:defRPr>
            </a:pPr>
            <a:endParaRPr lang="en-US"/>
          </a:p>
        </c:txPr>
        <c:crossAx val="506817855"/>
        <c:crosses val="autoZero"/>
        <c:auto val="1"/>
        <c:lblAlgn val="ctr"/>
        <c:lblOffset val="100"/>
        <c:noMultiLvlLbl val="0"/>
      </c:catAx>
      <c:valAx>
        <c:axId val="506817855"/>
        <c:scaling>
          <c:orientation val="minMax"/>
        </c:scaling>
        <c:delete val="0"/>
        <c:axPos val="l"/>
        <c:majorGridlines>
          <c:spPr>
            <a:ln w="9525" cap="flat" cmpd="sng" algn="ctr">
              <a:solidFill>
                <a:schemeClr val="dk1">
                  <a:lumMod val="15000"/>
                  <a:lumOff val="85000"/>
                  <a:alpha val="54000"/>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r>
                  <a:rPr lang="en-US"/>
                  <a:t>Sites</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endParaRPr lang="en-US"/>
            </a:p>
          </c:txPr>
        </c:title>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crossAx val="550300207"/>
        <c:crosses val="autoZero"/>
        <c:crossBetween val="between"/>
      </c:valAx>
      <c:dTable>
        <c:showHorzBorder val="1"/>
        <c:showVertBorder val="1"/>
        <c:showOutline val="1"/>
        <c:showKeys val="1"/>
        <c:spPr>
          <a:noFill/>
          <a:ln w="9525" cap="flat" cmpd="sng" algn="ctr">
            <a:solidFill>
              <a:schemeClr val="dk1">
                <a:lumMod val="15000"/>
                <a:lumOff val="85000"/>
              </a:schemeClr>
            </a:solidFill>
            <a:round/>
          </a:ln>
          <a:effectLst/>
        </c:spPr>
        <c:txPr>
          <a:bodyPr rot="0" spcFirstLastPara="1" vertOverflow="ellipsis" vert="horz" wrap="square" anchor="ctr" anchorCtr="1"/>
          <a:lstStyle/>
          <a:p>
            <a:pPr rtl="0">
              <a:defRPr sz="800" b="0" i="0" u="none" strike="noStrike" kern="1200" baseline="0">
                <a:solidFill>
                  <a:schemeClr val="dk1">
                    <a:lumMod val="65000"/>
                    <a:lumOff val="35000"/>
                  </a:schemeClr>
                </a:solidFill>
                <a:latin typeface="+mn-lt"/>
                <a:ea typeface="+mn-ea"/>
                <a:cs typeface="+mn-cs"/>
              </a:defRPr>
            </a:pPr>
            <a:endParaRPr lang="en-US"/>
          </a:p>
        </c:txPr>
      </c:dTable>
      <c:spPr>
        <a:pattFill prst="ltDnDiag">
          <a:fgClr>
            <a:schemeClr val="dk1">
              <a:lumMod val="15000"/>
              <a:lumOff val="85000"/>
            </a:schemeClr>
          </a:fgClr>
          <a:bgClr>
            <a:schemeClr val="lt1"/>
          </a:bgClr>
        </a:patt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tx>
            <c:strRef>
              <c:f>'6. Summary Tracking Sheet'!$H$3</c:f>
              <c:strCache>
                <c:ptCount val="1"/>
                <c:pt idx="0">
                  <c:v>SiteDesignStarted_AC(SUM)</c:v>
                </c:pt>
              </c:strCache>
            </c:strRef>
          </c:tx>
          <c:spPr>
            <a:ln w="22225" cap="rnd">
              <a:solidFill>
                <a:schemeClr val="accent1"/>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dk1">
                          <a:lumMod val="35000"/>
                          <a:lumOff val="65000"/>
                        </a:schemeClr>
                      </a:solidFill>
                      <a:round/>
                    </a:ln>
                    <a:effectLst/>
                  </c:spPr>
                </c15:leaderLines>
              </c:ext>
            </c:extLst>
          </c:dLbls>
          <c:cat>
            <c:numRef>
              <c:extLst>
                <c:ext xmlns:c15="http://schemas.microsoft.com/office/drawing/2012/chart" uri="{02D57815-91ED-43cb-92C2-25804820EDAC}">
                  <c15:fullRef>
                    <c15:sqref>'6. Summary Tracking Sheet'!$B$4:$B$43</c15:sqref>
                  </c15:fullRef>
                </c:ext>
              </c:extLst>
              <c:f>'6. Summary Tracking Sheet'!$B$23:$B$43</c:f>
              <c:numCache>
                <c:formatCode>General</c:formatCode>
                <c:ptCount val="21"/>
                <c:pt idx="0">
                  <c:v>20</c:v>
                </c:pt>
                <c:pt idx="1">
                  <c:v>21</c:v>
                </c:pt>
                <c:pt idx="2">
                  <c:v>22</c:v>
                </c:pt>
                <c:pt idx="3">
                  <c:v>23</c:v>
                </c:pt>
                <c:pt idx="4">
                  <c:v>24</c:v>
                </c:pt>
                <c:pt idx="5">
                  <c:v>25</c:v>
                </c:pt>
                <c:pt idx="6">
                  <c:v>26</c:v>
                </c:pt>
                <c:pt idx="7">
                  <c:v>27</c:v>
                </c:pt>
                <c:pt idx="8">
                  <c:v>28</c:v>
                </c:pt>
                <c:pt idx="9">
                  <c:v>29</c:v>
                </c:pt>
                <c:pt idx="10">
                  <c:v>30</c:v>
                </c:pt>
                <c:pt idx="11">
                  <c:v>31</c:v>
                </c:pt>
                <c:pt idx="12">
                  <c:v>32</c:v>
                </c:pt>
                <c:pt idx="13">
                  <c:v>33</c:v>
                </c:pt>
                <c:pt idx="14">
                  <c:v>34</c:v>
                </c:pt>
                <c:pt idx="15">
                  <c:v>35</c:v>
                </c:pt>
                <c:pt idx="16">
                  <c:v>36</c:v>
                </c:pt>
                <c:pt idx="17">
                  <c:v>37</c:v>
                </c:pt>
                <c:pt idx="18">
                  <c:v>38</c:v>
                </c:pt>
                <c:pt idx="19">
                  <c:v>39</c:v>
                </c:pt>
                <c:pt idx="20">
                  <c:v>40</c:v>
                </c:pt>
              </c:numCache>
            </c:numRef>
          </c:cat>
          <c:val>
            <c:numRef>
              <c:extLst>
                <c:ext xmlns:c15="http://schemas.microsoft.com/office/drawing/2012/chart" uri="{02D57815-91ED-43cb-92C2-25804820EDAC}">
                  <c15:fullRef>
                    <c15:sqref>'6. Summary Tracking Sheet'!$H$4:$H$124</c15:sqref>
                  </c15:fullRef>
                </c:ext>
              </c:extLst>
              <c:f>'6. Summary Tracking Sheet'!$H$23:$H$43</c:f>
              <c:numCache>
                <c:formatCode>0;\-0;\-;@</c:formatCode>
                <c:ptCount val="21"/>
                <c:pt idx="0">
                  <c:v>0</c:v>
                </c:pt>
                <c:pt idx="1">
                  <c:v>0</c:v>
                </c:pt>
                <c:pt idx="2">
                  <c:v>2</c:v>
                </c:pt>
                <c:pt idx="3">
                  <c:v>10</c:v>
                </c:pt>
                <c:pt idx="4">
                  <c:v>20</c:v>
                </c:pt>
                <c:pt idx="5">
                  <c:v>38</c:v>
                </c:pt>
                <c:pt idx="6">
                  <c:v>51</c:v>
                </c:pt>
                <c:pt idx="7">
                  <c:v>67</c:v>
                </c:pt>
                <c:pt idx="8">
                  <c:v>86</c:v>
                </c:pt>
                <c:pt idx="9">
                  <c:v>95</c:v>
                </c:pt>
                <c:pt idx="10">
                  <c:v>96</c:v>
                </c:pt>
                <c:pt idx="11">
                  <c:v>96</c:v>
                </c:pt>
                <c:pt idx="12">
                  <c:v>96</c:v>
                </c:pt>
                <c:pt idx="13">
                  <c:v>96</c:v>
                </c:pt>
                <c:pt idx="14">
                  <c:v>96</c:v>
                </c:pt>
                <c:pt idx="15">
                  <c:v>96</c:v>
                </c:pt>
                <c:pt idx="16">
                  <c:v>96</c:v>
                </c:pt>
                <c:pt idx="17">
                  <c:v>96</c:v>
                </c:pt>
                <c:pt idx="18">
                  <c:v>96</c:v>
                </c:pt>
                <c:pt idx="19">
                  <c:v>96</c:v>
                </c:pt>
                <c:pt idx="20">
                  <c:v>96</c:v>
                </c:pt>
              </c:numCache>
            </c:numRef>
          </c:val>
          <c:smooth val="0"/>
          <c:extLst>
            <c:ext xmlns:c16="http://schemas.microsoft.com/office/drawing/2014/chart" uri="{C3380CC4-5D6E-409C-BE32-E72D297353CC}">
              <c16:uniqueId val="{00000000-4985-4051-AA07-A697DD7E6B48}"/>
            </c:ext>
          </c:extLst>
        </c:ser>
        <c:ser>
          <c:idx val="1"/>
          <c:order val="1"/>
          <c:tx>
            <c:strRef>
              <c:f>'6. Summary Tracking Sheet'!$R$3</c:f>
              <c:strCache>
                <c:ptCount val="1"/>
                <c:pt idx="0">
                  <c:v>SiteDesignReady_AC(SUM)</c:v>
                </c:pt>
              </c:strCache>
            </c:strRef>
          </c:tx>
          <c:spPr>
            <a:ln w="22225" cap="rnd">
              <a:solidFill>
                <a:schemeClr val="accent2"/>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dk1">
                          <a:lumMod val="35000"/>
                          <a:lumOff val="65000"/>
                        </a:schemeClr>
                      </a:solidFill>
                      <a:round/>
                    </a:ln>
                    <a:effectLst/>
                  </c:spPr>
                </c15:leaderLines>
              </c:ext>
            </c:extLst>
          </c:dLbls>
          <c:cat>
            <c:numRef>
              <c:extLst>
                <c:ext xmlns:c15="http://schemas.microsoft.com/office/drawing/2012/chart" uri="{02D57815-91ED-43cb-92C2-25804820EDAC}">
                  <c15:fullRef>
                    <c15:sqref>'6. Summary Tracking Sheet'!$B$4:$B$43</c15:sqref>
                  </c15:fullRef>
                </c:ext>
              </c:extLst>
              <c:f>'6. Summary Tracking Sheet'!$B$23:$B$43</c:f>
              <c:numCache>
                <c:formatCode>General</c:formatCode>
                <c:ptCount val="21"/>
                <c:pt idx="0">
                  <c:v>20</c:v>
                </c:pt>
                <c:pt idx="1">
                  <c:v>21</c:v>
                </c:pt>
                <c:pt idx="2">
                  <c:v>22</c:v>
                </c:pt>
                <c:pt idx="3">
                  <c:v>23</c:v>
                </c:pt>
                <c:pt idx="4">
                  <c:v>24</c:v>
                </c:pt>
                <c:pt idx="5">
                  <c:v>25</c:v>
                </c:pt>
                <c:pt idx="6">
                  <c:v>26</c:v>
                </c:pt>
                <c:pt idx="7">
                  <c:v>27</c:v>
                </c:pt>
                <c:pt idx="8">
                  <c:v>28</c:v>
                </c:pt>
                <c:pt idx="9">
                  <c:v>29</c:v>
                </c:pt>
                <c:pt idx="10">
                  <c:v>30</c:v>
                </c:pt>
                <c:pt idx="11">
                  <c:v>31</c:v>
                </c:pt>
                <c:pt idx="12">
                  <c:v>32</c:v>
                </c:pt>
                <c:pt idx="13">
                  <c:v>33</c:v>
                </c:pt>
                <c:pt idx="14">
                  <c:v>34</c:v>
                </c:pt>
                <c:pt idx="15">
                  <c:v>35</c:v>
                </c:pt>
                <c:pt idx="16">
                  <c:v>36</c:v>
                </c:pt>
                <c:pt idx="17">
                  <c:v>37</c:v>
                </c:pt>
                <c:pt idx="18">
                  <c:v>38</c:v>
                </c:pt>
                <c:pt idx="19">
                  <c:v>39</c:v>
                </c:pt>
                <c:pt idx="20">
                  <c:v>40</c:v>
                </c:pt>
              </c:numCache>
            </c:numRef>
          </c:cat>
          <c:val>
            <c:numRef>
              <c:extLst>
                <c:ext xmlns:c15="http://schemas.microsoft.com/office/drawing/2012/chart" uri="{02D57815-91ED-43cb-92C2-25804820EDAC}">
                  <c15:fullRef>
                    <c15:sqref>'6. Summary Tracking Sheet'!$R$4:$R$124</c15:sqref>
                  </c15:fullRef>
                </c:ext>
              </c:extLst>
              <c:f>'6. Summary Tracking Sheet'!$R$23:$R$43</c:f>
              <c:numCache>
                <c:formatCode>0;\-0;\-;@</c:formatCode>
                <c:ptCount val="21"/>
                <c:pt idx="0">
                  <c:v>0</c:v>
                </c:pt>
                <c:pt idx="1">
                  <c:v>0</c:v>
                </c:pt>
                <c:pt idx="2">
                  <c:v>1</c:v>
                </c:pt>
                <c:pt idx="3">
                  <c:v>7</c:v>
                </c:pt>
                <c:pt idx="4">
                  <c:v>16</c:v>
                </c:pt>
                <c:pt idx="5">
                  <c:v>27</c:v>
                </c:pt>
                <c:pt idx="6">
                  <c:v>40</c:v>
                </c:pt>
                <c:pt idx="7">
                  <c:v>66</c:v>
                </c:pt>
                <c:pt idx="8">
                  <c:v>85</c:v>
                </c:pt>
                <c:pt idx="9">
                  <c:v>90</c:v>
                </c:pt>
                <c:pt idx="10">
                  <c:v>90</c:v>
                </c:pt>
                <c:pt idx="11">
                  <c:v>90</c:v>
                </c:pt>
                <c:pt idx="12">
                  <c:v>90</c:v>
                </c:pt>
                <c:pt idx="13">
                  <c:v>90</c:v>
                </c:pt>
                <c:pt idx="14">
                  <c:v>90</c:v>
                </c:pt>
                <c:pt idx="15">
                  <c:v>90</c:v>
                </c:pt>
                <c:pt idx="16">
                  <c:v>90</c:v>
                </c:pt>
                <c:pt idx="17">
                  <c:v>90</c:v>
                </c:pt>
                <c:pt idx="18">
                  <c:v>90</c:v>
                </c:pt>
                <c:pt idx="19">
                  <c:v>90</c:v>
                </c:pt>
                <c:pt idx="20">
                  <c:v>90</c:v>
                </c:pt>
              </c:numCache>
            </c:numRef>
          </c:val>
          <c:smooth val="0"/>
          <c:extLst>
            <c:ext xmlns:c16="http://schemas.microsoft.com/office/drawing/2014/chart" uri="{C3380CC4-5D6E-409C-BE32-E72D297353CC}">
              <c16:uniqueId val="{00000001-4985-4051-AA07-A697DD7E6B48}"/>
            </c:ext>
          </c:extLst>
        </c:ser>
        <c:ser>
          <c:idx val="2"/>
          <c:order val="2"/>
          <c:tx>
            <c:strRef>
              <c:f>'6. Summary Tracking Sheet'!$AB$3</c:f>
              <c:strCache>
                <c:ptCount val="1"/>
                <c:pt idx="0">
                  <c:v>SiteSurveyCompleted_AC(SUM)</c:v>
                </c:pt>
              </c:strCache>
            </c:strRef>
          </c:tx>
          <c:spPr>
            <a:ln w="22225" cap="rnd">
              <a:solidFill>
                <a:schemeClr val="accent3"/>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dk1">
                          <a:lumMod val="35000"/>
                          <a:lumOff val="65000"/>
                        </a:schemeClr>
                      </a:solidFill>
                      <a:round/>
                    </a:ln>
                    <a:effectLst/>
                  </c:spPr>
                </c15:leaderLines>
              </c:ext>
            </c:extLst>
          </c:dLbls>
          <c:cat>
            <c:numRef>
              <c:extLst>
                <c:ext xmlns:c15="http://schemas.microsoft.com/office/drawing/2012/chart" uri="{02D57815-91ED-43cb-92C2-25804820EDAC}">
                  <c15:fullRef>
                    <c15:sqref>'6. Summary Tracking Sheet'!$B$4:$B$43</c15:sqref>
                  </c15:fullRef>
                </c:ext>
              </c:extLst>
              <c:f>'6. Summary Tracking Sheet'!$B$23:$B$43</c:f>
              <c:numCache>
                <c:formatCode>General</c:formatCode>
                <c:ptCount val="21"/>
                <c:pt idx="0">
                  <c:v>20</c:v>
                </c:pt>
                <c:pt idx="1">
                  <c:v>21</c:v>
                </c:pt>
                <c:pt idx="2">
                  <c:v>22</c:v>
                </c:pt>
                <c:pt idx="3">
                  <c:v>23</c:v>
                </c:pt>
                <c:pt idx="4">
                  <c:v>24</c:v>
                </c:pt>
                <c:pt idx="5">
                  <c:v>25</c:v>
                </c:pt>
                <c:pt idx="6">
                  <c:v>26</c:v>
                </c:pt>
                <c:pt idx="7">
                  <c:v>27</c:v>
                </c:pt>
                <c:pt idx="8">
                  <c:v>28</c:v>
                </c:pt>
                <c:pt idx="9">
                  <c:v>29</c:v>
                </c:pt>
                <c:pt idx="10">
                  <c:v>30</c:v>
                </c:pt>
                <c:pt idx="11">
                  <c:v>31</c:v>
                </c:pt>
                <c:pt idx="12">
                  <c:v>32</c:v>
                </c:pt>
                <c:pt idx="13">
                  <c:v>33</c:v>
                </c:pt>
                <c:pt idx="14">
                  <c:v>34</c:v>
                </c:pt>
                <c:pt idx="15">
                  <c:v>35</c:v>
                </c:pt>
                <c:pt idx="16">
                  <c:v>36</c:v>
                </c:pt>
                <c:pt idx="17">
                  <c:v>37</c:v>
                </c:pt>
                <c:pt idx="18">
                  <c:v>38</c:v>
                </c:pt>
                <c:pt idx="19">
                  <c:v>39</c:v>
                </c:pt>
                <c:pt idx="20">
                  <c:v>40</c:v>
                </c:pt>
              </c:numCache>
            </c:numRef>
          </c:cat>
          <c:val>
            <c:numRef>
              <c:extLst>
                <c:ext xmlns:c15="http://schemas.microsoft.com/office/drawing/2012/chart" uri="{02D57815-91ED-43cb-92C2-25804820EDAC}">
                  <c15:fullRef>
                    <c15:sqref>'6. Summary Tracking Sheet'!$AB$4:$AB$124</c15:sqref>
                  </c15:fullRef>
                </c:ext>
              </c:extLst>
              <c:f>'6. Summary Tracking Sheet'!$AB$23:$AB$43</c:f>
              <c:numCache>
                <c:formatCode>0;\-0;\-;@</c:formatCode>
                <c:ptCount val="21"/>
                <c:pt idx="0">
                  <c:v>0</c:v>
                </c:pt>
                <c:pt idx="1">
                  <c:v>0</c:v>
                </c:pt>
                <c:pt idx="2">
                  <c:v>1</c:v>
                </c:pt>
                <c:pt idx="3">
                  <c:v>5</c:v>
                </c:pt>
                <c:pt idx="4">
                  <c:v>14</c:v>
                </c:pt>
                <c:pt idx="5">
                  <c:v>26</c:v>
                </c:pt>
                <c:pt idx="6">
                  <c:v>37</c:v>
                </c:pt>
                <c:pt idx="7">
                  <c:v>61</c:v>
                </c:pt>
                <c:pt idx="8">
                  <c:v>79</c:v>
                </c:pt>
                <c:pt idx="9">
                  <c:v>86</c:v>
                </c:pt>
                <c:pt idx="10">
                  <c:v>86</c:v>
                </c:pt>
                <c:pt idx="11">
                  <c:v>86</c:v>
                </c:pt>
                <c:pt idx="12">
                  <c:v>86</c:v>
                </c:pt>
                <c:pt idx="13">
                  <c:v>86</c:v>
                </c:pt>
                <c:pt idx="14">
                  <c:v>86</c:v>
                </c:pt>
                <c:pt idx="15">
                  <c:v>86</c:v>
                </c:pt>
                <c:pt idx="16">
                  <c:v>86</c:v>
                </c:pt>
                <c:pt idx="17">
                  <c:v>86</c:v>
                </c:pt>
                <c:pt idx="18">
                  <c:v>86</c:v>
                </c:pt>
                <c:pt idx="19">
                  <c:v>86</c:v>
                </c:pt>
                <c:pt idx="20">
                  <c:v>86</c:v>
                </c:pt>
              </c:numCache>
            </c:numRef>
          </c:val>
          <c:smooth val="0"/>
          <c:extLst>
            <c:ext xmlns:c16="http://schemas.microsoft.com/office/drawing/2014/chart" uri="{C3380CC4-5D6E-409C-BE32-E72D297353CC}">
              <c16:uniqueId val="{00000002-4985-4051-AA07-A697DD7E6B48}"/>
            </c:ext>
          </c:extLst>
        </c:ser>
        <c:ser>
          <c:idx val="3"/>
          <c:order val="3"/>
          <c:tx>
            <c:strRef>
              <c:f>'6. Summary Tracking Sheet'!$AL$3</c:f>
              <c:strCache>
                <c:ptCount val="1"/>
                <c:pt idx="0">
                  <c:v>SiteAcquired_AC(SUM)</c:v>
                </c:pt>
              </c:strCache>
            </c:strRef>
          </c:tx>
          <c:spPr>
            <a:ln w="22225" cap="rnd">
              <a:solidFill>
                <a:schemeClr val="accent4"/>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dk1">
                          <a:lumMod val="35000"/>
                          <a:lumOff val="65000"/>
                        </a:schemeClr>
                      </a:solidFill>
                      <a:round/>
                    </a:ln>
                    <a:effectLst/>
                  </c:spPr>
                </c15:leaderLines>
              </c:ext>
            </c:extLst>
          </c:dLbls>
          <c:cat>
            <c:numRef>
              <c:extLst>
                <c:ext xmlns:c15="http://schemas.microsoft.com/office/drawing/2012/chart" uri="{02D57815-91ED-43cb-92C2-25804820EDAC}">
                  <c15:fullRef>
                    <c15:sqref>'6. Summary Tracking Sheet'!$B$4:$B$43</c15:sqref>
                  </c15:fullRef>
                </c:ext>
              </c:extLst>
              <c:f>'6. Summary Tracking Sheet'!$B$23:$B$43</c:f>
              <c:numCache>
                <c:formatCode>General</c:formatCode>
                <c:ptCount val="21"/>
                <c:pt idx="0">
                  <c:v>20</c:v>
                </c:pt>
                <c:pt idx="1">
                  <c:v>21</c:v>
                </c:pt>
                <c:pt idx="2">
                  <c:v>22</c:v>
                </c:pt>
                <c:pt idx="3">
                  <c:v>23</c:v>
                </c:pt>
                <c:pt idx="4">
                  <c:v>24</c:v>
                </c:pt>
                <c:pt idx="5">
                  <c:v>25</c:v>
                </c:pt>
                <c:pt idx="6">
                  <c:v>26</c:v>
                </c:pt>
                <c:pt idx="7">
                  <c:v>27</c:v>
                </c:pt>
                <c:pt idx="8">
                  <c:v>28</c:v>
                </c:pt>
                <c:pt idx="9">
                  <c:v>29</c:v>
                </c:pt>
                <c:pt idx="10">
                  <c:v>30</c:v>
                </c:pt>
                <c:pt idx="11">
                  <c:v>31</c:v>
                </c:pt>
                <c:pt idx="12">
                  <c:v>32</c:v>
                </c:pt>
                <c:pt idx="13">
                  <c:v>33</c:v>
                </c:pt>
                <c:pt idx="14">
                  <c:v>34</c:v>
                </c:pt>
                <c:pt idx="15">
                  <c:v>35</c:v>
                </c:pt>
                <c:pt idx="16">
                  <c:v>36</c:v>
                </c:pt>
                <c:pt idx="17">
                  <c:v>37</c:v>
                </c:pt>
                <c:pt idx="18">
                  <c:v>38</c:v>
                </c:pt>
                <c:pt idx="19">
                  <c:v>39</c:v>
                </c:pt>
                <c:pt idx="20">
                  <c:v>40</c:v>
                </c:pt>
              </c:numCache>
            </c:numRef>
          </c:cat>
          <c:val>
            <c:numRef>
              <c:extLst>
                <c:ext xmlns:c15="http://schemas.microsoft.com/office/drawing/2012/chart" uri="{02D57815-91ED-43cb-92C2-25804820EDAC}">
                  <c15:fullRef>
                    <c15:sqref>'6. Summary Tracking Sheet'!$AL$4:$AL$124</c15:sqref>
                  </c15:fullRef>
                </c:ext>
              </c:extLst>
              <c:f>'6. Summary Tracking Sheet'!$AL$23:$AL$43</c:f>
              <c:numCache>
                <c:formatCode>0;\-0;\-;@</c:formatCode>
                <c:ptCount val="21"/>
                <c:pt idx="0">
                  <c:v>0</c:v>
                </c:pt>
                <c:pt idx="1">
                  <c:v>0</c:v>
                </c:pt>
                <c:pt idx="2">
                  <c:v>0</c:v>
                </c:pt>
                <c:pt idx="3">
                  <c:v>0</c:v>
                </c:pt>
                <c:pt idx="4">
                  <c:v>1</c:v>
                </c:pt>
                <c:pt idx="5">
                  <c:v>7</c:v>
                </c:pt>
                <c:pt idx="6">
                  <c:v>16</c:v>
                </c:pt>
                <c:pt idx="7">
                  <c:v>27</c:v>
                </c:pt>
                <c:pt idx="8">
                  <c:v>41</c:v>
                </c:pt>
                <c:pt idx="9">
                  <c:v>66</c:v>
                </c:pt>
                <c:pt idx="10">
                  <c:v>83</c:v>
                </c:pt>
                <c:pt idx="11">
                  <c:v>84</c:v>
                </c:pt>
                <c:pt idx="12">
                  <c:v>84</c:v>
                </c:pt>
                <c:pt idx="13">
                  <c:v>84</c:v>
                </c:pt>
                <c:pt idx="14">
                  <c:v>84</c:v>
                </c:pt>
                <c:pt idx="15">
                  <c:v>84</c:v>
                </c:pt>
                <c:pt idx="16">
                  <c:v>84</c:v>
                </c:pt>
                <c:pt idx="17">
                  <c:v>84</c:v>
                </c:pt>
                <c:pt idx="18">
                  <c:v>84</c:v>
                </c:pt>
                <c:pt idx="19">
                  <c:v>84</c:v>
                </c:pt>
                <c:pt idx="20">
                  <c:v>84</c:v>
                </c:pt>
              </c:numCache>
            </c:numRef>
          </c:val>
          <c:smooth val="0"/>
          <c:extLst>
            <c:ext xmlns:c16="http://schemas.microsoft.com/office/drawing/2014/chart" uri="{C3380CC4-5D6E-409C-BE32-E72D297353CC}">
              <c16:uniqueId val="{00000003-4985-4051-AA07-A697DD7E6B48}"/>
            </c:ext>
          </c:extLst>
        </c:ser>
        <c:ser>
          <c:idx val="4"/>
          <c:order val="4"/>
          <c:tx>
            <c:strRef>
              <c:f>'6. Summary Tracking Sheet'!$AV$3</c:f>
              <c:strCache>
                <c:ptCount val="1"/>
                <c:pt idx="0">
                  <c:v>ReadyForCW_AC(SUM)</c:v>
                </c:pt>
              </c:strCache>
            </c:strRef>
          </c:tx>
          <c:spPr>
            <a:ln w="22225" cap="rnd">
              <a:solidFill>
                <a:schemeClr val="accent5"/>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dk1">
                          <a:lumMod val="35000"/>
                          <a:lumOff val="65000"/>
                        </a:schemeClr>
                      </a:solidFill>
                      <a:round/>
                    </a:ln>
                    <a:effectLst/>
                  </c:spPr>
                </c15:leaderLines>
              </c:ext>
            </c:extLst>
          </c:dLbls>
          <c:cat>
            <c:numRef>
              <c:extLst>
                <c:ext xmlns:c15="http://schemas.microsoft.com/office/drawing/2012/chart" uri="{02D57815-91ED-43cb-92C2-25804820EDAC}">
                  <c15:fullRef>
                    <c15:sqref>'6. Summary Tracking Sheet'!$B$4:$B$43</c15:sqref>
                  </c15:fullRef>
                </c:ext>
              </c:extLst>
              <c:f>'6. Summary Tracking Sheet'!$B$23:$B$43</c:f>
              <c:numCache>
                <c:formatCode>General</c:formatCode>
                <c:ptCount val="21"/>
                <c:pt idx="0">
                  <c:v>20</c:v>
                </c:pt>
                <c:pt idx="1">
                  <c:v>21</c:v>
                </c:pt>
                <c:pt idx="2">
                  <c:v>22</c:v>
                </c:pt>
                <c:pt idx="3">
                  <c:v>23</c:v>
                </c:pt>
                <c:pt idx="4">
                  <c:v>24</c:v>
                </c:pt>
                <c:pt idx="5">
                  <c:v>25</c:v>
                </c:pt>
                <c:pt idx="6">
                  <c:v>26</c:v>
                </c:pt>
                <c:pt idx="7">
                  <c:v>27</c:v>
                </c:pt>
                <c:pt idx="8">
                  <c:v>28</c:v>
                </c:pt>
                <c:pt idx="9">
                  <c:v>29</c:v>
                </c:pt>
                <c:pt idx="10">
                  <c:v>30</c:v>
                </c:pt>
                <c:pt idx="11">
                  <c:v>31</c:v>
                </c:pt>
                <c:pt idx="12">
                  <c:v>32</c:v>
                </c:pt>
                <c:pt idx="13">
                  <c:v>33</c:v>
                </c:pt>
                <c:pt idx="14">
                  <c:v>34</c:v>
                </c:pt>
                <c:pt idx="15">
                  <c:v>35</c:v>
                </c:pt>
                <c:pt idx="16">
                  <c:v>36</c:v>
                </c:pt>
                <c:pt idx="17">
                  <c:v>37</c:v>
                </c:pt>
                <c:pt idx="18">
                  <c:v>38</c:v>
                </c:pt>
                <c:pt idx="19">
                  <c:v>39</c:v>
                </c:pt>
                <c:pt idx="20">
                  <c:v>40</c:v>
                </c:pt>
              </c:numCache>
            </c:numRef>
          </c:cat>
          <c:val>
            <c:numRef>
              <c:extLst>
                <c:ext xmlns:c15="http://schemas.microsoft.com/office/drawing/2012/chart" uri="{02D57815-91ED-43cb-92C2-25804820EDAC}">
                  <c15:fullRef>
                    <c15:sqref>'6. Summary Tracking Sheet'!$AV$4:$AV$124</c15:sqref>
                  </c15:fullRef>
                </c:ext>
              </c:extLst>
              <c:f>'6. Summary Tracking Sheet'!$AV$23:$AV$43</c:f>
              <c:numCache>
                <c:formatCode>0;\-0;\-;@</c:formatCode>
                <c:ptCount val="21"/>
                <c:pt idx="0">
                  <c:v>0</c:v>
                </c:pt>
                <c:pt idx="1">
                  <c:v>0</c:v>
                </c:pt>
                <c:pt idx="2">
                  <c:v>0</c:v>
                </c:pt>
                <c:pt idx="3">
                  <c:v>0</c:v>
                </c:pt>
                <c:pt idx="4">
                  <c:v>1</c:v>
                </c:pt>
                <c:pt idx="5">
                  <c:v>5</c:v>
                </c:pt>
                <c:pt idx="6">
                  <c:v>15</c:v>
                </c:pt>
                <c:pt idx="7">
                  <c:v>25</c:v>
                </c:pt>
                <c:pt idx="8">
                  <c:v>38</c:v>
                </c:pt>
                <c:pt idx="9">
                  <c:v>61</c:v>
                </c:pt>
                <c:pt idx="10">
                  <c:v>71</c:v>
                </c:pt>
                <c:pt idx="11">
                  <c:v>80</c:v>
                </c:pt>
                <c:pt idx="12">
                  <c:v>80</c:v>
                </c:pt>
                <c:pt idx="13">
                  <c:v>80</c:v>
                </c:pt>
                <c:pt idx="14">
                  <c:v>80</c:v>
                </c:pt>
                <c:pt idx="15">
                  <c:v>80</c:v>
                </c:pt>
                <c:pt idx="16">
                  <c:v>80</c:v>
                </c:pt>
                <c:pt idx="17">
                  <c:v>80</c:v>
                </c:pt>
                <c:pt idx="18">
                  <c:v>80</c:v>
                </c:pt>
                <c:pt idx="19">
                  <c:v>80</c:v>
                </c:pt>
                <c:pt idx="20">
                  <c:v>80</c:v>
                </c:pt>
              </c:numCache>
            </c:numRef>
          </c:val>
          <c:smooth val="0"/>
          <c:extLst>
            <c:ext xmlns:c16="http://schemas.microsoft.com/office/drawing/2014/chart" uri="{C3380CC4-5D6E-409C-BE32-E72D297353CC}">
              <c16:uniqueId val="{00000004-4985-4051-AA07-A697DD7E6B48}"/>
            </c:ext>
          </c:extLst>
        </c:ser>
        <c:ser>
          <c:idx val="5"/>
          <c:order val="5"/>
          <c:tx>
            <c:strRef>
              <c:f>'6. Summary Tracking Sheet'!$BF$3</c:f>
              <c:strCache>
                <c:ptCount val="1"/>
                <c:pt idx="0">
                  <c:v>ReadyForPower_AC(SUM)</c:v>
                </c:pt>
              </c:strCache>
            </c:strRef>
          </c:tx>
          <c:spPr>
            <a:ln w="22225" cap="rnd">
              <a:solidFill>
                <a:schemeClr val="accent6"/>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dk1">
                          <a:lumMod val="35000"/>
                          <a:lumOff val="65000"/>
                        </a:schemeClr>
                      </a:solidFill>
                      <a:round/>
                    </a:ln>
                    <a:effectLst/>
                  </c:spPr>
                </c15:leaderLines>
              </c:ext>
            </c:extLst>
          </c:dLbls>
          <c:cat>
            <c:numRef>
              <c:extLst>
                <c:ext xmlns:c15="http://schemas.microsoft.com/office/drawing/2012/chart" uri="{02D57815-91ED-43cb-92C2-25804820EDAC}">
                  <c15:fullRef>
                    <c15:sqref>'6. Summary Tracking Sheet'!$B$4:$B$43</c15:sqref>
                  </c15:fullRef>
                </c:ext>
              </c:extLst>
              <c:f>'6. Summary Tracking Sheet'!$B$23:$B$43</c:f>
              <c:numCache>
                <c:formatCode>General</c:formatCode>
                <c:ptCount val="21"/>
                <c:pt idx="0">
                  <c:v>20</c:v>
                </c:pt>
                <c:pt idx="1">
                  <c:v>21</c:v>
                </c:pt>
                <c:pt idx="2">
                  <c:v>22</c:v>
                </c:pt>
                <c:pt idx="3">
                  <c:v>23</c:v>
                </c:pt>
                <c:pt idx="4">
                  <c:v>24</c:v>
                </c:pt>
                <c:pt idx="5">
                  <c:v>25</c:v>
                </c:pt>
                <c:pt idx="6">
                  <c:v>26</c:v>
                </c:pt>
                <c:pt idx="7">
                  <c:v>27</c:v>
                </c:pt>
                <c:pt idx="8">
                  <c:v>28</c:v>
                </c:pt>
                <c:pt idx="9">
                  <c:v>29</c:v>
                </c:pt>
                <c:pt idx="10">
                  <c:v>30</c:v>
                </c:pt>
                <c:pt idx="11">
                  <c:v>31</c:v>
                </c:pt>
                <c:pt idx="12">
                  <c:v>32</c:v>
                </c:pt>
                <c:pt idx="13">
                  <c:v>33</c:v>
                </c:pt>
                <c:pt idx="14">
                  <c:v>34</c:v>
                </c:pt>
                <c:pt idx="15">
                  <c:v>35</c:v>
                </c:pt>
                <c:pt idx="16">
                  <c:v>36</c:v>
                </c:pt>
                <c:pt idx="17">
                  <c:v>37</c:v>
                </c:pt>
                <c:pt idx="18">
                  <c:v>38</c:v>
                </c:pt>
                <c:pt idx="19">
                  <c:v>39</c:v>
                </c:pt>
                <c:pt idx="20">
                  <c:v>40</c:v>
                </c:pt>
              </c:numCache>
            </c:numRef>
          </c:cat>
          <c:val>
            <c:numRef>
              <c:extLst>
                <c:ext xmlns:c15="http://schemas.microsoft.com/office/drawing/2012/chart" uri="{02D57815-91ED-43cb-92C2-25804820EDAC}">
                  <c15:fullRef>
                    <c15:sqref>'6. Summary Tracking Sheet'!$BF$4:$BF$124</c15:sqref>
                  </c15:fullRef>
                </c:ext>
              </c:extLst>
              <c:f>'6. Summary Tracking Sheet'!$BF$23:$BF$43</c:f>
              <c:numCache>
                <c:formatCode>0;\-0;\-;@</c:formatCode>
                <c:ptCount val="21"/>
                <c:pt idx="0">
                  <c:v>0</c:v>
                </c:pt>
                <c:pt idx="1">
                  <c:v>0</c:v>
                </c:pt>
                <c:pt idx="2">
                  <c:v>0</c:v>
                </c:pt>
                <c:pt idx="3">
                  <c:v>0</c:v>
                </c:pt>
                <c:pt idx="4">
                  <c:v>0</c:v>
                </c:pt>
                <c:pt idx="5">
                  <c:v>1</c:v>
                </c:pt>
                <c:pt idx="6">
                  <c:v>6</c:v>
                </c:pt>
                <c:pt idx="7">
                  <c:v>10</c:v>
                </c:pt>
                <c:pt idx="8">
                  <c:v>22</c:v>
                </c:pt>
                <c:pt idx="9">
                  <c:v>35</c:v>
                </c:pt>
                <c:pt idx="10">
                  <c:v>52</c:v>
                </c:pt>
                <c:pt idx="11">
                  <c:v>67</c:v>
                </c:pt>
                <c:pt idx="12">
                  <c:v>70</c:v>
                </c:pt>
                <c:pt idx="13">
                  <c:v>70</c:v>
                </c:pt>
                <c:pt idx="14">
                  <c:v>70</c:v>
                </c:pt>
                <c:pt idx="15">
                  <c:v>70</c:v>
                </c:pt>
                <c:pt idx="16">
                  <c:v>70</c:v>
                </c:pt>
                <c:pt idx="17">
                  <c:v>70</c:v>
                </c:pt>
                <c:pt idx="18">
                  <c:v>70</c:v>
                </c:pt>
                <c:pt idx="19">
                  <c:v>70</c:v>
                </c:pt>
                <c:pt idx="20">
                  <c:v>70</c:v>
                </c:pt>
              </c:numCache>
            </c:numRef>
          </c:val>
          <c:smooth val="0"/>
          <c:extLst>
            <c:ext xmlns:c16="http://schemas.microsoft.com/office/drawing/2014/chart" uri="{C3380CC4-5D6E-409C-BE32-E72D297353CC}">
              <c16:uniqueId val="{00000005-4985-4051-AA07-A697DD7E6B48}"/>
            </c:ext>
          </c:extLst>
        </c:ser>
        <c:ser>
          <c:idx val="6"/>
          <c:order val="6"/>
          <c:tx>
            <c:strRef>
              <c:f>'6. Summary Tracking Sheet'!$BP$3</c:f>
              <c:strCache>
                <c:ptCount val="1"/>
                <c:pt idx="0">
                  <c:v>TXReady_AC(SUM)</c:v>
                </c:pt>
              </c:strCache>
            </c:strRef>
          </c:tx>
          <c:spPr>
            <a:ln w="22225" cap="rnd">
              <a:solidFill>
                <a:schemeClr val="accent1">
                  <a:lumMod val="60000"/>
                </a:schemeClr>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dk1">
                          <a:lumMod val="35000"/>
                          <a:lumOff val="65000"/>
                        </a:schemeClr>
                      </a:solidFill>
                      <a:round/>
                    </a:ln>
                    <a:effectLst/>
                  </c:spPr>
                </c15:leaderLines>
              </c:ext>
            </c:extLst>
          </c:dLbls>
          <c:cat>
            <c:numRef>
              <c:extLst>
                <c:ext xmlns:c15="http://schemas.microsoft.com/office/drawing/2012/chart" uri="{02D57815-91ED-43cb-92C2-25804820EDAC}">
                  <c15:fullRef>
                    <c15:sqref>'6. Summary Tracking Sheet'!$B$4:$B$43</c15:sqref>
                  </c15:fullRef>
                </c:ext>
              </c:extLst>
              <c:f>'6. Summary Tracking Sheet'!$B$23:$B$43</c:f>
              <c:numCache>
                <c:formatCode>General</c:formatCode>
                <c:ptCount val="21"/>
                <c:pt idx="0">
                  <c:v>20</c:v>
                </c:pt>
                <c:pt idx="1">
                  <c:v>21</c:v>
                </c:pt>
                <c:pt idx="2">
                  <c:v>22</c:v>
                </c:pt>
                <c:pt idx="3">
                  <c:v>23</c:v>
                </c:pt>
                <c:pt idx="4">
                  <c:v>24</c:v>
                </c:pt>
                <c:pt idx="5">
                  <c:v>25</c:v>
                </c:pt>
                <c:pt idx="6">
                  <c:v>26</c:v>
                </c:pt>
                <c:pt idx="7">
                  <c:v>27</c:v>
                </c:pt>
                <c:pt idx="8">
                  <c:v>28</c:v>
                </c:pt>
                <c:pt idx="9">
                  <c:v>29</c:v>
                </c:pt>
                <c:pt idx="10">
                  <c:v>30</c:v>
                </c:pt>
                <c:pt idx="11">
                  <c:v>31</c:v>
                </c:pt>
                <c:pt idx="12">
                  <c:v>32</c:v>
                </c:pt>
                <c:pt idx="13">
                  <c:v>33</c:v>
                </c:pt>
                <c:pt idx="14">
                  <c:v>34</c:v>
                </c:pt>
                <c:pt idx="15">
                  <c:v>35</c:v>
                </c:pt>
                <c:pt idx="16">
                  <c:v>36</c:v>
                </c:pt>
                <c:pt idx="17">
                  <c:v>37</c:v>
                </c:pt>
                <c:pt idx="18">
                  <c:v>38</c:v>
                </c:pt>
                <c:pt idx="19">
                  <c:v>39</c:v>
                </c:pt>
                <c:pt idx="20">
                  <c:v>40</c:v>
                </c:pt>
              </c:numCache>
            </c:numRef>
          </c:cat>
          <c:val>
            <c:numRef>
              <c:extLst>
                <c:ext xmlns:c15="http://schemas.microsoft.com/office/drawing/2012/chart" uri="{02D57815-91ED-43cb-92C2-25804820EDAC}">
                  <c15:fullRef>
                    <c15:sqref>'6. Summary Tracking Sheet'!$BP$4:$BP$124</c15:sqref>
                  </c15:fullRef>
                </c:ext>
              </c:extLst>
              <c:f>'6. Summary Tracking Sheet'!$BP$23:$BP$43</c:f>
              <c:numCache>
                <c:formatCode>0;\-0;\-;@</c:formatCode>
                <c:ptCount val="21"/>
                <c:pt idx="0">
                  <c:v>0</c:v>
                </c:pt>
                <c:pt idx="1">
                  <c:v>0</c:v>
                </c:pt>
                <c:pt idx="2">
                  <c:v>0</c:v>
                </c:pt>
                <c:pt idx="3">
                  <c:v>0</c:v>
                </c:pt>
                <c:pt idx="4">
                  <c:v>0</c:v>
                </c:pt>
                <c:pt idx="5">
                  <c:v>0</c:v>
                </c:pt>
                <c:pt idx="6">
                  <c:v>1</c:v>
                </c:pt>
                <c:pt idx="7">
                  <c:v>4</c:v>
                </c:pt>
                <c:pt idx="8">
                  <c:v>15</c:v>
                </c:pt>
                <c:pt idx="9">
                  <c:v>25</c:v>
                </c:pt>
                <c:pt idx="10">
                  <c:v>38</c:v>
                </c:pt>
                <c:pt idx="11">
                  <c:v>54</c:v>
                </c:pt>
                <c:pt idx="12">
                  <c:v>59</c:v>
                </c:pt>
                <c:pt idx="13">
                  <c:v>60</c:v>
                </c:pt>
                <c:pt idx="14">
                  <c:v>60</c:v>
                </c:pt>
                <c:pt idx="15">
                  <c:v>60</c:v>
                </c:pt>
                <c:pt idx="16">
                  <c:v>60</c:v>
                </c:pt>
                <c:pt idx="17">
                  <c:v>60</c:v>
                </c:pt>
                <c:pt idx="18">
                  <c:v>60</c:v>
                </c:pt>
                <c:pt idx="19">
                  <c:v>60</c:v>
                </c:pt>
                <c:pt idx="20">
                  <c:v>60</c:v>
                </c:pt>
              </c:numCache>
            </c:numRef>
          </c:val>
          <c:smooth val="0"/>
          <c:extLst>
            <c:ext xmlns:c16="http://schemas.microsoft.com/office/drawing/2014/chart" uri="{C3380CC4-5D6E-409C-BE32-E72D297353CC}">
              <c16:uniqueId val="{00000006-4985-4051-AA07-A697DD7E6B48}"/>
            </c:ext>
          </c:extLst>
        </c:ser>
        <c:ser>
          <c:idx val="7"/>
          <c:order val="7"/>
          <c:tx>
            <c:strRef>
              <c:f>'6. Summary Tracking Sheet'!$BZ$3</c:f>
              <c:strCache>
                <c:ptCount val="1"/>
                <c:pt idx="0">
                  <c:v>ReadyForInstallation_AC(SUM)</c:v>
                </c:pt>
              </c:strCache>
            </c:strRef>
          </c:tx>
          <c:spPr>
            <a:ln w="22225" cap="rnd">
              <a:solidFill>
                <a:schemeClr val="accent2">
                  <a:lumMod val="60000"/>
                </a:schemeClr>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dk1">
                          <a:lumMod val="35000"/>
                          <a:lumOff val="65000"/>
                        </a:schemeClr>
                      </a:solidFill>
                      <a:round/>
                    </a:ln>
                    <a:effectLst/>
                  </c:spPr>
                </c15:leaderLines>
              </c:ext>
            </c:extLst>
          </c:dLbls>
          <c:cat>
            <c:numRef>
              <c:extLst>
                <c:ext xmlns:c15="http://schemas.microsoft.com/office/drawing/2012/chart" uri="{02D57815-91ED-43cb-92C2-25804820EDAC}">
                  <c15:fullRef>
                    <c15:sqref>'6. Summary Tracking Sheet'!$B$4:$B$43</c15:sqref>
                  </c15:fullRef>
                </c:ext>
              </c:extLst>
              <c:f>'6. Summary Tracking Sheet'!$B$23:$B$43</c:f>
              <c:numCache>
                <c:formatCode>General</c:formatCode>
                <c:ptCount val="21"/>
                <c:pt idx="0">
                  <c:v>20</c:v>
                </c:pt>
                <c:pt idx="1">
                  <c:v>21</c:v>
                </c:pt>
                <c:pt idx="2">
                  <c:v>22</c:v>
                </c:pt>
                <c:pt idx="3">
                  <c:v>23</c:v>
                </c:pt>
                <c:pt idx="4">
                  <c:v>24</c:v>
                </c:pt>
                <c:pt idx="5">
                  <c:v>25</c:v>
                </c:pt>
                <c:pt idx="6">
                  <c:v>26</c:v>
                </c:pt>
                <c:pt idx="7">
                  <c:v>27</c:v>
                </c:pt>
                <c:pt idx="8">
                  <c:v>28</c:v>
                </c:pt>
                <c:pt idx="9">
                  <c:v>29</c:v>
                </c:pt>
                <c:pt idx="10">
                  <c:v>30</c:v>
                </c:pt>
                <c:pt idx="11">
                  <c:v>31</c:v>
                </c:pt>
                <c:pt idx="12">
                  <c:v>32</c:v>
                </c:pt>
                <c:pt idx="13">
                  <c:v>33</c:v>
                </c:pt>
                <c:pt idx="14">
                  <c:v>34</c:v>
                </c:pt>
                <c:pt idx="15">
                  <c:v>35</c:v>
                </c:pt>
                <c:pt idx="16">
                  <c:v>36</c:v>
                </c:pt>
                <c:pt idx="17">
                  <c:v>37</c:v>
                </c:pt>
                <c:pt idx="18">
                  <c:v>38</c:v>
                </c:pt>
                <c:pt idx="19">
                  <c:v>39</c:v>
                </c:pt>
                <c:pt idx="20">
                  <c:v>40</c:v>
                </c:pt>
              </c:numCache>
            </c:numRef>
          </c:cat>
          <c:val>
            <c:numRef>
              <c:extLst>
                <c:ext xmlns:c15="http://schemas.microsoft.com/office/drawing/2012/chart" uri="{02D57815-91ED-43cb-92C2-25804820EDAC}">
                  <c15:fullRef>
                    <c15:sqref>'6. Summary Tracking Sheet'!$BZ$4:$BZ$124</c15:sqref>
                  </c15:fullRef>
                </c:ext>
              </c:extLst>
              <c:f>'6. Summary Tracking Sheet'!$BZ$23:$BZ$43</c:f>
              <c:numCache>
                <c:formatCode>0;\-0;\-;@</c:formatCode>
                <c:ptCount val="21"/>
                <c:pt idx="0">
                  <c:v>0</c:v>
                </c:pt>
                <c:pt idx="1">
                  <c:v>0</c:v>
                </c:pt>
                <c:pt idx="2">
                  <c:v>0</c:v>
                </c:pt>
                <c:pt idx="3">
                  <c:v>0</c:v>
                </c:pt>
                <c:pt idx="4">
                  <c:v>0</c:v>
                </c:pt>
                <c:pt idx="5">
                  <c:v>0</c:v>
                </c:pt>
                <c:pt idx="6">
                  <c:v>0</c:v>
                </c:pt>
                <c:pt idx="7">
                  <c:v>1</c:v>
                </c:pt>
                <c:pt idx="8">
                  <c:v>5</c:v>
                </c:pt>
                <c:pt idx="9">
                  <c:v>12</c:v>
                </c:pt>
                <c:pt idx="10">
                  <c:v>24</c:v>
                </c:pt>
                <c:pt idx="11">
                  <c:v>38</c:v>
                </c:pt>
                <c:pt idx="12">
                  <c:v>49</c:v>
                </c:pt>
                <c:pt idx="13">
                  <c:v>51</c:v>
                </c:pt>
                <c:pt idx="14">
                  <c:v>51</c:v>
                </c:pt>
                <c:pt idx="15">
                  <c:v>51</c:v>
                </c:pt>
                <c:pt idx="16">
                  <c:v>51</c:v>
                </c:pt>
                <c:pt idx="17">
                  <c:v>51</c:v>
                </c:pt>
                <c:pt idx="18">
                  <c:v>51</c:v>
                </c:pt>
                <c:pt idx="19">
                  <c:v>51</c:v>
                </c:pt>
                <c:pt idx="20">
                  <c:v>51</c:v>
                </c:pt>
              </c:numCache>
            </c:numRef>
          </c:val>
          <c:smooth val="0"/>
          <c:extLst>
            <c:ext xmlns:c16="http://schemas.microsoft.com/office/drawing/2014/chart" uri="{C3380CC4-5D6E-409C-BE32-E72D297353CC}">
              <c16:uniqueId val="{00000007-4985-4051-AA07-A697DD7E6B48}"/>
            </c:ext>
          </c:extLst>
        </c:ser>
        <c:ser>
          <c:idx val="8"/>
          <c:order val="8"/>
          <c:tx>
            <c:strRef>
              <c:f>'6. Summary Tracking Sheet'!$CJ$3</c:f>
              <c:strCache>
                <c:ptCount val="1"/>
                <c:pt idx="0">
                  <c:v>ReadyForIntegration_AC(SUM)</c:v>
                </c:pt>
              </c:strCache>
            </c:strRef>
          </c:tx>
          <c:spPr>
            <a:ln w="22225" cap="rnd">
              <a:solidFill>
                <a:schemeClr val="accent3">
                  <a:lumMod val="60000"/>
                </a:schemeClr>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dk1">
                          <a:lumMod val="35000"/>
                          <a:lumOff val="65000"/>
                        </a:schemeClr>
                      </a:solidFill>
                      <a:round/>
                    </a:ln>
                    <a:effectLst/>
                  </c:spPr>
                </c15:leaderLines>
              </c:ext>
            </c:extLst>
          </c:dLbls>
          <c:cat>
            <c:numRef>
              <c:extLst>
                <c:ext xmlns:c15="http://schemas.microsoft.com/office/drawing/2012/chart" uri="{02D57815-91ED-43cb-92C2-25804820EDAC}">
                  <c15:fullRef>
                    <c15:sqref>'6. Summary Tracking Sheet'!$B$4:$B$43</c15:sqref>
                  </c15:fullRef>
                </c:ext>
              </c:extLst>
              <c:f>'6. Summary Tracking Sheet'!$B$23:$B$43</c:f>
              <c:numCache>
                <c:formatCode>General</c:formatCode>
                <c:ptCount val="21"/>
                <c:pt idx="0">
                  <c:v>20</c:v>
                </c:pt>
                <c:pt idx="1">
                  <c:v>21</c:v>
                </c:pt>
                <c:pt idx="2">
                  <c:v>22</c:v>
                </c:pt>
                <c:pt idx="3">
                  <c:v>23</c:v>
                </c:pt>
                <c:pt idx="4">
                  <c:v>24</c:v>
                </c:pt>
                <c:pt idx="5">
                  <c:v>25</c:v>
                </c:pt>
                <c:pt idx="6">
                  <c:v>26</c:v>
                </c:pt>
                <c:pt idx="7">
                  <c:v>27</c:v>
                </c:pt>
                <c:pt idx="8">
                  <c:v>28</c:v>
                </c:pt>
                <c:pt idx="9">
                  <c:v>29</c:v>
                </c:pt>
                <c:pt idx="10">
                  <c:v>30</c:v>
                </c:pt>
                <c:pt idx="11">
                  <c:v>31</c:v>
                </c:pt>
                <c:pt idx="12">
                  <c:v>32</c:v>
                </c:pt>
                <c:pt idx="13">
                  <c:v>33</c:v>
                </c:pt>
                <c:pt idx="14">
                  <c:v>34</c:v>
                </c:pt>
                <c:pt idx="15">
                  <c:v>35</c:v>
                </c:pt>
                <c:pt idx="16">
                  <c:v>36</c:v>
                </c:pt>
                <c:pt idx="17">
                  <c:v>37</c:v>
                </c:pt>
                <c:pt idx="18">
                  <c:v>38</c:v>
                </c:pt>
                <c:pt idx="19">
                  <c:v>39</c:v>
                </c:pt>
                <c:pt idx="20">
                  <c:v>40</c:v>
                </c:pt>
              </c:numCache>
            </c:numRef>
          </c:cat>
          <c:val>
            <c:numRef>
              <c:extLst>
                <c:ext xmlns:c15="http://schemas.microsoft.com/office/drawing/2012/chart" uri="{02D57815-91ED-43cb-92C2-25804820EDAC}">
                  <c15:fullRef>
                    <c15:sqref>'6. Summary Tracking Sheet'!$CJ$4:$CJ$124</c15:sqref>
                  </c15:fullRef>
                </c:ext>
              </c:extLst>
              <c:f>'6. Summary Tracking Sheet'!$CJ$23:$CJ$43</c:f>
              <c:numCache>
                <c:formatCode>0;\-0;\-;@</c:formatCode>
                <c:ptCount val="21"/>
                <c:pt idx="0">
                  <c:v>0</c:v>
                </c:pt>
                <c:pt idx="1">
                  <c:v>0</c:v>
                </c:pt>
                <c:pt idx="2">
                  <c:v>0</c:v>
                </c:pt>
                <c:pt idx="3">
                  <c:v>0</c:v>
                </c:pt>
                <c:pt idx="4">
                  <c:v>0</c:v>
                </c:pt>
                <c:pt idx="5">
                  <c:v>0</c:v>
                </c:pt>
                <c:pt idx="6">
                  <c:v>0</c:v>
                </c:pt>
                <c:pt idx="7">
                  <c:v>0</c:v>
                </c:pt>
                <c:pt idx="8">
                  <c:v>2</c:v>
                </c:pt>
                <c:pt idx="9">
                  <c:v>7</c:v>
                </c:pt>
                <c:pt idx="10">
                  <c:v>16</c:v>
                </c:pt>
                <c:pt idx="11">
                  <c:v>28</c:v>
                </c:pt>
                <c:pt idx="12">
                  <c:v>38</c:v>
                </c:pt>
                <c:pt idx="13">
                  <c:v>40</c:v>
                </c:pt>
                <c:pt idx="14">
                  <c:v>40</c:v>
                </c:pt>
                <c:pt idx="15">
                  <c:v>40</c:v>
                </c:pt>
                <c:pt idx="16">
                  <c:v>40</c:v>
                </c:pt>
                <c:pt idx="17">
                  <c:v>40</c:v>
                </c:pt>
                <c:pt idx="18">
                  <c:v>40</c:v>
                </c:pt>
                <c:pt idx="19">
                  <c:v>40</c:v>
                </c:pt>
                <c:pt idx="20">
                  <c:v>40</c:v>
                </c:pt>
              </c:numCache>
            </c:numRef>
          </c:val>
          <c:smooth val="0"/>
          <c:extLst>
            <c:ext xmlns:c16="http://schemas.microsoft.com/office/drawing/2014/chart" uri="{C3380CC4-5D6E-409C-BE32-E72D297353CC}">
              <c16:uniqueId val="{00000008-4985-4051-AA07-A697DD7E6B48}"/>
            </c:ext>
          </c:extLst>
        </c:ser>
        <c:ser>
          <c:idx val="9"/>
          <c:order val="9"/>
          <c:tx>
            <c:strRef>
              <c:f>'6. Summary Tracking Sheet'!$CT$3</c:f>
              <c:strCache>
                <c:ptCount val="1"/>
                <c:pt idx="0">
                  <c:v>SiteOnAir_AC(SUM)</c:v>
                </c:pt>
              </c:strCache>
            </c:strRef>
          </c:tx>
          <c:spPr>
            <a:ln w="22225" cap="rnd">
              <a:solidFill>
                <a:schemeClr val="accent4">
                  <a:lumMod val="60000"/>
                </a:schemeClr>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dk1">
                          <a:lumMod val="35000"/>
                          <a:lumOff val="65000"/>
                        </a:schemeClr>
                      </a:solidFill>
                      <a:round/>
                    </a:ln>
                    <a:effectLst/>
                  </c:spPr>
                </c15:leaderLines>
              </c:ext>
            </c:extLst>
          </c:dLbls>
          <c:cat>
            <c:numRef>
              <c:extLst>
                <c:ext xmlns:c15="http://schemas.microsoft.com/office/drawing/2012/chart" uri="{02D57815-91ED-43cb-92C2-25804820EDAC}">
                  <c15:fullRef>
                    <c15:sqref>'6. Summary Tracking Sheet'!$B$4:$B$43</c15:sqref>
                  </c15:fullRef>
                </c:ext>
              </c:extLst>
              <c:f>'6. Summary Tracking Sheet'!$B$23:$B$43</c:f>
              <c:numCache>
                <c:formatCode>General</c:formatCode>
                <c:ptCount val="21"/>
                <c:pt idx="0">
                  <c:v>20</c:v>
                </c:pt>
                <c:pt idx="1">
                  <c:v>21</c:v>
                </c:pt>
                <c:pt idx="2">
                  <c:v>22</c:v>
                </c:pt>
                <c:pt idx="3">
                  <c:v>23</c:v>
                </c:pt>
                <c:pt idx="4">
                  <c:v>24</c:v>
                </c:pt>
                <c:pt idx="5">
                  <c:v>25</c:v>
                </c:pt>
                <c:pt idx="6">
                  <c:v>26</c:v>
                </c:pt>
                <c:pt idx="7">
                  <c:v>27</c:v>
                </c:pt>
                <c:pt idx="8">
                  <c:v>28</c:v>
                </c:pt>
                <c:pt idx="9">
                  <c:v>29</c:v>
                </c:pt>
                <c:pt idx="10">
                  <c:v>30</c:v>
                </c:pt>
                <c:pt idx="11">
                  <c:v>31</c:v>
                </c:pt>
                <c:pt idx="12">
                  <c:v>32</c:v>
                </c:pt>
                <c:pt idx="13">
                  <c:v>33</c:v>
                </c:pt>
                <c:pt idx="14">
                  <c:v>34</c:v>
                </c:pt>
                <c:pt idx="15">
                  <c:v>35</c:v>
                </c:pt>
                <c:pt idx="16">
                  <c:v>36</c:v>
                </c:pt>
                <c:pt idx="17">
                  <c:v>37</c:v>
                </c:pt>
                <c:pt idx="18">
                  <c:v>38</c:v>
                </c:pt>
                <c:pt idx="19">
                  <c:v>39</c:v>
                </c:pt>
                <c:pt idx="20">
                  <c:v>40</c:v>
                </c:pt>
              </c:numCache>
            </c:numRef>
          </c:cat>
          <c:val>
            <c:numRef>
              <c:extLst>
                <c:ext xmlns:c15="http://schemas.microsoft.com/office/drawing/2012/chart" uri="{02D57815-91ED-43cb-92C2-25804820EDAC}">
                  <c15:fullRef>
                    <c15:sqref>'6. Summary Tracking Sheet'!$CT$4:$CT$124</c15:sqref>
                  </c15:fullRef>
                </c:ext>
              </c:extLst>
              <c:f>'6. Summary Tracking Sheet'!$CT$23:$CT$43</c:f>
              <c:numCache>
                <c:formatCode>0;\-0;\-;@</c:formatCode>
                <c:ptCount val="21"/>
                <c:pt idx="0">
                  <c:v>0</c:v>
                </c:pt>
                <c:pt idx="1">
                  <c:v>0</c:v>
                </c:pt>
                <c:pt idx="2">
                  <c:v>0</c:v>
                </c:pt>
                <c:pt idx="3">
                  <c:v>0</c:v>
                </c:pt>
                <c:pt idx="4">
                  <c:v>0</c:v>
                </c:pt>
                <c:pt idx="5">
                  <c:v>0</c:v>
                </c:pt>
                <c:pt idx="6">
                  <c:v>0</c:v>
                </c:pt>
                <c:pt idx="7">
                  <c:v>0</c:v>
                </c:pt>
                <c:pt idx="8">
                  <c:v>1</c:v>
                </c:pt>
                <c:pt idx="9">
                  <c:v>6</c:v>
                </c:pt>
                <c:pt idx="10">
                  <c:v>10</c:v>
                </c:pt>
                <c:pt idx="11">
                  <c:v>21</c:v>
                </c:pt>
                <c:pt idx="12">
                  <c:v>28</c:v>
                </c:pt>
                <c:pt idx="13">
                  <c:v>30</c:v>
                </c:pt>
                <c:pt idx="14">
                  <c:v>30</c:v>
                </c:pt>
                <c:pt idx="15">
                  <c:v>30</c:v>
                </c:pt>
                <c:pt idx="16">
                  <c:v>30</c:v>
                </c:pt>
                <c:pt idx="17">
                  <c:v>30</c:v>
                </c:pt>
                <c:pt idx="18">
                  <c:v>30</c:v>
                </c:pt>
                <c:pt idx="19">
                  <c:v>30</c:v>
                </c:pt>
                <c:pt idx="20">
                  <c:v>30</c:v>
                </c:pt>
              </c:numCache>
            </c:numRef>
          </c:val>
          <c:smooth val="0"/>
          <c:extLst>
            <c:ext xmlns:c16="http://schemas.microsoft.com/office/drawing/2014/chart" uri="{C3380CC4-5D6E-409C-BE32-E72D297353CC}">
              <c16:uniqueId val="{00000009-4985-4051-AA07-A697DD7E6B48}"/>
            </c:ext>
          </c:extLst>
        </c:ser>
        <c:ser>
          <c:idx val="10"/>
          <c:order val="10"/>
          <c:tx>
            <c:strRef>
              <c:f>'6. Summary Tracking Sheet'!$DD$3</c:f>
              <c:strCache>
                <c:ptCount val="1"/>
                <c:pt idx="0">
                  <c:v>SiteAccepted_AC(SUM)</c:v>
                </c:pt>
              </c:strCache>
            </c:strRef>
          </c:tx>
          <c:spPr>
            <a:ln w="22225" cap="rnd">
              <a:solidFill>
                <a:schemeClr val="accent5">
                  <a:lumMod val="60000"/>
                </a:schemeClr>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dk1">
                          <a:lumMod val="35000"/>
                          <a:lumOff val="65000"/>
                        </a:schemeClr>
                      </a:solidFill>
                      <a:round/>
                    </a:ln>
                    <a:effectLst/>
                  </c:spPr>
                </c15:leaderLines>
              </c:ext>
            </c:extLst>
          </c:dLbls>
          <c:cat>
            <c:numRef>
              <c:extLst>
                <c:ext xmlns:c15="http://schemas.microsoft.com/office/drawing/2012/chart" uri="{02D57815-91ED-43cb-92C2-25804820EDAC}">
                  <c15:fullRef>
                    <c15:sqref>'6. Summary Tracking Sheet'!$B$4:$B$43</c15:sqref>
                  </c15:fullRef>
                </c:ext>
              </c:extLst>
              <c:f>'6. Summary Tracking Sheet'!$B$23:$B$43</c:f>
              <c:numCache>
                <c:formatCode>General</c:formatCode>
                <c:ptCount val="21"/>
                <c:pt idx="0">
                  <c:v>20</c:v>
                </c:pt>
                <c:pt idx="1">
                  <c:v>21</c:v>
                </c:pt>
                <c:pt idx="2">
                  <c:v>22</c:v>
                </c:pt>
                <c:pt idx="3">
                  <c:v>23</c:v>
                </c:pt>
                <c:pt idx="4">
                  <c:v>24</c:v>
                </c:pt>
                <c:pt idx="5">
                  <c:v>25</c:v>
                </c:pt>
                <c:pt idx="6">
                  <c:v>26</c:v>
                </c:pt>
                <c:pt idx="7">
                  <c:v>27</c:v>
                </c:pt>
                <c:pt idx="8">
                  <c:v>28</c:v>
                </c:pt>
                <c:pt idx="9">
                  <c:v>29</c:v>
                </c:pt>
                <c:pt idx="10">
                  <c:v>30</c:v>
                </c:pt>
                <c:pt idx="11">
                  <c:v>31</c:v>
                </c:pt>
                <c:pt idx="12">
                  <c:v>32</c:v>
                </c:pt>
                <c:pt idx="13">
                  <c:v>33</c:v>
                </c:pt>
                <c:pt idx="14">
                  <c:v>34</c:v>
                </c:pt>
                <c:pt idx="15">
                  <c:v>35</c:v>
                </c:pt>
                <c:pt idx="16">
                  <c:v>36</c:v>
                </c:pt>
                <c:pt idx="17">
                  <c:v>37</c:v>
                </c:pt>
                <c:pt idx="18">
                  <c:v>38</c:v>
                </c:pt>
                <c:pt idx="19">
                  <c:v>39</c:v>
                </c:pt>
                <c:pt idx="20">
                  <c:v>40</c:v>
                </c:pt>
              </c:numCache>
            </c:numRef>
          </c:cat>
          <c:val>
            <c:numRef>
              <c:extLst>
                <c:ext xmlns:c15="http://schemas.microsoft.com/office/drawing/2012/chart" uri="{02D57815-91ED-43cb-92C2-25804820EDAC}">
                  <c15:fullRef>
                    <c15:sqref>'6. Summary Tracking Sheet'!$DD$4:$DD$124</c15:sqref>
                  </c15:fullRef>
                </c:ext>
              </c:extLst>
              <c:f>'6. Summary Tracking Sheet'!$DD$23:$DD$43</c:f>
              <c:numCache>
                <c:formatCode>0;\-0;\-;@</c:formatCode>
                <c:ptCount val="21"/>
                <c:pt idx="0">
                  <c:v>0</c:v>
                </c:pt>
                <c:pt idx="1">
                  <c:v>0</c:v>
                </c:pt>
                <c:pt idx="2">
                  <c:v>0</c:v>
                </c:pt>
                <c:pt idx="3">
                  <c:v>0</c:v>
                </c:pt>
                <c:pt idx="4">
                  <c:v>0</c:v>
                </c:pt>
                <c:pt idx="5">
                  <c:v>0</c:v>
                </c:pt>
                <c:pt idx="6">
                  <c:v>0</c:v>
                </c:pt>
                <c:pt idx="7">
                  <c:v>0</c:v>
                </c:pt>
                <c:pt idx="8">
                  <c:v>0</c:v>
                </c:pt>
                <c:pt idx="9">
                  <c:v>2</c:v>
                </c:pt>
                <c:pt idx="10">
                  <c:v>5</c:v>
                </c:pt>
                <c:pt idx="11">
                  <c:v>15</c:v>
                </c:pt>
                <c:pt idx="12">
                  <c:v>19</c:v>
                </c:pt>
                <c:pt idx="13">
                  <c:v>20</c:v>
                </c:pt>
                <c:pt idx="14">
                  <c:v>20</c:v>
                </c:pt>
                <c:pt idx="15">
                  <c:v>20</c:v>
                </c:pt>
                <c:pt idx="16">
                  <c:v>20</c:v>
                </c:pt>
                <c:pt idx="17">
                  <c:v>20</c:v>
                </c:pt>
                <c:pt idx="18">
                  <c:v>20</c:v>
                </c:pt>
                <c:pt idx="19">
                  <c:v>20</c:v>
                </c:pt>
                <c:pt idx="20">
                  <c:v>20</c:v>
                </c:pt>
              </c:numCache>
            </c:numRef>
          </c:val>
          <c:smooth val="0"/>
          <c:extLst>
            <c:ext xmlns:c16="http://schemas.microsoft.com/office/drawing/2014/chart" uri="{C3380CC4-5D6E-409C-BE32-E72D297353CC}">
              <c16:uniqueId val="{0000000A-4985-4051-AA07-A697DD7E6B48}"/>
            </c:ext>
          </c:extLst>
        </c:ser>
        <c:ser>
          <c:idx val="11"/>
          <c:order val="11"/>
          <c:tx>
            <c:strRef>
              <c:f>'6. Summary Tracking Sheet'!$DN$3</c:f>
              <c:strCache>
                <c:ptCount val="1"/>
                <c:pt idx="0">
                  <c:v>SiteInOperations_AC(SUM)</c:v>
                </c:pt>
              </c:strCache>
            </c:strRef>
          </c:tx>
          <c:spPr>
            <a:ln w="22225" cap="rnd">
              <a:solidFill>
                <a:schemeClr val="accent6">
                  <a:lumMod val="60000"/>
                </a:schemeClr>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dk1">
                          <a:lumMod val="35000"/>
                          <a:lumOff val="65000"/>
                        </a:schemeClr>
                      </a:solidFill>
                      <a:round/>
                    </a:ln>
                    <a:effectLst/>
                  </c:spPr>
                </c15:leaderLines>
              </c:ext>
            </c:extLst>
          </c:dLbls>
          <c:cat>
            <c:numRef>
              <c:extLst>
                <c:ext xmlns:c15="http://schemas.microsoft.com/office/drawing/2012/chart" uri="{02D57815-91ED-43cb-92C2-25804820EDAC}">
                  <c15:fullRef>
                    <c15:sqref>'6. Summary Tracking Sheet'!$B$4:$B$43</c15:sqref>
                  </c15:fullRef>
                </c:ext>
              </c:extLst>
              <c:f>'6. Summary Tracking Sheet'!$B$23:$B$43</c:f>
              <c:numCache>
                <c:formatCode>General</c:formatCode>
                <c:ptCount val="21"/>
                <c:pt idx="0">
                  <c:v>20</c:v>
                </c:pt>
                <c:pt idx="1">
                  <c:v>21</c:v>
                </c:pt>
                <c:pt idx="2">
                  <c:v>22</c:v>
                </c:pt>
                <c:pt idx="3">
                  <c:v>23</c:v>
                </c:pt>
                <c:pt idx="4">
                  <c:v>24</c:v>
                </c:pt>
                <c:pt idx="5">
                  <c:v>25</c:v>
                </c:pt>
                <c:pt idx="6">
                  <c:v>26</c:v>
                </c:pt>
                <c:pt idx="7">
                  <c:v>27</c:v>
                </c:pt>
                <c:pt idx="8">
                  <c:v>28</c:v>
                </c:pt>
                <c:pt idx="9">
                  <c:v>29</c:v>
                </c:pt>
                <c:pt idx="10">
                  <c:v>30</c:v>
                </c:pt>
                <c:pt idx="11">
                  <c:v>31</c:v>
                </c:pt>
                <c:pt idx="12">
                  <c:v>32</c:v>
                </c:pt>
                <c:pt idx="13">
                  <c:v>33</c:v>
                </c:pt>
                <c:pt idx="14">
                  <c:v>34</c:v>
                </c:pt>
                <c:pt idx="15">
                  <c:v>35</c:v>
                </c:pt>
                <c:pt idx="16">
                  <c:v>36</c:v>
                </c:pt>
                <c:pt idx="17">
                  <c:v>37</c:v>
                </c:pt>
                <c:pt idx="18">
                  <c:v>38</c:v>
                </c:pt>
                <c:pt idx="19">
                  <c:v>39</c:v>
                </c:pt>
                <c:pt idx="20">
                  <c:v>40</c:v>
                </c:pt>
              </c:numCache>
            </c:numRef>
          </c:cat>
          <c:val>
            <c:numRef>
              <c:extLst>
                <c:ext xmlns:c15="http://schemas.microsoft.com/office/drawing/2012/chart" uri="{02D57815-91ED-43cb-92C2-25804820EDAC}">
                  <c15:fullRef>
                    <c15:sqref>'6. Summary Tracking Sheet'!$DN$4:$DN$124</c15:sqref>
                  </c15:fullRef>
                </c:ext>
              </c:extLst>
              <c:f>'6. Summary Tracking Sheet'!$DN$23:$DN$43</c:f>
              <c:numCache>
                <c:formatCode>0;\-0;\-;@</c:formatCode>
                <c:ptCount val="21"/>
                <c:pt idx="0">
                  <c:v>0</c:v>
                </c:pt>
                <c:pt idx="1">
                  <c:v>0</c:v>
                </c:pt>
                <c:pt idx="2">
                  <c:v>0</c:v>
                </c:pt>
                <c:pt idx="3">
                  <c:v>0</c:v>
                </c:pt>
                <c:pt idx="4">
                  <c:v>0</c:v>
                </c:pt>
                <c:pt idx="5">
                  <c:v>0</c:v>
                </c:pt>
                <c:pt idx="6">
                  <c:v>0</c:v>
                </c:pt>
                <c:pt idx="7">
                  <c:v>0</c:v>
                </c:pt>
                <c:pt idx="8">
                  <c:v>0</c:v>
                </c:pt>
                <c:pt idx="9">
                  <c:v>0</c:v>
                </c:pt>
                <c:pt idx="10">
                  <c:v>1</c:v>
                </c:pt>
                <c:pt idx="11">
                  <c:v>3</c:v>
                </c:pt>
                <c:pt idx="12">
                  <c:v>7</c:v>
                </c:pt>
                <c:pt idx="13">
                  <c:v>9</c:v>
                </c:pt>
                <c:pt idx="14">
                  <c:v>10</c:v>
                </c:pt>
                <c:pt idx="15">
                  <c:v>10</c:v>
                </c:pt>
                <c:pt idx="16">
                  <c:v>10</c:v>
                </c:pt>
                <c:pt idx="17">
                  <c:v>10</c:v>
                </c:pt>
                <c:pt idx="18">
                  <c:v>10</c:v>
                </c:pt>
                <c:pt idx="19">
                  <c:v>10</c:v>
                </c:pt>
                <c:pt idx="20">
                  <c:v>10</c:v>
                </c:pt>
              </c:numCache>
            </c:numRef>
          </c:val>
          <c:smooth val="0"/>
          <c:extLst>
            <c:ext xmlns:c16="http://schemas.microsoft.com/office/drawing/2014/chart" uri="{C3380CC4-5D6E-409C-BE32-E72D297353CC}">
              <c16:uniqueId val="{0000000B-4985-4051-AA07-A697DD7E6B48}"/>
            </c:ext>
          </c:extLst>
        </c:ser>
        <c:dLbls>
          <c:dLblPos val="t"/>
          <c:showLegendKey val="0"/>
          <c:showVal val="1"/>
          <c:showCatName val="0"/>
          <c:showSerName val="0"/>
          <c:showPercent val="0"/>
          <c:showBubbleSize val="0"/>
        </c:dLbls>
        <c:smooth val="0"/>
        <c:axId val="550300207"/>
        <c:axId val="506817855"/>
        <c:extLst/>
      </c:lineChart>
      <c:catAx>
        <c:axId val="550300207"/>
        <c:scaling>
          <c:orientation val="minMax"/>
        </c:scaling>
        <c:delete val="0"/>
        <c:axPos val="b"/>
        <c:majorGridlines>
          <c:spPr>
            <a:ln w="9525" cap="flat" cmpd="sng" algn="ctr">
              <a:solidFill>
                <a:schemeClr val="dk1">
                  <a:lumMod val="15000"/>
                  <a:lumOff val="85000"/>
                  <a:alpha val="54000"/>
                </a:schemeClr>
              </a:solidFill>
              <a:round/>
            </a:ln>
            <a:effectLst/>
          </c:spPr>
        </c:majorGridlines>
        <c:minorGridlines>
          <c:spPr>
            <a:ln w="9525" cap="flat" cmpd="sng" algn="ctr">
              <a:solidFill>
                <a:schemeClr val="dk1">
                  <a:lumMod val="15000"/>
                  <a:lumOff val="85000"/>
                  <a:alpha val="51000"/>
                </a:schemeClr>
              </a:solidFill>
              <a:round/>
            </a:ln>
            <a:effectLst/>
          </c:spPr>
        </c:minorGridlines>
        <c:title>
          <c:tx>
            <c:rich>
              <a:bodyPr rot="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r>
                  <a:rPr lang="en-US"/>
                  <a:t>Week</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endParaRPr lang="en-US"/>
            </a:p>
          </c:txPr>
        </c:title>
        <c:numFmt formatCode="General" sourceLinked="0"/>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cap="none" spc="0" normalizeH="0" baseline="0">
                <a:solidFill>
                  <a:schemeClr val="dk1">
                    <a:lumMod val="65000"/>
                    <a:lumOff val="35000"/>
                  </a:schemeClr>
                </a:solidFill>
                <a:latin typeface="+mn-lt"/>
                <a:ea typeface="+mn-ea"/>
                <a:cs typeface="+mn-cs"/>
              </a:defRPr>
            </a:pPr>
            <a:endParaRPr lang="en-US"/>
          </a:p>
        </c:txPr>
        <c:crossAx val="506817855"/>
        <c:crosses val="autoZero"/>
        <c:auto val="1"/>
        <c:lblAlgn val="ctr"/>
        <c:lblOffset val="100"/>
        <c:noMultiLvlLbl val="0"/>
      </c:catAx>
      <c:valAx>
        <c:axId val="506817855"/>
        <c:scaling>
          <c:orientation val="minMax"/>
        </c:scaling>
        <c:delete val="0"/>
        <c:axPos val="l"/>
        <c:majorGridlines>
          <c:spPr>
            <a:ln w="9525" cap="flat" cmpd="sng" algn="ctr">
              <a:solidFill>
                <a:schemeClr val="dk1">
                  <a:lumMod val="15000"/>
                  <a:lumOff val="85000"/>
                  <a:alpha val="54000"/>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r>
                  <a:rPr lang="en-US"/>
                  <a:t>Sites</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endParaRPr lang="en-US"/>
            </a:p>
          </c:txPr>
        </c:title>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crossAx val="550300207"/>
        <c:crosses val="autoZero"/>
        <c:crossBetween val="between"/>
      </c:valAx>
      <c:spPr>
        <a:pattFill prst="ltDnDiag">
          <a:fgClr>
            <a:schemeClr val="dk1">
              <a:lumMod val="15000"/>
              <a:lumOff val="85000"/>
            </a:schemeClr>
          </a:fgClr>
          <a:bgClr>
            <a:schemeClr val="lt1"/>
          </a:bgClr>
        </a:patt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18"/>
          <c:order val="0"/>
          <c:tx>
            <c:strRef>
              <c:f>'6. Summary Tracking Sheet'!$F$3</c:f>
              <c:strCache>
                <c:ptCount val="1"/>
                <c:pt idx="0">
                  <c:v>SiteDesignStarted_BL(SUM)</c:v>
                </c:pt>
              </c:strCache>
            </c:strRef>
          </c:tx>
          <c:spPr>
            <a:ln w="22225" cap="rnd">
              <a:solidFill>
                <a:schemeClr val="accent1">
                  <a:lumMod val="80000"/>
                </a:schemeClr>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dk1">
                          <a:lumMod val="35000"/>
                          <a:lumOff val="65000"/>
                        </a:schemeClr>
                      </a:solidFill>
                      <a:round/>
                    </a:ln>
                    <a:effectLst/>
                  </c:spPr>
                </c15:leaderLines>
              </c:ext>
            </c:extLst>
          </c:dLbls>
          <c:cat>
            <c:strLit>
              <c:ptCount val="18"/>
              <c:pt idx="0">
                <c:v>20</c:v>
              </c:pt>
              <c:pt idx="1">
                <c:v>21</c:v>
              </c:pt>
              <c:pt idx="2">
                <c:v>22</c:v>
              </c:pt>
              <c:pt idx="3">
                <c:v>23</c:v>
              </c:pt>
              <c:pt idx="4">
                <c:v>24</c:v>
              </c:pt>
              <c:pt idx="5">
                <c:v>25</c:v>
              </c:pt>
              <c:pt idx="6">
                <c:v>26</c:v>
              </c:pt>
              <c:pt idx="7">
                <c:v>27</c:v>
              </c:pt>
              <c:pt idx="8">
                <c:v>28</c:v>
              </c:pt>
              <c:pt idx="9">
                <c:v>29</c:v>
              </c:pt>
              <c:pt idx="10">
                <c:v>30</c:v>
              </c:pt>
              <c:pt idx="11">
                <c:v>31</c:v>
              </c:pt>
              <c:pt idx="12">
                <c:v>32</c:v>
              </c:pt>
              <c:pt idx="13">
                <c:v>33</c:v>
              </c:pt>
              <c:pt idx="14">
                <c:v>34</c:v>
              </c:pt>
              <c:pt idx="15">
                <c:v>35</c:v>
              </c:pt>
              <c:pt idx="16">
                <c:v>36</c:v>
              </c:pt>
              <c:pt idx="17">
                <c:v>37</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'6. Summary Tracking Sheet'!$F$4:$F$44</c15:sqref>
                  </c15:fullRef>
                </c:ext>
              </c:extLst>
              <c:f>'6. Summary Tracking Sheet'!$F$23:$F$40</c:f>
              <c:numCache>
                <c:formatCode>0;\-0;\-;@</c:formatCode>
                <c:ptCount val="18"/>
                <c:pt idx="0">
                  <c:v>0</c:v>
                </c:pt>
                <c:pt idx="1">
                  <c:v>0</c:v>
                </c:pt>
                <c:pt idx="2">
                  <c:v>7</c:v>
                </c:pt>
                <c:pt idx="3">
                  <c:v>16</c:v>
                </c:pt>
                <c:pt idx="4">
                  <c:v>26</c:v>
                </c:pt>
                <c:pt idx="5">
                  <c:v>38</c:v>
                </c:pt>
                <c:pt idx="6">
                  <c:v>51</c:v>
                </c:pt>
                <c:pt idx="7">
                  <c:v>67</c:v>
                </c:pt>
                <c:pt idx="8">
                  <c:v>87</c:v>
                </c:pt>
                <c:pt idx="9">
                  <c:v>100</c:v>
                </c:pt>
                <c:pt idx="10">
                  <c:v>100</c:v>
                </c:pt>
                <c:pt idx="11">
                  <c:v>100</c:v>
                </c:pt>
                <c:pt idx="12">
                  <c:v>100</c:v>
                </c:pt>
                <c:pt idx="13">
                  <c:v>100</c:v>
                </c:pt>
                <c:pt idx="14">
                  <c:v>100</c:v>
                </c:pt>
                <c:pt idx="15">
                  <c:v>100</c:v>
                </c:pt>
                <c:pt idx="16">
                  <c:v>100</c:v>
                </c:pt>
                <c:pt idx="17">
                  <c:v>100</c:v>
                </c:pt>
              </c:numCache>
            </c:numRef>
          </c:val>
          <c:smooth val="0"/>
          <c:extLst>
            <c:ext xmlns:c16="http://schemas.microsoft.com/office/drawing/2014/chart" uri="{C3380CC4-5D6E-409C-BE32-E72D297353CC}">
              <c16:uniqueId val="{00000000-6F1F-4F70-8D23-5F69B4F66EAF}"/>
            </c:ext>
          </c:extLst>
        </c:ser>
        <c:ser>
          <c:idx val="19"/>
          <c:order val="1"/>
          <c:tx>
            <c:strRef>
              <c:f>'6. Summary Tracking Sheet'!$H$3</c:f>
              <c:strCache>
                <c:ptCount val="1"/>
                <c:pt idx="0">
                  <c:v>SiteDesignStarted_AC(SUM)</c:v>
                </c:pt>
              </c:strCache>
              <c:extLst xmlns:c15="http://schemas.microsoft.com/office/drawing/2012/chart"/>
            </c:strRef>
          </c:tx>
          <c:spPr>
            <a:ln w="22225" cap="rnd">
              <a:solidFill>
                <a:schemeClr val="accent2">
                  <a:lumMod val="80000"/>
                </a:schemeClr>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xmlns:c15="http://schemas.microsoft.com/office/drawing/2012/chart">
              <c:ext xmlns:c15="http://schemas.microsoft.com/office/drawing/2012/chart" uri="{CE6537A1-D6FC-4f65-9D91-7224C49458BB}">
                <c15:showLeaderLines val="1"/>
                <c15:leaderLines>
                  <c:spPr>
                    <a:ln w="9525" cap="flat" cmpd="sng" algn="ctr">
                      <a:solidFill>
                        <a:schemeClr val="dk1">
                          <a:lumMod val="35000"/>
                          <a:lumOff val="65000"/>
                        </a:schemeClr>
                      </a:solidFill>
                      <a:round/>
                    </a:ln>
                    <a:effectLst/>
                  </c:spPr>
                </c15:leaderLines>
              </c:ext>
            </c:extLst>
          </c:dLbls>
          <c:cat>
            <c:strLit>
              <c:ptCount val="18"/>
              <c:pt idx="0">
                <c:v>20</c:v>
              </c:pt>
              <c:pt idx="1">
                <c:v>21</c:v>
              </c:pt>
              <c:pt idx="2">
                <c:v>22</c:v>
              </c:pt>
              <c:pt idx="3">
                <c:v>23</c:v>
              </c:pt>
              <c:pt idx="4">
                <c:v>24</c:v>
              </c:pt>
              <c:pt idx="5">
                <c:v>25</c:v>
              </c:pt>
              <c:pt idx="6">
                <c:v>26</c:v>
              </c:pt>
              <c:pt idx="7">
                <c:v>27</c:v>
              </c:pt>
              <c:pt idx="8">
                <c:v>28</c:v>
              </c:pt>
              <c:pt idx="9">
                <c:v>29</c:v>
              </c:pt>
              <c:pt idx="10">
                <c:v>30</c:v>
              </c:pt>
              <c:pt idx="11">
                <c:v>31</c:v>
              </c:pt>
              <c:pt idx="12">
                <c:v>32</c:v>
              </c:pt>
              <c:pt idx="13">
                <c:v>33</c:v>
              </c:pt>
              <c:pt idx="14">
                <c:v>34</c:v>
              </c:pt>
              <c:pt idx="15">
                <c:v>35</c:v>
              </c:pt>
              <c:pt idx="16">
                <c:v>36</c:v>
              </c:pt>
              <c:pt idx="17">
                <c:v>37</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'6. Summary Tracking Sheet'!$H$4:$H$44</c15:sqref>
                  </c15:fullRef>
                </c:ext>
              </c:extLst>
              <c:f>'6. Summary Tracking Sheet'!$H$23:$H$40</c:f>
              <c:numCache>
                <c:formatCode>0;\-0;\-;@</c:formatCode>
                <c:ptCount val="18"/>
                <c:pt idx="0">
                  <c:v>0</c:v>
                </c:pt>
                <c:pt idx="1">
                  <c:v>0</c:v>
                </c:pt>
                <c:pt idx="2">
                  <c:v>2</c:v>
                </c:pt>
                <c:pt idx="3">
                  <c:v>10</c:v>
                </c:pt>
                <c:pt idx="4">
                  <c:v>20</c:v>
                </c:pt>
                <c:pt idx="5">
                  <c:v>38</c:v>
                </c:pt>
                <c:pt idx="6">
                  <c:v>51</c:v>
                </c:pt>
                <c:pt idx="7">
                  <c:v>67</c:v>
                </c:pt>
                <c:pt idx="8">
                  <c:v>86</c:v>
                </c:pt>
                <c:pt idx="9">
                  <c:v>95</c:v>
                </c:pt>
                <c:pt idx="10">
                  <c:v>96</c:v>
                </c:pt>
                <c:pt idx="11">
                  <c:v>96</c:v>
                </c:pt>
                <c:pt idx="12">
                  <c:v>96</c:v>
                </c:pt>
                <c:pt idx="13">
                  <c:v>96</c:v>
                </c:pt>
                <c:pt idx="14">
                  <c:v>96</c:v>
                </c:pt>
                <c:pt idx="15">
                  <c:v>96</c:v>
                </c:pt>
                <c:pt idx="16">
                  <c:v>96</c:v>
                </c:pt>
                <c:pt idx="17">
                  <c:v>96</c:v>
                </c:pt>
              </c:numCache>
            </c:numRef>
          </c:val>
          <c:smooth val="0"/>
          <c:extLst>
            <c:ext xmlns:c16="http://schemas.microsoft.com/office/drawing/2014/chart" uri="{C3380CC4-5D6E-409C-BE32-E72D297353CC}">
              <c16:uniqueId val="{0000000B-6F1F-4F70-8D23-5F69B4F66EAF}"/>
            </c:ext>
          </c:extLst>
        </c:ser>
        <c:dLbls>
          <c:dLblPos val="t"/>
          <c:showLegendKey val="0"/>
          <c:showVal val="1"/>
          <c:showCatName val="0"/>
          <c:showSerName val="0"/>
          <c:showPercent val="0"/>
          <c:showBubbleSize val="0"/>
        </c:dLbls>
        <c:smooth val="0"/>
        <c:axId val="550300207"/>
        <c:axId val="506817855"/>
        <c:extLst>
          <c:ext xmlns:c15="http://schemas.microsoft.com/office/drawing/2012/chart" uri="{02D57815-91ED-43cb-92C2-25804820EDAC}">
            <c15:filteredLineSeries>
              <c15:ser>
                <c:idx val="1"/>
                <c:order val="2"/>
                <c:tx>
                  <c:strRef>
                    <c:extLst>
                      <c:ext uri="{02D57815-91ED-43cb-92C2-25804820EDAC}">
                        <c15:formulaRef>
                          <c15:sqref>'6. Summary Tracking Sheet'!$P$3</c15:sqref>
                        </c15:formulaRef>
                      </c:ext>
                    </c:extLst>
                    <c:strCache>
                      <c:ptCount val="1"/>
                      <c:pt idx="0">
                        <c:v>SiteDesignReady_BL(SUM)</c:v>
                      </c:pt>
                    </c:strCache>
                  </c:strRef>
                </c:tx>
                <c:spPr>
                  <a:ln w="22225" cap="rnd">
                    <a:solidFill>
                      <a:schemeClr val="accent2"/>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uri="{CE6537A1-D6FC-4f65-9D91-7224C49458BB}">
                      <c15:showLeaderLines val="1"/>
                      <c15:leaderLines>
                        <c:spPr>
                          <a:ln w="9525" cap="flat" cmpd="sng" algn="ctr">
                            <a:solidFill>
                              <a:schemeClr val="dk1">
                                <a:lumMod val="35000"/>
                                <a:lumOff val="65000"/>
                              </a:schemeClr>
                            </a:solidFill>
                            <a:round/>
                          </a:ln>
                          <a:effectLst/>
                        </c:spPr>
                      </c15:leaderLines>
                    </c:ext>
                  </c:extLst>
                </c:dLbls>
                <c:val>
                  <c:numRef>
                    <c:extLst>
                      <c:ext uri="{02D57815-91ED-43cb-92C2-25804820EDAC}">
                        <c15:fullRef>
                          <c15:sqref>'6. Summary Tracking Sheet'!$P$4:$P$44</c15:sqref>
                        </c15:fullRef>
                        <c15:formulaRef>
                          <c15:sqref>'6. Summary Tracking Sheet'!$P$23:$P$40</c15:sqref>
                        </c15:formulaRef>
                      </c:ext>
                    </c:extLst>
                    <c:numCache>
                      <c:formatCode>0;\-0;\-;@</c:formatCode>
                      <c:ptCount val="18"/>
                      <c:pt idx="0">
                        <c:v>0</c:v>
                      </c:pt>
                      <c:pt idx="1">
                        <c:v>0</c:v>
                      </c:pt>
                      <c:pt idx="2">
                        <c:v>1</c:v>
                      </c:pt>
                      <c:pt idx="3">
                        <c:v>7</c:v>
                      </c:pt>
                      <c:pt idx="4">
                        <c:v>16</c:v>
                      </c:pt>
                      <c:pt idx="5">
                        <c:v>38</c:v>
                      </c:pt>
                      <c:pt idx="6">
                        <c:v>51</c:v>
                      </c:pt>
                      <c:pt idx="7">
                        <c:v>67</c:v>
                      </c:pt>
                      <c:pt idx="8">
                        <c:v>86</c:v>
                      </c:pt>
                      <c:pt idx="9">
                        <c:v>100</c:v>
                      </c:pt>
                      <c:pt idx="10">
                        <c:v>100</c:v>
                      </c:pt>
                      <c:pt idx="11">
                        <c:v>100</c:v>
                      </c:pt>
                      <c:pt idx="12">
                        <c:v>100</c:v>
                      </c:pt>
                      <c:pt idx="13">
                        <c:v>100</c:v>
                      </c:pt>
                      <c:pt idx="14">
                        <c:v>100</c:v>
                      </c:pt>
                      <c:pt idx="15">
                        <c:v>100</c:v>
                      </c:pt>
                      <c:pt idx="16">
                        <c:v>100</c:v>
                      </c:pt>
                      <c:pt idx="17">
                        <c:v>100</c:v>
                      </c:pt>
                    </c:numCache>
                  </c:numRef>
                </c:val>
                <c:smooth val="0"/>
                <c:extLst>
                  <c:ext xmlns:c16="http://schemas.microsoft.com/office/drawing/2014/chart" uri="{C3380CC4-5D6E-409C-BE32-E72D297353CC}">
                    <c16:uniqueId val="{00000001-6F1F-4F70-8D23-5F69B4F66EAF}"/>
                  </c:ext>
                </c:extLst>
              </c15:ser>
            </c15:filteredLineSeries>
            <c15:filteredLineSeries>
              <c15:ser>
                <c:idx val="0"/>
                <c:order val="3"/>
                <c:tx>
                  <c:strRef>
                    <c:extLst xmlns:c15="http://schemas.microsoft.com/office/drawing/2012/chart">
                      <c:ext xmlns:c15="http://schemas.microsoft.com/office/drawing/2012/chart" uri="{02D57815-91ED-43cb-92C2-25804820EDAC}">
                        <c15:formulaRef>
                          <c15:sqref>'6. Summary Tracking Sheet'!$R$3</c15:sqref>
                        </c15:formulaRef>
                      </c:ext>
                    </c:extLst>
                    <c:strCache>
                      <c:ptCount val="1"/>
                      <c:pt idx="0">
                        <c:v>SiteDesignReady_AC(SUM)</c:v>
                      </c:pt>
                    </c:strCache>
                  </c:strRef>
                </c:tx>
                <c:spPr>
                  <a:ln w="22225" cap="rnd">
                    <a:solidFill>
                      <a:schemeClr val="accent1"/>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xmlns:c15="http://schemas.microsoft.com/office/drawing/2012/chart">
                    <c:ext xmlns:c15="http://schemas.microsoft.com/office/drawing/2012/chart" uri="{CE6537A1-D6FC-4f65-9D91-7224C49458BB}">
                      <c15:showLeaderLines val="1"/>
                      <c15:leaderLines>
                        <c:spPr>
                          <a:ln w="9525" cap="flat" cmpd="sng" algn="ctr">
                            <a:solidFill>
                              <a:schemeClr val="dk1">
                                <a:lumMod val="35000"/>
                                <a:lumOff val="65000"/>
                              </a:schemeClr>
                            </a:solidFill>
                            <a:round/>
                          </a:ln>
                          <a:effectLst/>
                        </c:spPr>
                      </c15:leaderLines>
                    </c:ext>
                  </c:extLst>
                </c:dLbls>
                <c:val>
                  <c:numRef>
                    <c:extLst>
                      <c:ext xmlns:c15="http://schemas.microsoft.com/office/drawing/2012/chart" uri="{02D57815-91ED-43cb-92C2-25804820EDAC}">
                        <c15:fullRef>
                          <c15:sqref>'6. Summary Tracking Sheet'!$R$4:$R$44</c15:sqref>
                        </c15:fullRef>
                        <c15:formulaRef>
                          <c15:sqref>'6. Summary Tracking Sheet'!$R$23:$R$40</c15:sqref>
                        </c15:formulaRef>
                      </c:ext>
                    </c:extLst>
                    <c:numCache>
                      <c:formatCode>0;\-0;\-;@</c:formatCode>
                      <c:ptCount val="18"/>
                      <c:pt idx="0">
                        <c:v>0</c:v>
                      </c:pt>
                      <c:pt idx="1">
                        <c:v>0</c:v>
                      </c:pt>
                      <c:pt idx="2">
                        <c:v>1</c:v>
                      </c:pt>
                      <c:pt idx="3">
                        <c:v>7</c:v>
                      </c:pt>
                      <c:pt idx="4">
                        <c:v>16</c:v>
                      </c:pt>
                      <c:pt idx="5">
                        <c:v>27</c:v>
                      </c:pt>
                      <c:pt idx="6">
                        <c:v>40</c:v>
                      </c:pt>
                      <c:pt idx="7">
                        <c:v>66</c:v>
                      </c:pt>
                      <c:pt idx="8">
                        <c:v>85</c:v>
                      </c:pt>
                      <c:pt idx="9">
                        <c:v>90</c:v>
                      </c:pt>
                      <c:pt idx="10">
                        <c:v>90</c:v>
                      </c:pt>
                      <c:pt idx="11">
                        <c:v>90</c:v>
                      </c:pt>
                      <c:pt idx="12">
                        <c:v>90</c:v>
                      </c:pt>
                      <c:pt idx="13">
                        <c:v>90</c:v>
                      </c:pt>
                      <c:pt idx="14">
                        <c:v>90</c:v>
                      </c:pt>
                      <c:pt idx="15">
                        <c:v>90</c:v>
                      </c:pt>
                      <c:pt idx="16">
                        <c:v>90</c:v>
                      </c:pt>
                      <c:pt idx="17">
                        <c:v>90</c:v>
                      </c:pt>
                    </c:numCache>
                  </c:numRef>
                </c:val>
                <c:smooth val="0"/>
                <c:extLst xmlns:c15="http://schemas.microsoft.com/office/drawing/2012/chart">
                  <c:ext xmlns:c16="http://schemas.microsoft.com/office/drawing/2014/chart" uri="{C3380CC4-5D6E-409C-BE32-E72D297353CC}">
                    <c16:uniqueId val="{0000000C-6F1F-4F70-8D23-5F69B4F66EAF}"/>
                  </c:ext>
                </c:extLst>
              </c15:ser>
            </c15:filteredLineSeries>
            <c15:filteredLineSeries>
              <c15:ser>
                <c:idx val="2"/>
                <c:order val="4"/>
                <c:tx>
                  <c:strRef>
                    <c:extLst xmlns:c15="http://schemas.microsoft.com/office/drawing/2012/chart">
                      <c:ext xmlns:c15="http://schemas.microsoft.com/office/drawing/2012/chart" uri="{02D57815-91ED-43cb-92C2-25804820EDAC}">
                        <c15:formulaRef>
                          <c15:sqref>'6. Summary Tracking Sheet'!$AT$3</c15:sqref>
                        </c15:formulaRef>
                      </c:ext>
                    </c:extLst>
                    <c:strCache>
                      <c:ptCount val="1"/>
                      <c:pt idx="0">
                        <c:v>ReadyForCW_BL(SUM)</c:v>
                      </c:pt>
                    </c:strCache>
                  </c:strRef>
                </c:tx>
                <c:spPr>
                  <a:ln w="22225" cap="rnd">
                    <a:solidFill>
                      <a:schemeClr val="accent3"/>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xmlns:c15="http://schemas.microsoft.com/office/drawing/2012/chart">
                    <c:ext xmlns:c15="http://schemas.microsoft.com/office/drawing/2012/chart" uri="{CE6537A1-D6FC-4f65-9D91-7224C49458BB}">
                      <c15:showLeaderLines val="1"/>
                      <c15:leaderLines>
                        <c:spPr>
                          <a:ln w="9525" cap="flat" cmpd="sng" algn="ctr">
                            <a:solidFill>
                              <a:schemeClr val="dk1">
                                <a:lumMod val="35000"/>
                                <a:lumOff val="65000"/>
                              </a:schemeClr>
                            </a:solidFill>
                            <a:round/>
                          </a:ln>
                          <a:effectLst/>
                        </c:spPr>
                      </c15:leaderLines>
                    </c:ext>
                  </c:extLst>
                </c:dLbls>
                <c:val>
                  <c:numRef>
                    <c:extLst>
                      <c:ext xmlns:c15="http://schemas.microsoft.com/office/drawing/2012/chart" uri="{02D57815-91ED-43cb-92C2-25804820EDAC}">
                        <c15:fullRef>
                          <c15:sqref>'6. Summary Tracking Sheet'!$AV$4:$AV$44</c15:sqref>
                        </c15:fullRef>
                        <c15:formulaRef>
                          <c15:sqref>'6. Summary Tracking Sheet'!$AV$23:$AV$40</c15:sqref>
                        </c15:formulaRef>
                      </c:ext>
                    </c:extLst>
                    <c:numCache>
                      <c:formatCode>0;\-0;\-;@</c:formatCode>
                      <c:ptCount val="18"/>
                      <c:pt idx="0">
                        <c:v>0</c:v>
                      </c:pt>
                      <c:pt idx="1">
                        <c:v>0</c:v>
                      </c:pt>
                      <c:pt idx="2">
                        <c:v>0</c:v>
                      </c:pt>
                      <c:pt idx="3">
                        <c:v>0</c:v>
                      </c:pt>
                      <c:pt idx="4">
                        <c:v>1</c:v>
                      </c:pt>
                      <c:pt idx="5">
                        <c:v>5</c:v>
                      </c:pt>
                      <c:pt idx="6">
                        <c:v>15</c:v>
                      </c:pt>
                      <c:pt idx="7">
                        <c:v>25</c:v>
                      </c:pt>
                      <c:pt idx="8">
                        <c:v>38</c:v>
                      </c:pt>
                      <c:pt idx="9">
                        <c:v>61</c:v>
                      </c:pt>
                      <c:pt idx="10">
                        <c:v>71</c:v>
                      </c:pt>
                      <c:pt idx="11">
                        <c:v>80</c:v>
                      </c:pt>
                      <c:pt idx="12">
                        <c:v>80</c:v>
                      </c:pt>
                      <c:pt idx="13">
                        <c:v>80</c:v>
                      </c:pt>
                      <c:pt idx="14">
                        <c:v>80</c:v>
                      </c:pt>
                      <c:pt idx="15">
                        <c:v>80</c:v>
                      </c:pt>
                      <c:pt idx="16">
                        <c:v>80</c:v>
                      </c:pt>
                      <c:pt idx="17">
                        <c:v>80</c:v>
                      </c:pt>
                    </c:numCache>
                  </c:numRef>
                </c:val>
                <c:smooth val="0"/>
                <c:extLst xmlns:c15="http://schemas.microsoft.com/office/drawing/2012/chart">
                  <c:ext xmlns:c16="http://schemas.microsoft.com/office/drawing/2014/chart" uri="{C3380CC4-5D6E-409C-BE32-E72D297353CC}">
                    <c16:uniqueId val="{00000002-6F1F-4F70-8D23-5F69B4F66EAF}"/>
                  </c:ext>
                </c:extLst>
              </c15:ser>
            </c15:filteredLineSeries>
            <c15:filteredLineSeries>
              <c15:ser>
                <c:idx val="3"/>
                <c:order val="5"/>
                <c:tx>
                  <c:strRef>
                    <c:extLst xmlns:c15="http://schemas.microsoft.com/office/drawing/2012/chart">
                      <c:ext xmlns:c15="http://schemas.microsoft.com/office/drawing/2012/chart" uri="{02D57815-91ED-43cb-92C2-25804820EDAC}">
                        <c15:formulaRef>
                          <c15:sqref>'6. Summary Tracking Sheet'!$AV$3</c15:sqref>
                        </c15:formulaRef>
                      </c:ext>
                    </c:extLst>
                    <c:strCache>
                      <c:ptCount val="1"/>
                      <c:pt idx="0">
                        <c:v>ReadyForCW_AC(SUM)</c:v>
                      </c:pt>
                    </c:strCache>
                  </c:strRef>
                </c:tx>
                <c:spPr>
                  <a:ln w="22225" cap="rnd">
                    <a:solidFill>
                      <a:schemeClr val="accent4"/>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xmlns:c15="http://schemas.microsoft.com/office/drawing/2012/chart">
                    <c:ext xmlns:c15="http://schemas.microsoft.com/office/drawing/2012/chart" uri="{CE6537A1-D6FC-4f65-9D91-7224C49458BB}">
                      <c15:showLeaderLines val="1"/>
                      <c15:leaderLines>
                        <c:spPr>
                          <a:ln w="9525" cap="flat" cmpd="sng" algn="ctr">
                            <a:solidFill>
                              <a:schemeClr val="dk1">
                                <a:lumMod val="35000"/>
                                <a:lumOff val="65000"/>
                              </a:schemeClr>
                            </a:solidFill>
                            <a:round/>
                          </a:ln>
                          <a:effectLst/>
                        </c:spPr>
                      </c15:leaderLines>
                    </c:ext>
                  </c:extLst>
                </c:dLbls>
                <c:val>
                  <c:numRef>
                    <c:extLst>
                      <c:ext xmlns:c15="http://schemas.microsoft.com/office/drawing/2012/chart" uri="{02D57815-91ED-43cb-92C2-25804820EDAC}">
                        <c15:fullRef>
                          <c15:sqref>'6. Summary Tracking Sheet'!$AX$4:$AX$44</c15:sqref>
                        </c15:fullRef>
                        <c15:formulaRef>
                          <c15:sqref>'6. Summary Tracking Sheet'!$AX$23:$AX$40</c15:sqref>
                        </c15:formulaRef>
                      </c:ext>
                    </c:extLst>
                    <c:numCache>
                      <c:formatCode>0;\-0;\-;@</c:formatCode>
                      <c:ptCount val="18"/>
                      <c:pt idx="0">
                        <c:v>0</c:v>
                      </c:pt>
                      <c:pt idx="1">
                        <c:v>0</c:v>
                      </c:pt>
                      <c:pt idx="2">
                        <c:v>0</c:v>
                      </c:pt>
                      <c:pt idx="3">
                        <c:v>0</c:v>
                      </c:pt>
                      <c:pt idx="4">
                        <c:v>0</c:v>
                      </c:pt>
                      <c:pt idx="5">
                        <c:v>1500</c:v>
                      </c:pt>
                      <c:pt idx="6">
                        <c:v>9000</c:v>
                      </c:pt>
                      <c:pt idx="7">
                        <c:v>15000</c:v>
                      </c:pt>
                      <c:pt idx="8">
                        <c:v>33000</c:v>
                      </c:pt>
                      <c:pt idx="9">
                        <c:v>52500</c:v>
                      </c:pt>
                      <c:pt idx="10">
                        <c:v>78000</c:v>
                      </c:pt>
                      <c:pt idx="11">
                        <c:v>100500</c:v>
                      </c:pt>
                      <c:pt idx="12">
                        <c:v>105000</c:v>
                      </c:pt>
                      <c:pt idx="13">
                        <c:v>105000</c:v>
                      </c:pt>
                      <c:pt idx="14">
                        <c:v>105000</c:v>
                      </c:pt>
                      <c:pt idx="15">
                        <c:v>105000</c:v>
                      </c:pt>
                      <c:pt idx="16">
                        <c:v>105000</c:v>
                      </c:pt>
                      <c:pt idx="17">
                        <c:v>105000</c:v>
                      </c:pt>
                    </c:numCache>
                  </c:numRef>
                </c:val>
                <c:smooth val="0"/>
                <c:extLst xmlns:c15="http://schemas.microsoft.com/office/drawing/2012/chart">
                  <c:ext xmlns:c16="http://schemas.microsoft.com/office/drawing/2014/chart" uri="{C3380CC4-5D6E-409C-BE32-E72D297353CC}">
                    <c16:uniqueId val="{0000000D-6F1F-4F70-8D23-5F69B4F66EAF}"/>
                  </c:ext>
                </c:extLst>
              </c15:ser>
            </c15:filteredLineSeries>
            <c15:filteredLineSeries>
              <c15:ser>
                <c:idx val="4"/>
                <c:order val="6"/>
                <c:tx>
                  <c:strRef>
                    <c:extLst xmlns:c15="http://schemas.microsoft.com/office/drawing/2012/chart">
                      <c:ext xmlns:c15="http://schemas.microsoft.com/office/drawing/2012/chart" uri="{02D57815-91ED-43cb-92C2-25804820EDAC}">
                        <c15:formulaRef>
                          <c15:sqref>'6. Summary Tracking Sheet'!$BD$3</c15:sqref>
                        </c15:formulaRef>
                      </c:ext>
                    </c:extLst>
                    <c:strCache>
                      <c:ptCount val="1"/>
                      <c:pt idx="0">
                        <c:v>ReadyForPower_BL(SUM)</c:v>
                      </c:pt>
                    </c:strCache>
                  </c:strRef>
                </c:tx>
                <c:spPr>
                  <a:ln w="22225" cap="rnd">
                    <a:solidFill>
                      <a:schemeClr val="accent5"/>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xmlns:c15="http://schemas.microsoft.com/office/drawing/2012/chart">
                    <c:ext xmlns:c15="http://schemas.microsoft.com/office/drawing/2012/chart" uri="{CE6537A1-D6FC-4f65-9D91-7224C49458BB}">
                      <c15:showLeaderLines val="1"/>
                      <c15:leaderLines>
                        <c:spPr>
                          <a:ln w="9525" cap="flat" cmpd="sng" algn="ctr">
                            <a:solidFill>
                              <a:schemeClr val="dk1">
                                <a:lumMod val="35000"/>
                                <a:lumOff val="65000"/>
                              </a:schemeClr>
                            </a:solidFill>
                            <a:round/>
                          </a:ln>
                          <a:effectLst/>
                        </c:spPr>
                      </c15:leaderLines>
                    </c:ext>
                  </c:extLst>
                </c:dLbls>
                <c:val>
                  <c:numRef>
                    <c:extLst>
                      <c:ext xmlns:c15="http://schemas.microsoft.com/office/drawing/2012/chart" uri="{02D57815-91ED-43cb-92C2-25804820EDAC}">
                        <c15:fullRef>
                          <c15:sqref>'6. Summary Tracking Sheet'!$BF$4:$BF$44</c15:sqref>
                        </c15:fullRef>
                        <c15:formulaRef>
                          <c15:sqref>'6. Summary Tracking Sheet'!$BF$23:$BF$40</c15:sqref>
                        </c15:formulaRef>
                      </c:ext>
                    </c:extLst>
                    <c:numCache>
                      <c:formatCode>0;\-0;\-;@</c:formatCode>
                      <c:ptCount val="18"/>
                      <c:pt idx="0">
                        <c:v>0</c:v>
                      </c:pt>
                      <c:pt idx="1">
                        <c:v>0</c:v>
                      </c:pt>
                      <c:pt idx="2">
                        <c:v>0</c:v>
                      </c:pt>
                      <c:pt idx="3">
                        <c:v>0</c:v>
                      </c:pt>
                      <c:pt idx="4">
                        <c:v>0</c:v>
                      </c:pt>
                      <c:pt idx="5">
                        <c:v>1</c:v>
                      </c:pt>
                      <c:pt idx="6">
                        <c:v>6</c:v>
                      </c:pt>
                      <c:pt idx="7">
                        <c:v>10</c:v>
                      </c:pt>
                      <c:pt idx="8">
                        <c:v>22</c:v>
                      </c:pt>
                      <c:pt idx="9">
                        <c:v>35</c:v>
                      </c:pt>
                      <c:pt idx="10">
                        <c:v>52</c:v>
                      </c:pt>
                      <c:pt idx="11">
                        <c:v>67</c:v>
                      </c:pt>
                      <c:pt idx="12">
                        <c:v>70</c:v>
                      </c:pt>
                      <c:pt idx="13">
                        <c:v>70</c:v>
                      </c:pt>
                      <c:pt idx="14">
                        <c:v>70</c:v>
                      </c:pt>
                      <c:pt idx="15">
                        <c:v>70</c:v>
                      </c:pt>
                      <c:pt idx="16">
                        <c:v>70</c:v>
                      </c:pt>
                      <c:pt idx="17">
                        <c:v>70</c:v>
                      </c:pt>
                    </c:numCache>
                  </c:numRef>
                </c:val>
                <c:smooth val="0"/>
                <c:extLst xmlns:c15="http://schemas.microsoft.com/office/drawing/2012/chart">
                  <c:ext xmlns:c16="http://schemas.microsoft.com/office/drawing/2014/chart" uri="{C3380CC4-5D6E-409C-BE32-E72D297353CC}">
                    <c16:uniqueId val="{00000003-6F1F-4F70-8D23-5F69B4F66EAF}"/>
                  </c:ext>
                </c:extLst>
              </c15:ser>
            </c15:filteredLineSeries>
            <c15:filteredLineSeries>
              <c15:ser>
                <c:idx val="5"/>
                <c:order val="7"/>
                <c:tx>
                  <c:strRef>
                    <c:extLst xmlns:c15="http://schemas.microsoft.com/office/drawing/2012/chart">
                      <c:ext xmlns:c15="http://schemas.microsoft.com/office/drawing/2012/chart" uri="{02D57815-91ED-43cb-92C2-25804820EDAC}">
                        <c15:formulaRef>
                          <c15:sqref>'6. Summary Tracking Sheet'!$BF$3</c15:sqref>
                        </c15:formulaRef>
                      </c:ext>
                    </c:extLst>
                    <c:strCache>
                      <c:ptCount val="1"/>
                      <c:pt idx="0">
                        <c:v>ReadyForPower_AC(SUM)</c:v>
                      </c:pt>
                    </c:strCache>
                  </c:strRef>
                </c:tx>
                <c:spPr>
                  <a:ln w="22225" cap="rnd">
                    <a:solidFill>
                      <a:schemeClr val="accent6"/>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xmlns:c15="http://schemas.microsoft.com/office/drawing/2012/chart">
                    <c:ext xmlns:c15="http://schemas.microsoft.com/office/drawing/2012/chart" uri="{CE6537A1-D6FC-4f65-9D91-7224C49458BB}">
                      <c15:showLeaderLines val="1"/>
                      <c15:leaderLines>
                        <c:spPr>
                          <a:ln w="9525" cap="flat" cmpd="sng" algn="ctr">
                            <a:solidFill>
                              <a:schemeClr val="dk1">
                                <a:lumMod val="35000"/>
                                <a:lumOff val="65000"/>
                              </a:schemeClr>
                            </a:solidFill>
                            <a:round/>
                          </a:ln>
                          <a:effectLst/>
                        </c:spPr>
                      </c15:leaderLines>
                    </c:ext>
                  </c:extLst>
                </c:dLbls>
                <c:val>
                  <c:numRef>
                    <c:extLst>
                      <c:ext xmlns:c15="http://schemas.microsoft.com/office/drawing/2012/chart" uri="{02D57815-91ED-43cb-92C2-25804820EDAC}">
                        <c15:fullRef>
                          <c15:sqref>'6. Summary Tracking Sheet'!$BH$4:$BH$44</c15:sqref>
                        </c15:fullRef>
                        <c15:formulaRef>
                          <c15:sqref>'6. Summary Tracking Sheet'!$BH$23:$BH$40</c15:sqref>
                        </c15:formulaRef>
                      </c:ext>
                    </c:extLst>
                    <c:numCache>
                      <c:formatCode>0;\-0;\-;@</c:formatCode>
                      <c:ptCount val="18"/>
                      <c:pt idx="0">
                        <c:v>0</c:v>
                      </c:pt>
                      <c:pt idx="1">
                        <c:v>0</c:v>
                      </c:pt>
                      <c:pt idx="2">
                        <c:v>0</c:v>
                      </c:pt>
                      <c:pt idx="3">
                        <c:v>0</c:v>
                      </c:pt>
                      <c:pt idx="4">
                        <c:v>0</c:v>
                      </c:pt>
                      <c:pt idx="5">
                        <c:v>0</c:v>
                      </c:pt>
                      <c:pt idx="6">
                        <c:v>500</c:v>
                      </c:pt>
                      <c:pt idx="7">
                        <c:v>2000</c:v>
                      </c:pt>
                      <c:pt idx="8">
                        <c:v>7500</c:v>
                      </c:pt>
                      <c:pt idx="9">
                        <c:v>12500</c:v>
                      </c:pt>
                      <c:pt idx="10">
                        <c:v>19000</c:v>
                      </c:pt>
                      <c:pt idx="11">
                        <c:v>27000</c:v>
                      </c:pt>
                      <c:pt idx="12">
                        <c:v>29500</c:v>
                      </c:pt>
                      <c:pt idx="13">
                        <c:v>30000</c:v>
                      </c:pt>
                      <c:pt idx="14">
                        <c:v>30000</c:v>
                      </c:pt>
                      <c:pt idx="15">
                        <c:v>30000</c:v>
                      </c:pt>
                      <c:pt idx="16">
                        <c:v>30000</c:v>
                      </c:pt>
                      <c:pt idx="17">
                        <c:v>30000</c:v>
                      </c:pt>
                    </c:numCache>
                  </c:numRef>
                </c:val>
                <c:smooth val="0"/>
                <c:extLst xmlns:c15="http://schemas.microsoft.com/office/drawing/2012/chart">
                  <c:ext xmlns:c16="http://schemas.microsoft.com/office/drawing/2014/chart" uri="{C3380CC4-5D6E-409C-BE32-E72D297353CC}">
                    <c16:uniqueId val="{0000000E-6F1F-4F70-8D23-5F69B4F66EAF}"/>
                  </c:ext>
                </c:extLst>
              </c15:ser>
            </c15:filteredLineSeries>
            <c15:filteredLineSeries>
              <c15:ser>
                <c:idx val="6"/>
                <c:order val="8"/>
                <c:tx>
                  <c:strRef>
                    <c:extLst xmlns:c15="http://schemas.microsoft.com/office/drawing/2012/chart">
                      <c:ext xmlns:c15="http://schemas.microsoft.com/office/drawing/2012/chart" uri="{02D57815-91ED-43cb-92C2-25804820EDAC}">
                        <c15:formulaRef>
                          <c15:sqref>'6. Summary Tracking Sheet'!$BN$3</c15:sqref>
                        </c15:formulaRef>
                      </c:ext>
                    </c:extLst>
                    <c:strCache>
                      <c:ptCount val="1"/>
                      <c:pt idx="0">
                        <c:v>TXReady_BL(SUM)</c:v>
                      </c:pt>
                    </c:strCache>
                  </c:strRef>
                </c:tx>
                <c:spPr>
                  <a:ln w="22225" cap="rnd">
                    <a:solidFill>
                      <a:schemeClr val="accent1">
                        <a:lumMod val="60000"/>
                      </a:schemeClr>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xmlns:c15="http://schemas.microsoft.com/office/drawing/2012/chart">
                    <c:ext xmlns:c15="http://schemas.microsoft.com/office/drawing/2012/chart" uri="{CE6537A1-D6FC-4f65-9D91-7224C49458BB}">
                      <c15:showLeaderLines val="1"/>
                      <c15:leaderLines>
                        <c:spPr>
                          <a:ln w="9525" cap="flat" cmpd="sng" algn="ctr">
                            <a:solidFill>
                              <a:schemeClr val="dk1">
                                <a:lumMod val="35000"/>
                                <a:lumOff val="65000"/>
                              </a:schemeClr>
                            </a:solidFill>
                            <a:round/>
                          </a:ln>
                          <a:effectLst/>
                        </c:spPr>
                      </c15:leaderLines>
                    </c:ext>
                  </c:extLst>
                </c:dLbls>
                <c:val>
                  <c:numRef>
                    <c:extLst>
                      <c:ext xmlns:c15="http://schemas.microsoft.com/office/drawing/2012/chart" uri="{02D57815-91ED-43cb-92C2-25804820EDAC}">
                        <c15:fullRef>
                          <c15:sqref>'6. Summary Tracking Sheet'!$BP$4:$BP$44</c15:sqref>
                        </c15:fullRef>
                        <c15:formulaRef>
                          <c15:sqref>'6. Summary Tracking Sheet'!$BP$23:$BP$40</c15:sqref>
                        </c15:formulaRef>
                      </c:ext>
                    </c:extLst>
                    <c:numCache>
                      <c:formatCode>0;\-0;\-;@</c:formatCode>
                      <c:ptCount val="18"/>
                      <c:pt idx="0">
                        <c:v>0</c:v>
                      </c:pt>
                      <c:pt idx="1">
                        <c:v>0</c:v>
                      </c:pt>
                      <c:pt idx="2">
                        <c:v>0</c:v>
                      </c:pt>
                      <c:pt idx="3">
                        <c:v>0</c:v>
                      </c:pt>
                      <c:pt idx="4">
                        <c:v>0</c:v>
                      </c:pt>
                      <c:pt idx="5">
                        <c:v>0</c:v>
                      </c:pt>
                      <c:pt idx="6">
                        <c:v>1</c:v>
                      </c:pt>
                      <c:pt idx="7">
                        <c:v>4</c:v>
                      </c:pt>
                      <c:pt idx="8">
                        <c:v>15</c:v>
                      </c:pt>
                      <c:pt idx="9">
                        <c:v>25</c:v>
                      </c:pt>
                      <c:pt idx="10">
                        <c:v>38</c:v>
                      </c:pt>
                      <c:pt idx="11">
                        <c:v>54</c:v>
                      </c:pt>
                      <c:pt idx="12">
                        <c:v>59</c:v>
                      </c:pt>
                      <c:pt idx="13">
                        <c:v>60</c:v>
                      </c:pt>
                      <c:pt idx="14">
                        <c:v>60</c:v>
                      </c:pt>
                      <c:pt idx="15">
                        <c:v>60</c:v>
                      </c:pt>
                      <c:pt idx="16">
                        <c:v>60</c:v>
                      </c:pt>
                      <c:pt idx="17">
                        <c:v>60</c:v>
                      </c:pt>
                    </c:numCache>
                  </c:numRef>
                </c:val>
                <c:smooth val="0"/>
                <c:extLst xmlns:c15="http://schemas.microsoft.com/office/drawing/2012/chart">
                  <c:ext xmlns:c16="http://schemas.microsoft.com/office/drawing/2014/chart" uri="{C3380CC4-5D6E-409C-BE32-E72D297353CC}">
                    <c16:uniqueId val="{00000004-6F1F-4F70-8D23-5F69B4F66EAF}"/>
                  </c:ext>
                </c:extLst>
              </c15:ser>
            </c15:filteredLineSeries>
            <c15:filteredLineSeries>
              <c15:ser>
                <c:idx val="7"/>
                <c:order val="9"/>
                <c:tx>
                  <c:strRef>
                    <c:extLst xmlns:c15="http://schemas.microsoft.com/office/drawing/2012/chart">
                      <c:ext xmlns:c15="http://schemas.microsoft.com/office/drawing/2012/chart" uri="{02D57815-91ED-43cb-92C2-25804820EDAC}">
                        <c15:formulaRef>
                          <c15:sqref>'6. Summary Tracking Sheet'!$BP$3</c15:sqref>
                        </c15:formulaRef>
                      </c:ext>
                    </c:extLst>
                    <c:strCache>
                      <c:ptCount val="1"/>
                      <c:pt idx="0">
                        <c:v>TXReady_AC(SUM)</c:v>
                      </c:pt>
                    </c:strCache>
                  </c:strRef>
                </c:tx>
                <c:spPr>
                  <a:ln w="22225" cap="rnd">
                    <a:solidFill>
                      <a:schemeClr val="accent2">
                        <a:lumMod val="60000"/>
                      </a:schemeClr>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xmlns:c15="http://schemas.microsoft.com/office/drawing/2012/chart">
                    <c:ext xmlns:c15="http://schemas.microsoft.com/office/drawing/2012/chart" uri="{CE6537A1-D6FC-4f65-9D91-7224C49458BB}">
                      <c15:showLeaderLines val="1"/>
                      <c15:leaderLines>
                        <c:spPr>
                          <a:ln w="9525" cap="flat" cmpd="sng" algn="ctr">
                            <a:solidFill>
                              <a:schemeClr val="dk1">
                                <a:lumMod val="35000"/>
                                <a:lumOff val="65000"/>
                              </a:schemeClr>
                            </a:solidFill>
                            <a:round/>
                          </a:ln>
                          <a:effectLst/>
                        </c:spPr>
                      </c15:leaderLines>
                    </c:ext>
                  </c:extLst>
                </c:dLbls>
                <c:val>
                  <c:numRef>
                    <c:extLst>
                      <c:ext xmlns:c15="http://schemas.microsoft.com/office/drawing/2012/chart" uri="{02D57815-91ED-43cb-92C2-25804820EDAC}">
                        <c15:fullRef>
                          <c15:sqref>'6. Summary Tracking Sheet'!$BR$4:$BR$44</c15:sqref>
                        </c15:fullRef>
                        <c15:formulaRef>
                          <c15:sqref>'6. Summary Tracking Sheet'!$BR$23:$BR$40</c15:sqref>
                        </c15:formulaRef>
                      </c:ext>
                    </c:extLst>
                    <c:numCache>
                      <c:formatCode>0;\-0;\-;@</c:formatCode>
                      <c:ptCount val="18"/>
                      <c:pt idx="0">
                        <c:v>0</c:v>
                      </c:pt>
                      <c:pt idx="1">
                        <c:v>0</c:v>
                      </c:pt>
                      <c:pt idx="2">
                        <c:v>0</c:v>
                      </c:pt>
                      <c:pt idx="3">
                        <c:v>0</c:v>
                      </c:pt>
                      <c:pt idx="4">
                        <c:v>0</c:v>
                      </c:pt>
                      <c:pt idx="5">
                        <c:v>0</c:v>
                      </c:pt>
                      <c:pt idx="6">
                        <c:v>0</c:v>
                      </c:pt>
                      <c:pt idx="7">
                        <c:v>500</c:v>
                      </c:pt>
                      <c:pt idx="8">
                        <c:v>2500</c:v>
                      </c:pt>
                      <c:pt idx="9">
                        <c:v>6000</c:v>
                      </c:pt>
                      <c:pt idx="10">
                        <c:v>12000</c:v>
                      </c:pt>
                      <c:pt idx="11">
                        <c:v>19000</c:v>
                      </c:pt>
                      <c:pt idx="12">
                        <c:v>24500</c:v>
                      </c:pt>
                      <c:pt idx="13">
                        <c:v>25500</c:v>
                      </c:pt>
                      <c:pt idx="14">
                        <c:v>25500</c:v>
                      </c:pt>
                      <c:pt idx="15">
                        <c:v>25500</c:v>
                      </c:pt>
                      <c:pt idx="16">
                        <c:v>25500</c:v>
                      </c:pt>
                      <c:pt idx="17">
                        <c:v>25500</c:v>
                      </c:pt>
                    </c:numCache>
                  </c:numRef>
                </c:val>
                <c:smooth val="0"/>
                <c:extLst xmlns:c15="http://schemas.microsoft.com/office/drawing/2012/chart">
                  <c:ext xmlns:c16="http://schemas.microsoft.com/office/drawing/2014/chart" uri="{C3380CC4-5D6E-409C-BE32-E72D297353CC}">
                    <c16:uniqueId val="{0000000F-6F1F-4F70-8D23-5F69B4F66EAF}"/>
                  </c:ext>
                </c:extLst>
              </c15:ser>
            </c15:filteredLineSeries>
            <c15:filteredLineSeries>
              <c15:ser>
                <c:idx val="8"/>
                <c:order val="10"/>
                <c:tx>
                  <c:strRef>
                    <c:extLst xmlns:c15="http://schemas.microsoft.com/office/drawing/2012/chart">
                      <c:ext xmlns:c15="http://schemas.microsoft.com/office/drawing/2012/chart" uri="{02D57815-91ED-43cb-92C2-25804820EDAC}">
                        <c15:formulaRef>
                          <c15:sqref>'6. Summary Tracking Sheet'!$BX$3</c15:sqref>
                        </c15:formulaRef>
                      </c:ext>
                    </c:extLst>
                    <c:strCache>
                      <c:ptCount val="1"/>
                      <c:pt idx="0">
                        <c:v>ReadyForInstallation_BL(SUM)</c:v>
                      </c:pt>
                    </c:strCache>
                  </c:strRef>
                </c:tx>
                <c:spPr>
                  <a:ln w="22225" cap="rnd">
                    <a:solidFill>
                      <a:schemeClr val="accent3">
                        <a:lumMod val="60000"/>
                      </a:schemeClr>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xmlns:c15="http://schemas.microsoft.com/office/drawing/2012/chart">
                    <c:ext xmlns:c15="http://schemas.microsoft.com/office/drawing/2012/chart" uri="{CE6537A1-D6FC-4f65-9D91-7224C49458BB}">
                      <c15:showLeaderLines val="1"/>
                      <c15:leaderLines>
                        <c:spPr>
                          <a:ln w="9525" cap="flat" cmpd="sng" algn="ctr">
                            <a:solidFill>
                              <a:schemeClr val="dk1">
                                <a:lumMod val="35000"/>
                                <a:lumOff val="65000"/>
                              </a:schemeClr>
                            </a:solidFill>
                            <a:round/>
                          </a:ln>
                          <a:effectLst/>
                        </c:spPr>
                      </c15:leaderLines>
                    </c:ext>
                  </c:extLst>
                </c:dLbls>
                <c:val>
                  <c:numRef>
                    <c:extLst>
                      <c:ext xmlns:c15="http://schemas.microsoft.com/office/drawing/2012/chart" uri="{02D57815-91ED-43cb-92C2-25804820EDAC}">
                        <c15:fullRef>
                          <c15:sqref>'6. Summary Tracking Sheet'!$BZ$4:$BZ$44</c15:sqref>
                        </c15:fullRef>
                        <c15:formulaRef>
                          <c15:sqref>'6. Summary Tracking Sheet'!$BZ$23:$BZ$40</c15:sqref>
                        </c15:formulaRef>
                      </c:ext>
                    </c:extLst>
                    <c:numCache>
                      <c:formatCode>0;\-0;\-;@</c:formatCode>
                      <c:ptCount val="18"/>
                      <c:pt idx="0">
                        <c:v>0</c:v>
                      </c:pt>
                      <c:pt idx="1">
                        <c:v>0</c:v>
                      </c:pt>
                      <c:pt idx="2">
                        <c:v>0</c:v>
                      </c:pt>
                      <c:pt idx="3">
                        <c:v>0</c:v>
                      </c:pt>
                      <c:pt idx="4">
                        <c:v>0</c:v>
                      </c:pt>
                      <c:pt idx="5">
                        <c:v>0</c:v>
                      </c:pt>
                      <c:pt idx="6">
                        <c:v>0</c:v>
                      </c:pt>
                      <c:pt idx="7">
                        <c:v>1</c:v>
                      </c:pt>
                      <c:pt idx="8">
                        <c:v>5</c:v>
                      </c:pt>
                      <c:pt idx="9">
                        <c:v>12</c:v>
                      </c:pt>
                      <c:pt idx="10">
                        <c:v>24</c:v>
                      </c:pt>
                      <c:pt idx="11">
                        <c:v>38</c:v>
                      </c:pt>
                      <c:pt idx="12">
                        <c:v>49</c:v>
                      </c:pt>
                      <c:pt idx="13">
                        <c:v>51</c:v>
                      </c:pt>
                      <c:pt idx="14">
                        <c:v>51</c:v>
                      </c:pt>
                      <c:pt idx="15">
                        <c:v>51</c:v>
                      </c:pt>
                      <c:pt idx="16">
                        <c:v>51</c:v>
                      </c:pt>
                      <c:pt idx="17">
                        <c:v>51</c:v>
                      </c:pt>
                    </c:numCache>
                  </c:numRef>
                </c:val>
                <c:smooth val="0"/>
                <c:extLst xmlns:c15="http://schemas.microsoft.com/office/drawing/2012/chart">
                  <c:ext xmlns:c16="http://schemas.microsoft.com/office/drawing/2014/chart" uri="{C3380CC4-5D6E-409C-BE32-E72D297353CC}">
                    <c16:uniqueId val="{00000005-6F1F-4F70-8D23-5F69B4F66EAF}"/>
                  </c:ext>
                </c:extLst>
              </c15:ser>
            </c15:filteredLineSeries>
            <c15:filteredLineSeries>
              <c15:ser>
                <c:idx val="9"/>
                <c:order val="11"/>
                <c:tx>
                  <c:strRef>
                    <c:extLst xmlns:c15="http://schemas.microsoft.com/office/drawing/2012/chart">
                      <c:ext xmlns:c15="http://schemas.microsoft.com/office/drawing/2012/chart" uri="{02D57815-91ED-43cb-92C2-25804820EDAC}">
                        <c15:formulaRef>
                          <c15:sqref>'6. Summary Tracking Sheet'!$BZ$3</c15:sqref>
                        </c15:formulaRef>
                      </c:ext>
                    </c:extLst>
                    <c:strCache>
                      <c:ptCount val="1"/>
                      <c:pt idx="0">
                        <c:v>ReadyForInstallation_AC(SUM)</c:v>
                      </c:pt>
                    </c:strCache>
                  </c:strRef>
                </c:tx>
                <c:spPr>
                  <a:ln w="22225" cap="rnd">
                    <a:solidFill>
                      <a:schemeClr val="accent4">
                        <a:lumMod val="60000"/>
                      </a:schemeClr>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xmlns:c15="http://schemas.microsoft.com/office/drawing/2012/chart">
                    <c:ext xmlns:c15="http://schemas.microsoft.com/office/drawing/2012/chart" uri="{CE6537A1-D6FC-4f65-9D91-7224C49458BB}">
                      <c15:showLeaderLines val="1"/>
                      <c15:leaderLines>
                        <c:spPr>
                          <a:ln w="9525" cap="flat" cmpd="sng" algn="ctr">
                            <a:solidFill>
                              <a:schemeClr val="dk1">
                                <a:lumMod val="35000"/>
                                <a:lumOff val="65000"/>
                              </a:schemeClr>
                            </a:solidFill>
                            <a:round/>
                          </a:ln>
                          <a:effectLst/>
                        </c:spPr>
                      </c15:leaderLines>
                    </c:ext>
                  </c:extLst>
                </c:dLbls>
                <c:val>
                  <c:numRef>
                    <c:extLst>
                      <c:ext xmlns:c15="http://schemas.microsoft.com/office/drawing/2012/chart" uri="{02D57815-91ED-43cb-92C2-25804820EDAC}">
                        <c15:fullRef>
                          <c15:sqref>'6. Summary Tracking Sheet'!$CB$4:$CB$44</c15:sqref>
                        </c15:fullRef>
                        <c15:formulaRef>
                          <c15:sqref>'6. Summary Tracking Sheet'!$CB$23:$CB$40</c15:sqref>
                        </c15:formulaRef>
                      </c:ext>
                    </c:extLst>
                    <c:numCache>
                      <c:formatCode>0;\-0;\-;@</c:formatCode>
                      <c:ptCount val="18"/>
                      <c:pt idx="0">
                        <c:v>0</c:v>
                      </c:pt>
                      <c:pt idx="1">
                        <c:v>0</c:v>
                      </c:pt>
                      <c:pt idx="2">
                        <c:v>0</c:v>
                      </c:pt>
                      <c:pt idx="3">
                        <c:v>0</c:v>
                      </c:pt>
                      <c:pt idx="4">
                        <c:v>0</c:v>
                      </c:pt>
                      <c:pt idx="5">
                        <c:v>0</c:v>
                      </c:pt>
                      <c:pt idx="6">
                        <c:v>0</c:v>
                      </c:pt>
                      <c:pt idx="7">
                        <c:v>0</c:v>
                      </c:pt>
                      <c:pt idx="8">
                        <c:v>5000</c:v>
                      </c:pt>
                      <c:pt idx="9">
                        <c:v>17500</c:v>
                      </c:pt>
                      <c:pt idx="10">
                        <c:v>40000</c:v>
                      </c:pt>
                      <c:pt idx="11">
                        <c:v>70000</c:v>
                      </c:pt>
                      <c:pt idx="12">
                        <c:v>95000</c:v>
                      </c:pt>
                      <c:pt idx="13">
                        <c:v>100000</c:v>
                      </c:pt>
                      <c:pt idx="14">
                        <c:v>100000</c:v>
                      </c:pt>
                      <c:pt idx="15">
                        <c:v>100000</c:v>
                      </c:pt>
                      <c:pt idx="16">
                        <c:v>100000</c:v>
                      </c:pt>
                      <c:pt idx="17">
                        <c:v>100000</c:v>
                      </c:pt>
                    </c:numCache>
                  </c:numRef>
                </c:val>
                <c:smooth val="0"/>
                <c:extLst xmlns:c15="http://schemas.microsoft.com/office/drawing/2012/chart">
                  <c:ext xmlns:c16="http://schemas.microsoft.com/office/drawing/2014/chart" uri="{C3380CC4-5D6E-409C-BE32-E72D297353CC}">
                    <c16:uniqueId val="{00000010-6F1F-4F70-8D23-5F69B4F66EAF}"/>
                  </c:ext>
                </c:extLst>
              </c15:ser>
            </c15:filteredLineSeries>
            <c15:filteredLineSeries>
              <c15:ser>
                <c:idx val="10"/>
                <c:order val="12"/>
                <c:tx>
                  <c:strRef>
                    <c:extLst xmlns:c15="http://schemas.microsoft.com/office/drawing/2012/chart">
                      <c:ext xmlns:c15="http://schemas.microsoft.com/office/drawing/2012/chart" uri="{02D57815-91ED-43cb-92C2-25804820EDAC}">
                        <c15:formulaRef>
                          <c15:sqref>'6. Summary Tracking Sheet'!$CH$3</c15:sqref>
                        </c15:formulaRef>
                      </c:ext>
                    </c:extLst>
                    <c:strCache>
                      <c:ptCount val="1"/>
                      <c:pt idx="0">
                        <c:v>ReadyForIntegration_BL(SUM)</c:v>
                      </c:pt>
                    </c:strCache>
                  </c:strRef>
                </c:tx>
                <c:spPr>
                  <a:ln w="22225" cap="rnd">
                    <a:solidFill>
                      <a:schemeClr val="accent5">
                        <a:lumMod val="60000"/>
                      </a:schemeClr>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xmlns:c15="http://schemas.microsoft.com/office/drawing/2012/chart">
                    <c:ext xmlns:c15="http://schemas.microsoft.com/office/drawing/2012/chart" uri="{CE6537A1-D6FC-4f65-9D91-7224C49458BB}">
                      <c15:showLeaderLines val="1"/>
                      <c15:leaderLines>
                        <c:spPr>
                          <a:ln w="9525" cap="flat" cmpd="sng" algn="ctr">
                            <a:solidFill>
                              <a:schemeClr val="dk1">
                                <a:lumMod val="35000"/>
                                <a:lumOff val="65000"/>
                              </a:schemeClr>
                            </a:solidFill>
                            <a:round/>
                          </a:ln>
                          <a:effectLst/>
                        </c:spPr>
                      </c15:leaderLines>
                    </c:ext>
                  </c:extLst>
                </c:dLbls>
                <c:val>
                  <c:numRef>
                    <c:extLst>
                      <c:ext xmlns:c15="http://schemas.microsoft.com/office/drawing/2012/chart" uri="{02D57815-91ED-43cb-92C2-25804820EDAC}">
                        <c15:fullRef>
                          <c15:sqref>'6. Summary Tracking Sheet'!$CJ$4:$CJ$44</c15:sqref>
                        </c15:fullRef>
                        <c15:formulaRef>
                          <c15:sqref>'6. Summary Tracking Sheet'!$CJ$23:$CJ$40</c15:sqref>
                        </c15:formulaRef>
                      </c:ext>
                    </c:extLst>
                    <c:numCache>
                      <c:formatCode>0;\-0;\-;@</c:formatCode>
                      <c:ptCount val="18"/>
                      <c:pt idx="0">
                        <c:v>0</c:v>
                      </c:pt>
                      <c:pt idx="1">
                        <c:v>0</c:v>
                      </c:pt>
                      <c:pt idx="2">
                        <c:v>0</c:v>
                      </c:pt>
                      <c:pt idx="3">
                        <c:v>0</c:v>
                      </c:pt>
                      <c:pt idx="4">
                        <c:v>0</c:v>
                      </c:pt>
                      <c:pt idx="5">
                        <c:v>0</c:v>
                      </c:pt>
                      <c:pt idx="6">
                        <c:v>0</c:v>
                      </c:pt>
                      <c:pt idx="7">
                        <c:v>0</c:v>
                      </c:pt>
                      <c:pt idx="8">
                        <c:v>2</c:v>
                      </c:pt>
                      <c:pt idx="9">
                        <c:v>7</c:v>
                      </c:pt>
                      <c:pt idx="10">
                        <c:v>16</c:v>
                      </c:pt>
                      <c:pt idx="11">
                        <c:v>28</c:v>
                      </c:pt>
                      <c:pt idx="12">
                        <c:v>38</c:v>
                      </c:pt>
                      <c:pt idx="13">
                        <c:v>40</c:v>
                      </c:pt>
                      <c:pt idx="14">
                        <c:v>40</c:v>
                      </c:pt>
                      <c:pt idx="15">
                        <c:v>40</c:v>
                      </c:pt>
                      <c:pt idx="16">
                        <c:v>40</c:v>
                      </c:pt>
                      <c:pt idx="17">
                        <c:v>40</c:v>
                      </c:pt>
                    </c:numCache>
                  </c:numRef>
                </c:val>
                <c:smooth val="0"/>
                <c:extLst xmlns:c15="http://schemas.microsoft.com/office/drawing/2012/chart">
                  <c:ext xmlns:c16="http://schemas.microsoft.com/office/drawing/2014/chart" uri="{C3380CC4-5D6E-409C-BE32-E72D297353CC}">
                    <c16:uniqueId val="{00000006-6F1F-4F70-8D23-5F69B4F66EAF}"/>
                  </c:ext>
                </c:extLst>
              </c15:ser>
            </c15:filteredLineSeries>
            <c15:filteredLineSeries>
              <c15:ser>
                <c:idx val="11"/>
                <c:order val="13"/>
                <c:tx>
                  <c:strRef>
                    <c:extLst xmlns:c15="http://schemas.microsoft.com/office/drawing/2012/chart">
                      <c:ext xmlns:c15="http://schemas.microsoft.com/office/drawing/2012/chart" uri="{02D57815-91ED-43cb-92C2-25804820EDAC}">
                        <c15:formulaRef>
                          <c15:sqref>'6. Summary Tracking Sheet'!$CJ$3</c15:sqref>
                        </c15:formulaRef>
                      </c:ext>
                    </c:extLst>
                    <c:strCache>
                      <c:ptCount val="1"/>
                      <c:pt idx="0">
                        <c:v>ReadyForIntegration_AC(SUM)</c:v>
                      </c:pt>
                    </c:strCache>
                  </c:strRef>
                </c:tx>
                <c:spPr>
                  <a:ln w="22225" cap="rnd">
                    <a:solidFill>
                      <a:schemeClr val="accent6">
                        <a:lumMod val="60000"/>
                      </a:schemeClr>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xmlns:c15="http://schemas.microsoft.com/office/drawing/2012/chart">
                    <c:ext xmlns:c15="http://schemas.microsoft.com/office/drawing/2012/chart" uri="{CE6537A1-D6FC-4f65-9D91-7224C49458BB}">
                      <c15:showLeaderLines val="1"/>
                      <c15:leaderLines>
                        <c:spPr>
                          <a:ln w="9525" cap="flat" cmpd="sng" algn="ctr">
                            <a:solidFill>
                              <a:schemeClr val="dk1">
                                <a:lumMod val="35000"/>
                                <a:lumOff val="65000"/>
                              </a:schemeClr>
                            </a:solidFill>
                            <a:round/>
                          </a:ln>
                          <a:effectLst/>
                        </c:spPr>
                      </c15:leaderLines>
                    </c:ext>
                  </c:extLst>
                </c:dLbls>
                <c:val>
                  <c:numRef>
                    <c:extLst>
                      <c:ext xmlns:c15="http://schemas.microsoft.com/office/drawing/2012/chart" uri="{02D57815-91ED-43cb-92C2-25804820EDAC}">
                        <c15:fullRef>
                          <c15:sqref>'6. Summary Tracking Sheet'!$CL$4:$CL$44</c15:sqref>
                        </c15:fullRef>
                        <c15:formulaRef>
                          <c15:sqref>'6. Summary Tracking Sheet'!$CL$23:$CL$40</c15:sqref>
                        </c15:formulaRef>
                      </c:ext>
                    </c:extLst>
                    <c:numCache>
                      <c:formatCode>0;\-0;\-;@</c:formatCode>
                      <c:ptCount val="18"/>
                      <c:pt idx="0">
                        <c:v>0</c:v>
                      </c:pt>
                      <c:pt idx="1">
                        <c:v>0</c:v>
                      </c:pt>
                      <c:pt idx="2">
                        <c:v>0</c:v>
                      </c:pt>
                      <c:pt idx="3">
                        <c:v>0</c:v>
                      </c:pt>
                      <c:pt idx="4">
                        <c:v>0</c:v>
                      </c:pt>
                      <c:pt idx="5">
                        <c:v>0</c:v>
                      </c:pt>
                      <c:pt idx="6">
                        <c:v>0</c:v>
                      </c:pt>
                      <c:pt idx="7">
                        <c:v>0</c:v>
                      </c:pt>
                      <c:pt idx="8">
                        <c:v>500</c:v>
                      </c:pt>
                      <c:pt idx="9">
                        <c:v>3000</c:v>
                      </c:pt>
                      <c:pt idx="10">
                        <c:v>5000</c:v>
                      </c:pt>
                      <c:pt idx="11">
                        <c:v>10500</c:v>
                      </c:pt>
                      <c:pt idx="12">
                        <c:v>14000</c:v>
                      </c:pt>
                      <c:pt idx="13">
                        <c:v>15000</c:v>
                      </c:pt>
                      <c:pt idx="14">
                        <c:v>15000</c:v>
                      </c:pt>
                      <c:pt idx="15">
                        <c:v>15000</c:v>
                      </c:pt>
                      <c:pt idx="16">
                        <c:v>15000</c:v>
                      </c:pt>
                      <c:pt idx="17">
                        <c:v>15000</c:v>
                      </c:pt>
                    </c:numCache>
                  </c:numRef>
                </c:val>
                <c:smooth val="0"/>
                <c:extLst xmlns:c15="http://schemas.microsoft.com/office/drawing/2012/chart">
                  <c:ext xmlns:c16="http://schemas.microsoft.com/office/drawing/2014/chart" uri="{C3380CC4-5D6E-409C-BE32-E72D297353CC}">
                    <c16:uniqueId val="{00000011-6F1F-4F70-8D23-5F69B4F66EAF}"/>
                  </c:ext>
                </c:extLst>
              </c15:ser>
            </c15:filteredLineSeries>
            <c15:filteredLineSeries>
              <c15:ser>
                <c:idx val="12"/>
                <c:order val="14"/>
                <c:tx>
                  <c:strRef>
                    <c:extLst xmlns:c15="http://schemas.microsoft.com/office/drawing/2012/chart">
                      <c:ext xmlns:c15="http://schemas.microsoft.com/office/drawing/2012/chart" uri="{02D57815-91ED-43cb-92C2-25804820EDAC}">
                        <c15:formulaRef>
                          <c15:sqref>'6. Summary Tracking Sheet'!$CR$3</c15:sqref>
                        </c15:formulaRef>
                      </c:ext>
                    </c:extLst>
                    <c:strCache>
                      <c:ptCount val="1"/>
                      <c:pt idx="0">
                        <c:v>SiteOnAir_BL(SUM)</c:v>
                      </c:pt>
                    </c:strCache>
                  </c:strRef>
                </c:tx>
                <c:spPr>
                  <a:ln w="22225" cap="rnd">
                    <a:solidFill>
                      <a:schemeClr val="accent1">
                        <a:lumMod val="80000"/>
                        <a:lumOff val="20000"/>
                      </a:schemeClr>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xmlns:c15="http://schemas.microsoft.com/office/drawing/2012/chart">
                    <c:ext xmlns:c15="http://schemas.microsoft.com/office/drawing/2012/chart" uri="{CE6537A1-D6FC-4f65-9D91-7224C49458BB}">
                      <c15:showLeaderLines val="1"/>
                      <c15:leaderLines>
                        <c:spPr>
                          <a:ln w="9525" cap="flat" cmpd="sng" algn="ctr">
                            <a:solidFill>
                              <a:schemeClr val="dk1">
                                <a:lumMod val="35000"/>
                                <a:lumOff val="65000"/>
                              </a:schemeClr>
                            </a:solidFill>
                            <a:round/>
                          </a:ln>
                          <a:effectLst/>
                        </c:spPr>
                      </c15:leaderLines>
                    </c:ext>
                  </c:extLst>
                </c:dLbls>
                <c:val>
                  <c:numRef>
                    <c:extLst>
                      <c:ext xmlns:c15="http://schemas.microsoft.com/office/drawing/2012/chart" uri="{02D57815-91ED-43cb-92C2-25804820EDAC}">
                        <c15:fullRef>
                          <c15:sqref>'6. Summary Tracking Sheet'!$CT$4:$CT$44</c15:sqref>
                        </c15:fullRef>
                        <c15:formulaRef>
                          <c15:sqref>'6. Summary Tracking Sheet'!$CT$23:$CT$40</c15:sqref>
                        </c15:formulaRef>
                      </c:ext>
                    </c:extLst>
                    <c:numCache>
                      <c:formatCode>0;\-0;\-;@</c:formatCode>
                      <c:ptCount val="18"/>
                      <c:pt idx="0">
                        <c:v>0</c:v>
                      </c:pt>
                      <c:pt idx="1">
                        <c:v>0</c:v>
                      </c:pt>
                      <c:pt idx="2">
                        <c:v>0</c:v>
                      </c:pt>
                      <c:pt idx="3">
                        <c:v>0</c:v>
                      </c:pt>
                      <c:pt idx="4">
                        <c:v>0</c:v>
                      </c:pt>
                      <c:pt idx="5">
                        <c:v>0</c:v>
                      </c:pt>
                      <c:pt idx="6">
                        <c:v>0</c:v>
                      </c:pt>
                      <c:pt idx="7">
                        <c:v>0</c:v>
                      </c:pt>
                      <c:pt idx="8">
                        <c:v>1</c:v>
                      </c:pt>
                      <c:pt idx="9">
                        <c:v>6</c:v>
                      </c:pt>
                      <c:pt idx="10">
                        <c:v>10</c:v>
                      </c:pt>
                      <c:pt idx="11">
                        <c:v>21</c:v>
                      </c:pt>
                      <c:pt idx="12">
                        <c:v>28</c:v>
                      </c:pt>
                      <c:pt idx="13">
                        <c:v>30</c:v>
                      </c:pt>
                      <c:pt idx="14">
                        <c:v>30</c:v>
                      </c:pt>
                      <c:pt idx="15">
                        <c:v>30</c:v>
                      </c:pt>
                      <c:pt idx="16">
                        <c:v>30</c:v>
                      </c:pt>
                      <c:pt idx="17">
                        <c:v>30</c:v>
                      </c:pt>
                    </c:numCache>
                  </c:numRef>
                </c:val>
                <c:smooth val="0"/>
                <c:extLst xmlns:c15="http://schemas.microsoft.com/office/drawing/2012/chart">
                  <c:ext xmlns:c16="http://schemas.microsoft.com/office/drawing/2014/chart" uri="{C3380CC4-5D6E-409C-BE32-E72D297353CC}">
                    <c16:uniqueId val="{00000007-6F1F-4F70-8D23-5F69B4F66EAF}"/>
                  </c:ext>
                </c:extLst>
              </c15:ser>
            </c15:filteredLineSeries>
            <c15:filteredLineSeries>
              <c15:ser>
                <c:idx val="13"/>
                <c:order val="15"/>
                <c:tx>
                  <c:strRef>
                    <c:extLst xmlns:c15="http://schemas.microsoft.com/office/drawing/2012/chart">
                      <c:ext xmlns:c15="http://schemas.microsoft.com/office/drawing/2012/chart" uri="{02D57815-91ED-43cb-92C2-25804820EDAC}">
                        <c15:formulaRef>
                          <c15:sqref>'6. Summary Tracking Sheet'!$CT$3</c15:sqref>
                        </c15:formulaRef>
                      </c:ext>
                    </c:extLst>
                    <c:strCache>
                      <c:ptCount val="1"/>
                      <c:pt idx="0">
                        <c:v>SiteOnAir_AC(SUM)</c:v>
                      </c:pt>
                    </c:strCache>
                  </c:strRef>
                </c:tx>
                <c:spPr>
                  <a:ln w="22225" cap="rnd">
                    <a:solidFill>
                      <a:schemeClr val="accent2">
                        <a:lumMod val="80000"/>
                        <a:lumOff val="20000"/>
                      </a:schemeClr>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xmlns:c15="http://schemas.microsoft.com/office/drawing/2012/chart">
                    <c:ext xmlns:c15="http://schemas.microsoft.com/office/drawing/2012/chart" uri="{CE6537A1-D6FC-4f65-9D91-7224C49458BB}">
                      <c15:showLeaderLines val="1"/>
                      <c15:leaderLines>
                        <c:spPr>
                          <a:ln w="9525" cap="flat" cmpd="sng" algn="ctr">
                            <a:solidFill>
                              <a:schemeClr val="dk1">
                                <a:lumMod val="35000"/>
                                <a:lumOff val="65000"/>
                              </a:schemeClr>
                            </a:solidFill>
                            <a:round/>
                          </a:ln>
                          <a:effectLst/>
                        </c:spPr>
                      </c15:leaderLines>
                    </c:ext>
                  </c:extLst>
                </c:dLbls>
                <c:val>
                  <c:numRef>
                    <c:extLst>
                      <c:ext xmlns:c15="http://schemas.microsoft.com/office/drawing/2012/chart" uri="{02D57815-91ED-43cb-92C2-25804820EDAC}">
                        <c15:fullRef>
                          <c15:sqref>'6. Summary Tracking Sheet'!$CV$4:$CV$44</c15:sqref>
                        </c15:fullRef>
                        <c15:formulaRef>
                          <c15:sqref>'6. Summary Tracking Sheet'!$CV$23:$CV$40</c15:sqref>
                        </c15:formulaRef>
                      </c:ext>
                    </c:extLst>
                    <c:numCache>
                      <c:formatCode>0;\-0;\-;@</c:formatCode>
                      <c:ptCount val="18"/>
                      <c:pt idx="0">
                        <c:v>0</c:v>
                      </c:pt>
                      <c:pt idx="1">
                        <c:v>0</c:v>
                      </c:pt>
                      <c:pt idx="2">
                        <c:v>0</c:v>
                      </c:pt>
                      <c:pt idx="3">
                        <c:v>0</c:v>
                      </c:pt>
                      <c:pt idx="4">
                        <c:v>0</c:v>
                      </c:pt>
                      <c:pt idx="5">
                        <c:v>0</c:v>
                      </c:pt>
                      <c:pt idx="6">
                        <c:v>0</c:v>
                      </c:pt>
                      <c:pt idx="7">
                        <c:v>0</c:v>
                      </c:pt>
                      <c:pt idx="8">
                        <c:v>0</c:v>
                      </c:pt>
                      <c:pt idx="9">
                        <c:v>500</c:v>
                      </c:pt>
                      <c:pt idx="10">
                        <c:v>1250</c:v>
                      </c:pt>
                      <c:pt idx="11">
                        <c:v>3750</c:v>
                      </c:pt>
                      <c:pt idx="12">
                        <c:v>4750</c:v>
                      </c:pt>
                      <c:pt idx="13">
                        <c:v>5000</c:v>
                      </c:pt>
                      <c:pt idx="14">
                        <c:v>5000</c:v>
                      </c:pt>
                      <c:pt idx="15">
                        <c:v>5000</c:v>
                      </c:pt>
                      <c:pt idx="16">
                        <c:v>5000</c:v>
                      </c:pt>
                      <c:pt idx="17">
                        <c:v>5000</c:v>
                      </c:pt>
                    </c:numCache>
                  </c:numRef>
                </c:val>
                <c:smooth val="0"/>
                <c:extLst xmlns:c15="http://schemas.microsoft.com/office/drawing/2012/chart">
                  <c:ext xmlns:c16="http://schemas.microsoft.com/office/drawing/2014/chart" uri="{C3380CC4-5D6E-409C-BE32-E72D297353CC}">
                    <c16:uniqueId val="{00000012-6F1F-4F70-8D23-5F69B4F66EAF}"/>
                  </c:ext>
                </c:extLst>
              </c15:ser>
            </c15:filteredLineSeries>
            <c15:filteredLineSeries>
              <c15:ser>
                <c:idx val="14"/>
                <c:order val="16"/>
                <c:tx>
                  <c:strRef>
                    <c:extLst xmlns:c15="http://schemas.microsoft.com/office/drawing/2012/chart">
                      <c:ext xmlns:c15="http://schemas.microsoft.com/office/drawing/2012/chart" uri="{02D57815-91ED-43cb-92C2-25804820EDAC}">
                        <c15:formulaRef>
                          <c15:sqref>'6. Summary Tracking Sheet'!$DB$3</c15:sqref>
                        </c15:formulaRef>
                      </c:ext>
                    </c:extLst>
                    <c:strCache>
                      <c:ptCount val="1"/>
                      <c:pt idx="0">
                        <c:v>SiteAccepted_BL(SUM)</c:v>
                      </c:pt>
                    </c:strCache>
                  </c:strRef>
                </c:tx>
                <c:spPr>
                  <a:ln w="22225" cap="rnd">
                    <a:solidFill>
                      <a:schemeClr val="accent3">
                        <a:lumMod val="80000"/>
                        <a:lumOff val="20000"/>
                      </a:schemeClr>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xmlns:c15="http://schemas.microsoft.com/office/drawing/2012/chart">
                    <c:ext xmlns:c15="http://schemas.microsoft.com/office/drawing/2012/chart" uri="{CE6537A1-D6FC-4f65-9D91-7224C49458BB}">
                      <c15:showLeaderLines val="1"/>
                      <c15:leaderLines>
                        <c:spPr>
                          <a:ln w="9525" cap="flat" cmpd="sng" algn="ctr">
                            <a:solidFill>
                              <a:schemeClr val="dk1">
                                <a:lumMod val="35000"/>
                                <a:lumOff val="65000"/>
                              </a:schemeClr>
                            </a:solidFill>
                            <a:round/>
                          </a:ln>
                          <a:effectLst/>
                        </c:spPr>
                      </c15:leaderLines>
                    </c:ext>
                  </c:extLst>
                </c:dLbls>
                <c:val>
                  <c:numRef>
                    <c:extLst>
                      <c:ext xmlns:c15="http://schemas.microsoft.com/office/drawing/2012/chart" uri="{02D57815-91ED-43cb-92C2-25804820EDAC}">
                        <c15:fullRef>
                          <c15:sqref>'6. Summary Tracking Sheet'!$DD$4:$DD$44</c15:sqref>
                        </c15:fullRef>
                        <c15:formulaRef>
                          <c15:sqref>'6. Summary Tracking Sheet'!$DD$23:$DD$40</c15:sqref>
                        </c15:formulaRef>
                      </c:ext>
                    </c:extLst>
                    <c:numCache>
                      <c:formatCode>0;\-0;\-;@</c:formatCode>
                      <c:ptCount val="18"/>
                      <c:pt idx="0">
                        <c:v>0</c:v>
                      </c:pt>
                      <c:pt idx="1">
                        <c:v>0</c:v>
                      </c:pt>
                      <c:pt idx="2">
                        <c:v>0</c:v>
                      </c:pt>
                      <c:pt idx="3">
                        <c:v>0</c:v>
                      </c:pt>
                      <c:pt idx="4">
                        <c:v>0</c:v>
                      </c:pt>
                      <c:pt idx="5">
                        <c:v>0</c:v>
                      </c:pt>
                      <c:pt idx="6">
                        <c:v>0</c:v>
                      </c:pt>
                      <c:pt idx="7">
                        <c:v>0</c:v>
                      </c:pt>
                      <c:pt idx="8">
                        <c:v>0</c:v>
                      </c:pt>
                      <c:pt idx="9">
                        <c:v>2</c:v>
                      </c:pt>
                      <c:pt idx="10">
                        <c:v>5</c:v>
                      </c:pt>
                      <c:pt idx="11">
                        <c:v>15</c:v>
                      </c:pt>
                      <c:pt idx="12">
                        <c:v>19</c:v>
                      </c:pt>
                      <c:pt idx="13">
                        <c:v>20</c:v>
                      </c:pt>
                      <c:pt idx="14">
                        <c:v>20</c:v>
                      </c:pt>
                      <c:pt idx="15">
                        <c:v>20</c:v>
                      </c:pt>
                      <c:pt idx="16">
                        <c:v>20</c:v>
                      </c:pt>
                      <c:pt idx="17">
                        <c:v>20</c:v>
                      </c:pt>
                    </c:numCache>
                  </c:numRef>
                </c:val>
                <c:smooth val="0"/>
                <c:extLst xmlns:c15="http://schemas.microsoft.com/office/drawing/2012/chart">
                  <c:ext xmlns:c16="http://schemas.microsoft.com/office/drawing/2014/chart" uri="{C3380CC4-5D6E-409C-BE32-E72D297353CC}">
                    <c16:uniqueId val="{00000008-6F1F-4F70-8D23-5F69B4F66EAF}"/>
                  </c:ext>
                </c:extLst>
              </c15:ser>
            </c15:filteredLineSeries>
            <c15:filteredLineSeries>
              <c15:ser>
                <c:idx val="15"/>
                <c:order val="17"/>
                <c:tx>
                  <c:strRef>
                    <c:extLst xmlns:c15="http://schemas.microsoft.com/office/drawing/2012/chart">
                      <c:ext xmlns:c15="http://schemas.microsoft.com/office/drawing/2012/chart" uri="{02D57815-91ED-43cb-92C2-25804820EDAC}">
                        <c15:formulaRef>
                          <c15:sqref>'6. Summary Tracking Sheet'!$DD$3</c15:sqref>
                        </c15:formulaRef>
                      </c:ext>
                    </c:extLst>
                    <c:strCache>
                      <c:ptCount val="1"/>
                      <c:pt idx="0">
                        <c:v>SiteAccepted_AC(SUM)</c:v>
                      </c:pt>
                    </c:strCache>
                  </c:strRef>
                </c:tx>
                <c:spPr>
                  <a:ln w="22225" cap="rnd">
                    <a:solidFill>
                      <a:schemeClr val="accent4">
                        <a:lumMod val="80000"/>
                        <a:lumOff val="20000"/>
                      </a:schemeClr>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xmlns:c15="http://schemas.microsoft.com/office/drawing/2012/chart">
                    <c:ext xmlns:c15="http://schemas.microsoft.com/office/drawing/2012/chart" uri="{CE6537A1-D6FC-4f65-9D91-7224C49458BB}">
                      <c15:showLeaderLines val="1"/>
                      <c15:leaderLines>
                        <c:spPr>
                          <a:ln w="9525" cap="flat" cmpd="sng" algn="ctr">
                            <a:solidFill>
                              <a:schemeClr val="dk1">
                                <a:lumMod val="35000"/>
                                <a:lumOff val="65000"/>
                              </a:schemeClr>
                            </a:solidFill>
                            <a:round/>
                          </a:ln>
                          <a:effectLst/>
                        </c:spPr>
                      </c15:leaderLines>
                    </c:ext>
                  </c:extLst>
                </c:dLbls>
                <c:val>
                  <c:numRef>
                    <c:extLst>
                      <c:ext xmlns:c15="http://schemas.microsoft.com/office/drawing/2012/chart" uri="{02D57815-91ED-43cb-92C2-25804820EDAC}">
                        <c15:fullRef>
                          <c15:sqref>'6. Summary Tracking Sheet'!$DF$4:$DF$44</c15:sqref>
                        </c15:fullRef>
                        <c15:formulaRef>
                          <c15:sqref>'6. Summary Tracking Sheet'!$DF$23:$DF$40</c15:sqref>
                        </c15:formulaRef>
                      </c:ext>
                    </c:extLst>
                    <c:numCache>
                      <c:formatCode>0;\-0;\-;@</c:formatCode>
                      <c:ptCount val="18"/>
                      <c:pt idx="0">
                        <c:v>0</c:v>
                      </c:pt>
                      <c:pt idx="1">
                        <c:v>0</c:v>
                      </c:pt>
                      <c:pt idx="2">
                        <c:v>0</c:v>
                      </c:pt>
                      <c:pt idx="3">
                        <c:v>0</c:v>
                      </c:pt>
                      <c:pt idx="4">
                        <c:v>0</c:v>
                      </c:pt>
                      <c:pt idx="5">
                        <c:v>0</c:v>
                      </c:pt>
                      <c:pt idx="6">
                        <c:v>0</c:v>
                      </c:pt>
                      <c:pt idx="7">
                        <c:v>0</c:v>
                      </c:pt>
                      <c:pt idx="8">
                        <c:v>0</c:v>
                      </c:pt>
                      <c:pt idx="9">
                        <c:v>0</c:v>
                      </c:pt>
                      <c:pt idx="10">
                        <c:v>200</c:v>
                      </c:pt>
                      <c:pt idx="11">
                        <c:v>600</c:v>
                      </c:pt>
                      <c:pt idx="12">
                        <c:v>1400</c:v>
                      </c:pt>
                      <c:pt idx="13">
                        <c:v>1800</c:v>
                      </c:pt>
                      <c:pt idx="14">
                        <c:v>2000</c:v>
                      </c:pt>
                      <c:pt idx="15">
                        <c:v>2000</c:v>
                      </c:pt>
                      <c:pt idx="16">
                        <c:v>2000</c:v>
                      </c:pt>
                      <c:pt idx="17">
                        <c:v>2000</c:v>
                      </c:pt>
                    </c:numCache>
                  </c:numRef>
                </c:val>
                <c:smooth val="0"/>
                <c:extLst xmlns:c15="http://schemas.microsoft.com/office/drawing/2012/chart">
                  <c:ext xmlns:c16="http://schemas.microsoft.com/office/drawing/2014/chart" uri="{C3380CC4-5D6E-409C-BE32-E72D297353CC}">
                    <c16:uniqueId val="{00000013-6F1F-4F70-8D23-5F69B4F66EAF}"/>
                  </c:ext>
                </c:extLst>
              </c15:ser>
            </c15:filteredLineSeries>
            <c15:filteredLineSeries>
              <c15:ser>
                <c:idx val="16"/>
                <c:order val="18"/>
                <c:tx>
                  <c:strRef>
                    <c:extLst xmlns:c15="http://schemas.microsoft.com/office/drawing/2012/chart">
                      <c:ext xmlns:c15="http://schemas.microsoft.com/office/drawing/2012/chart" uri="{02D57815-91ED-43cb-92C2-25804820EDAC}">
                        <c15:formulaRef>
                          <c15:sqref>'6. Summary Tracking Sheet'!$DL$3</c15:sqref>
                        </c15:formulaRef>
                      </c:ext>
                    </c:extLst>
                    <c:strCache>
                      <c:ptCount val="1"/>
                      <c:pt idx="0">
                        <c:v>SiteInOperations_BL(SUM)</c:v>
                      </c:pt>
                    </c:strCache>
                  </c:strRef>
                </c:tx>
                <c:spPr>
                  <a:ln w="22225" cap="rnd">
                    <a:solidFill>
                      <a:schemeClr val="accent5">
                        <a:lumMod val="80000"/>
                        <a:lumOff val="20000"/>
                      </a:schemeClr>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xmlns:c15="http://schemas.microsoft.com/office/drawing/2012/chart">
                    <c:ext xmlns:c15="http://schemas.microsoft.com/office/drawing/2012/chart" uri="{CE6537A1-D6FC-4f65-9D91-7224C49458BB}">
                      <c15:showLeaderLines val="1"/>
                      <c15:leaderLines>
                        <c:spPr>
                          <a:ln w="9525" cap="flat" cmpd="sng" algn="ctr">
                            <a:solidFill>
                              <a:schemeClr val="dk1">
                                <a:lumMod val="35000"/>
                                <a:lumOff val="65000"/>
                              </a:schemeClr>
                            </a:solidFill>
                            <a:round/>
                          </a:ln>
                          <a:effectLst/>
                        </c:spPr>
                      </c15:leaderLines>
                    </c:ext>
                  </c:extLst>
                </c:dLbls>
                <c:val>
                  <c:numRef>
                    <c:extLst>
                      <c:ext xmlns:c15="http://schemas.microsoft.com/office/drawing/2012/chart" uri="{02D57815-91ED-43cb-92C2-25804820EDAC}">
                        <c15:fullRef>
                          <c15:sqref>'6. Summary Tracking Sheet'!$DN$4:$DN$44</c15:sqref>
                        </c15:fullRef>
                        <c15:formulaRef>
                          <c15:sqref>'6. Summary Tracking Sheet'!$DN$23:$DN$40</c15:sqref>
                        </c15:formulaRef>
                      </c:ext>
                    </c:extLst>
                    <c:numCache>
                      <c:formatCode>0;\-0;\-;@</c:formatCode>
                      <c:ptCount val="18"/>
                      <c:pt idx="0">
                        <c:v>0</c:v>
                      </c:pt>
                      <c:pt idx="1">
                        <c:v>0</c:v>
                      </c:pt>
                      <c:pt idx="2">
                        <c:v>0</c:v>
                      </c:pt>
                      <c:pt idx="3">
                        <c:v>0</c:v>
                      </c:pt>
                      <c:pt idx="4">
                        <c:v>0</c:v>
                      </c:pt>
                      <c:pt idx="5">
                        <c:v>0</c:v>
                      </c:pt>
                      <c:pt idx="6">
                        <c:v>0</c:v>
                      </c:pt>
                      <c:pt idx="7">
                        <c:v>0</c:v>
                      </c:pt>
                      <c:pt idx="8">
                        <c:v>0</c:v>
                      </c:pt>
                      <c:pt idx="9">
                        <c:v>0</c:v>
                      </c:pt>
                      <c:pt idx="10">
                        <c:v>1</c:v>
                      </c:pt>
                      <c:pt idx="11">
                        <c:v>3</c:v>
                      </c:pt>
                      <c:pt idx="12">
                        <c:v>7</c:v>
                      </c:pt>
                      <c:pt idx="13">
                        <c:v>9</c:v>
                      </c:pt>
                      <c:pt idx="14">
                        <c:v>10</c:v>
                      </c:pt>
                      <c:pt idx="15">
                        <c:v>10</c:v>
                      </c:pt>
                      <c:pt idx="16">
                        <c:v>10</c:v>
                      </c:pt>
                      <c:pt idx="17">
                        <c:v>10</c:v>
                      </c:pt>
                    </c:numCache>
                  </c:numRef>
                </c:val>
                <c:smooth val="0"/>
                <c:extLst xmlns:c15="http://schemas.microsoft.com/office/drawing/2012/chart">
                  <c:ext xmlns:c16="http://schemas.microsoft.com/office/drawing/2014/chart" uri="{C3380CC4-5D6E-409C-BE32-E72D297353CC}">
                    <c16:uniqueId val="{00000009-6F1F-4F70-8D23-5F69B4F66EAF}"/>
                  </c:ext>
                </c:extLst>
              </c15:ser>
            </c15:filteredLineSeries>
            <c15:filteredLineSeries>
              <c15:ser>
                <c:idx val="17"/>
                <c:order val="19"/>
                <c:tx>
                  <c:strRef>
                    <c:extLst xmlns:c15="http://schemas.microsoft.com/office/drawing/2012/chart">
                      <c:ext xmlns:c15="http://schemas.microsoft.com/office/drawing/2012/chart" uri="{02D57815-91ED-43cb-92C2-25804820EDAC}">
                        <c15:formulaRef>
                          <c15:sqref>'6. Summary Tracking Sheet'!$DN$3</c15:sqref>
                        </c15:formulaRef>
                      </c:ext>
                    </c:extLst>
                    <c:strCache>
                      <c:ptCount val="1"/>
                      <c:pt idx="0">
                        <c:v>SiteInOperations_AC(SUM)</c:v>
                      </c:pt>
                    </c:strCache>
                  </c:strRef>
                </c:tx>
                <c:spPr>
                  <a:ln w="22225" cap="rnd">
                    <a:solidFill>
                      <a:schemeClr val="accent6">
                        <a:lumMod val="80000"/>
                        <a:lumOff val="20000"/>
                      </a:schemeClr>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xmlns:c15="http://schemas.microsoft.com/office/drawing/2012/chart">
                    <c:ext xmlns:c15="http://schemas.microsoft.com/office/drawing/2012/chart" uri="{CE6537A1-D6FC-4f65-9D91-7224C49458BB}">
                      <c15:showLeaderLines val="1"/>
                      <c15:leaderLines>
                        <c:spPr>
                          <a:ln w="9525" cap="flat" cmpd="sng" algn="ctr">
                            <a:solidFill>
                              <a:schemeClr val="dk1">
                                <a:lumMod val="35000"/>
                                <a:lumOff val="65000"/>
                              </a:schemeClr>
                            </a:solidFill>
                            <a:round/>
                          </a:ln>
                          <a:effectLst/>
                        </c:spPr>
                      </c15:leaderLines>
                    </c:ext>
                  </c:extLst>
                </c:dLbls>
                <c:val>
                  <c:numRef>
                    <c:extLst>
                      <c:ext xmlns:c15="http://schemas.microsoft.com/office/drawing/2012/chart" uri="{02D57815-91ED-43cb-92C2-25804820EDAC}">
                        <c15:fullRef>
                          <c15:sqref>'6. Summary Tracking Sheet'!$DP$4:$DP$44</c15:sqref>
                        </c15:fullRef>
                        <c15:formulaRef>
                          <c15:sqref>'6. Summary Tracking Sheet'!$DP$23:$DP$40</c15:sqref>
                        </c15:formulaRef>
                      </c:ext>
                    </c:extLst>
                    <c:numCache>
                      <c:formatCode>_(* #,##0_);_(* \(#,##0\);_(* "-"??_);_(@_)</c:formatCode>
                      <c:ptCount val="18"/>
                      <c:pt idx="0">
                        <c:v>0</c:v>
                      </c:pt>
                      <c:pt idx="1">
                        <c:v>0</c:v>
                      </c:pt>
                      <c:pt idx="2">
                        <c:v>1000</c:v>
                      </c:pt>
                      <c:pt idx="3">
                        <c:v>7000</c:v>
                      </c:pt>
                      <c:pt idx="4">
                        <c:v>20350</c:v>
                      </c:pt>
                      <c:pt idx="5">
                        <c:v>44150</c:v>
                      </c:pt>
                      <c:pt idx="6">
                        <c:v>73500</c:v>
                      </c:pt>
                      <c:pt idx="7">
                        <c:v>124200</c:v>
                      </c:pt>
                      <c:pt idx="8">
                        <c:v>190800</c:v>
                      </c:pt>
                      <c:pt idx="9">
                        <c:v>279500</c:v>
                      </c:pt>
                      <c:pt idx="10">
                        <c:v>387900</c:v>
                      </c:pt>
                      <c:pt idx="11">
                        <c:v>480700</c:v>
                      </c:pt>
                      <c:pt idx="12">
                        <c:v>602700</c:v>
                      </c:pt>
                      <c:pt idx="13">
                        <c:v>686850</c:v>
                      </c:pt>
                      <c:pt idx="14">
                        <c:v>742450</c:v>
                      </c:pt>
                      <c:pt idx="15">
                        <c:v>760150</c:v>
                      </c:pt>
                      <c:pt idx="16">
                        <c:v>767200</c:v>
                      </c:pt>
                      <c:pt idx="17">
                        <c:v>770000</c:v>
                      </c:pt>
                    </c:numCache>
                  </c:numRef>
                </c:val>
                <c:smooth val="0"/>
                <c:extLst xmlns:c15="http://schemas.microsoft.com/office/drawing/2012/chart">
                  <c:ext xmlns:c16="http://schemas.microsoft.com/office/drawing/2014/chart" uri="{C3380CC4-5D6E-409C-BE32-E72D297353CC}">
                    <c16:uniqueId val="{0000000A-6F1F-4F70-8D23-5F69B4F66EAF}"/>
                  </c:ext>
                </c:extLst>
              </c15:ser>
            </c15:filteredLineSeries>
          </c:ext>
        </c:extLst>
      </c:lineChart>
      <c:catAx>
        <c:axId val="550300207"/>
        <c:scaling>
          <c:orientation val="minMax"/>
        </c:scaling>
        <c:delete val="0"/>
        <c:axPos val="b"/>
        <c:majorGridlines>
          <c:spPr>
            <a:ln w="9525" cap="flat" cmpd="sng" algn="ctr">
              <a:solidFill>
                <a:schemeClr val="dk1">
                  <a:lumMod val="15000"/>
                  <a:lumOff val="85000"/>
                  <a:alpha val="54000"/>
                </a:schemeClr>
              </a:solidFill>
              <a:round/>
            </a:ln>
            <a:effectLst/>
          </c:spPr>
        </c:majorGridlines>
        <c:minorGridlines>
          <c:spPr>
            <a:ln w="9525" cap="flat" cmpd="sng" algn="ctr">
              <a:solidFill>
                <a:schemeClr val="dk1">
                  <a:lumMod val="15000"/>
                  <a:lumOff val="85000"/>
                  <a:alpha val="51000"/>
                </a:schemeClr>
              </a:solidFill>
              <a:round/>
            </a:ln>
            <a:effectLst/>
          </c:spPr>
        </c:minorGridlines>
        <c:title>
          <c:tx>
            <c:rich>
              <a:bodyPr rot="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r>
                  <a:rPr lang="en-US"/>
                  <a:t>Week</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endParaRPr lang="en-US"/>
            </a:p>
          </c:txPr>
        </c:title>
        <c:numFmt formatCode="General" sourceLinked="0"/>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cap="none" spc="0" normalizeH="0" baseline="0">
                <a:solidFill>
                  <a:schemeClr val="dk1">
                    <a:lumMod val="65000"/>
                    <a:lumOff val="35000"/>
                  </a:schemeClr>
                </a:solidFill>
                <a:latin typeface="+mn-lt"/>
                <a:ea typeface="+mn-ea"/>
                <a:cs typeface="+mn-cs"/>
              </a:defRPr>
            </a:pPr>
            <a:endParaRPr lang="en-US"/>
          </a:p>
        </c:txPr>
        <c:crossAx val="506817855"/>
        <c:crosses val="autoZero"/>
        <c:auto val="1"/>
        <c:lblAlgn val="ctr"/>
        <c:lblOffset val="100"/>
        <c:noMultiLvlLbl val="0"/>
      </c:catAx>
      <c:valAx>
        <c:axId val="506817855"/>
        <c:scaling>
          <c:orientation val="minMax"/>
        </c:scaling>
        <c:delete val="0"/>
        <c:axPos val="l"/>
        <c:majorGridlines>
          <c:spPr>
            <a:ln w="9525" cap="flat" cmpd="sng" algn="ctr">
              <a:solidFill>
                <a:schemeClr val="dk1">
                  <a:lumMod val="15000"/>
                  <a:lumOff val="85000"/>
                  <a:alpha val="54000"/>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r>
                  <a:rPr lang="en-US"/>
                  <a:t>Sites</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endParaRPr lang="en-US"/>
            </a:p>
          </c:txPr>
        </c:title>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crossAx val="550300207"/>
        <c:crosses val="autoZero"/>
        <c:crossBetween val="between"/>
      </c:valAx>
      <c:dTable>
        <c:showHorzBorder val="1"/>
        <c:showVertBorder val="1"/>
        <c:showOutline val="1"/>
        <c:showKeys val="1"/>
        <c:spPr>
          <a:noFill/>
          <a:ln w="9525" cap="flat" cmpd="sng" algn="ctr">
            <a:solidFill>
              <a:schemeClr val="dk1">
                <a:lumMod val="15000"/>
                <a:lumOff val="85000"/>
              </a:schemeClr>
            </a:solidFill>
            <a:round/>
          </a:ln>
          <a:effectLst/>
        </c:spPr>
        <c:txPr>
          <a:bodyPr rot="0" spcFirstLastPara="1" vertOverflow="ellipsis" vert="horz" wrap="square" anchor="ctr" anchorCtr="1"/>
          <a:lstStyle/>
          <a:p>
            <a:pPr rtl="0">
              <a:defRPr sz="800" b="0" i="0" u="none" strike="noStrike" kern="1200" baseline="0">
                <a:solidFill>
                  <a:schemeClr val="dk1">
                    <a:lumMod val="65000"/>
                    <a:lumOff val="35000"/>
                  </a:schemeClr>
                </a:solidFill>
                <a:latin typeface="+mn-lt"/>
                <a:ea typeface="+mn-ea"/>
                <a:cs typeface="+mn-cs"/>
              </a:defRPr>
            </a:pPr>
            <a:endParaRPr lang="en-US"/>
          </a:p>
        </c:txPr>
      </c:dTable>
      <c:spPr>
        <a:pattFill prst="ltDnDiag">
          <a:fgClr>
            <a:schemeClr val="dk1">
              <a:lumMod val="15000"/>
              <a:lumOff val="85000"/>
            </a:schemeClr>
          </a:fgClr>
          <a:bgClr>
            <a:schemeClr val="lt1"/>
          </a:bgClr>
        </a:patt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strRef>
              <c:f>'6. Summary Tracking Sheet'!$DO$3</c:f>
              <c:strCache>
                <c:ptCount val="1"/>
                <c:pt idx="0">
                  <c:v>AccumulatedEV</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dk1">
                          <a:lumMod val="35000"/>
                          <a:lumOff val="65000"/>
                        </a:schemeClr>
                      </a:solidFill>
                      <a:round/>
                    </a:ln>
                    <a:effectLst/>
                  </c:spPr>
                </c15:leaderLines>
              </c:ext>
            </c:extLst>
          </c:dLbls>
          <c:cat>
            <c:strLit>
              <c:ptCount val="21"/>
              <c:pt idx="0">
                <c:v> 20 </c:v>
              </c:pt>
              <c:pt idx="1">
                <c:v> 21 </c:v>
              </c:pt>
              <c:pt idx="2">
                <c:v> 22 </c:v>
              </c:pt>
              <c:pt idx="3">
                <c:v> 23 </c:v>
              </c:pt>
              <c:pt idx="4">
                <c:v> 24 </c:v>
              </c:pt>
              <c:pt idx="5">
                <c:v> 25 </c:v>
              </c:pt>
              <c:pt idx="6">
                <c:v> 26 </c:v>
              </c:pt>
              <c:pt idx="7">
                <c:v> 27 </c:v>
              </c:pt>
              <c:pt idx="8">
                <c:v> 28 </c:v>
              </c:pt>
              <c:pt idx="9">
                <c:v> 29 </c:v>
              </c:pt>
              <c:pt idx="10">
                <c:v> 30 </c:v>
              </c:pt>
              <c:pt idx="11">
                <c:v> 31 </c:v>
              </c:pt>
              <c:pt idx="12">
                <c:v> 32 </c:v>
              </c:pt>
              <c:pt idx="13">
                <c:v> 33 </c:v>
              </c:pt>
              <c:pt idx="14">
                <c:v> 34 </c:v>
              </c:pt>
              <c:pt idx="15">
                <c:v> 35 </c:v>
              </c:pt>
              <c:pt idx="16">
                <c:v> 36 </c:v>
              </c:pt>
              <c:pt idx="17">
                <c:v> 37 </c:v>
              </c:pt>
              <c:pt idx="18">
                <c:v> 38 </c:v>
              </c:pt>
              <c:pt idx="19">
                <c:v> 39 </c:v>
              </c:pt>
              <c:pt idx="20">
                <c:v> 40 </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'6. Summary Tracking Sheet'!$DO$4:$DO$124</c15:sqref>
                  </c15:fullRef>
                </c:ext>
              </c:extLst>
              <c:f>'6. Summary Tracking Sheet'!$DO$23:$DO$43</c:f>
              <c:numCache>
                <c:formatCode>_(* #,##0_);_(* \(#,##0\);_(* "-"??_);_(@_)</c:formatCode>
                <c:ptCount val="21"/>
                <c:pt idx="0">
                  <c:v>0</c:v>
                </c:pt>
                <c:pt idx="1">
                  <c:v>0</c:v>
                </c:pt>
                <c:pt idx="2">
                  <c:v>500</c:v>
                </c:pt>
                <c:pt idx="3">
                  <c:v>3500</c:v>
                </c:pt>
                <c:pt idx="4">
                  <c:v>9250</c:v>
                </c:pt>
                <c:pt idx="5">
                  <c:v>22450</c:v>
                </c:pt>
                <c:pt idx="6">
                  <c:v>48850</c:v>
                </c:pt>
                <c:pt idx="7">
                  <c:v>82950</c:v>
                </c:pt>
                <c:pt idx="8">
                  <c:v>140300</c:v>
                </c:pt>
                <c:pt idx="9">
                  <c:v>216250</c:v>
                </c:pt>
                <c:pt idx="10">
                  <c:v>296400</c:v>
                </c:pt>
                <c:pt idx="11">
                  <c:v>378750</c:v>
                </c:pt>
                <c:pt idx="12">
                  <c:v>421550</c:v>
                </c:pt>
                <c:pt idx="13">
                  <c:v>429700</c:v>
                </c:pt>
                <c:pt idx="14">
                  <c:v>429900</c:v>
                </c:pt>
                <c:pt idx="15">
                  <c:v>429900</c:v>
                </c:pt>
                <c:pt idx="16">
                  <c:v>429900</c:v>
                </c:pt>
                <c:pt idx="17">
                  <c:v>429900</c:v>
                </c:pt>
                <c:pt idx="18">
                  <c:v>429900</c:v>
                </c:pt>
                <c:pt idx="19">
                  <c:v>429900</c:v>
                </c:pt>
                <c:pt idx="20">
                  <c:v>429900</c:v>
                </c:pt>
              </c:numCache>
            </c:numRef>
          </c:val>
          <c:extLst>
            <c:ext xmlns:c16="http://schemas.microsoft.com/office/drawing/2014/chart" uri="{C3380CC4-5D6E-409C-BE32-E72D297353CC}">
              <c16:uniqueId val="{00000002-3D55-40BF-BE61-940AB4A192CF}"/>
            </c:ext>
          </c:extLst>
        </c:ser>
        <c:ser>
          <c:idx val="1"/>
          <c:order val="1"/>
          <c:tx>
            <c:strRef>
              <c:f>'6. Summary Tracking Sheet'!$DQ$3</c:f>
              <c:strCache>
                <c:ptCount val="1"/>
                <c:pt idx="0">
                  <c:v>AccumulatedAC</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dk1">
                          <a:lumMod val="35000"/>
                          <a:lumOff val="65000"/>
                        </a:schemeClr>
                      </a:solidFill>
                      <a:round/>
                    </a:ln>
                    <a:effectLst/>
                  </c:spPr>
                </c15:leaderLines>
              </c:ext>
            </c:extLst>
          </c:dLbls>
          <c:cat>
            <c:strLit>
              <c:ptCount val="21"/>
              <c:pt idx="0">
                <c:v> 20 </c:v>
              </c:pt>
              <c:pt idx="1">
                <c:v> 21 </c:v>
              </c:pt>
              <c:pt idx="2">
                <c:v> 22 </c:v>
              </c:pt>
              <c:pt idx="3">
                <c:v> 23 </c:v>
              </c:pt>
              <c:pt idx="4">
                <c:v> 24 </c:v>
              </c:pt>
              <c:pt idx="5">
                <c:v> 25 </c:v>
              </c:pt>
              <c:pt idx="6">
                <c:v> 26 </c:v>
              </c:pt>
              <c:pt idx="7">
                <c:v> 27 </c:v>
              </c:pt>
              <c:pt idx="8">
                <c:v> 28 </c:v>
              </c:pt>
              <c:pt idx="9">
                <c:v> 29 </c:v>
              </c:pt>
              <c:pt idx="10">
                <c:v> 30 </c:v>
              </c:pt>
              <c:pt idx="11">
                <c:v> 31 </c:v>
              </c:pt>
              <c:pt idx="12">
                <c:v> 32 </c:v>
              </c:pt>
              <c:pt idx="13">
                <c:v> 33 </c:v>
              </c:pt>
              <c:pt idx="14">
                <c:v> 34 </c:v>
              </c:pt>
              <c:pt idx="15">
                <c:v> 35 </c:v>
              </c:pt>
              <c:pt idx="16">
                <c:v> 36 </c:v>
              </c:pt>
              <c:pt idx="17">
                <c:v> 37 </c:v>
              </c:pt>
              <c:pt idx="18">
                <c:v> 38 </c:v>
              </c:pt>
              <c:pt idx="19">
                <c:v> 39 </c:v>
              </c:pt>
              <c:pt idx="20">
                <c:v> 40 </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'6. Summary Tracking Sheet'!$DQ$4:$DQ$124</c15:sqref>
                  </c15:fullRef>
                </c:ext>
              </c:extLst>
              <c:f>'6. Summary Tracking Sheet'!$DQ$23:$DQ$43</c:f>
              <c:numCache>
                <c:formatCode>_(* #,##0_);_(* \(#,##0\);_(* "-"??_);_(@_)</c:formatCode>
                <c:ptCount val="21"/>
                <c:pt idx="0">
                  <c:v>0</c:v>
                </c:pt>
                <c:pt idx="1">
                  <c:v>0</c:v>
                </c:pt>
                <c:pt idx="2">
                  <c:v>925</c:v>
                </c:pt>
                <c:pt idx="3">
                  <c:v>5525</c:v>
                </c:pt>
                <c:pt idx="4">
                  <c:v>15860</c:v>
                </c:pt>
                <c:pt idx="5">
                  <c:v>35735</c:v>
                </c:pt>
                <c:pt idx="6">
                  <c:v>65645</c:v>
                </c:pt>
                <c:pt idx="7">
                  <c:v>111755</c:v>
                </c:pt>
                <c:pt idx="8">
                  <c:v>170855</c:v>
                </c:pt>
                <c:pt idx="9">
                  <c:v>241300</c:v>
                </c:pt>
                <c:pt idx="10">
                  <c:v>314305</c:v>
                </c:pt>
                <c:pt idx="11">
                  <c:v>387655</c:v>
                </c:pt>
                <c:pt idx="12">
                  <c:v>426245</c:v>
                </c:pt>
                <c:pt idx="13">
                  <c:v>433625</c:v>
                </c:pt>
                <c:pt idx="14">
                  <c:v>433825</c:v>
                </c:pt>
                <c:pt idx="15">
                  <c:v>433825</c:v>
                </c:pt>
                <c:pt idx="16">
                  <c:v>433825</c:v>
                </c:pt>
                <c:pt idx="17">
                  <c:v>433825</c:v>
                </c:pt>
                <c:pt idx="18">
                  <c:v>433825</c:v>
                </c:pt>
                <c:pt idx="19">
                  <c:v>433825</c:v>
                </c:pt>
                <c:pt idx="20">
                  <c:v>433825</c:v>
                </c:pt>
              </c:numCache>
            </c:numRef>
          </c:val>
          <c:extLst>
            <c:ext xmlns:c16="http://schemas.microsoft.com/office/drawing/2014/chart" uri="{C3380CC4-5D6E-409C-BE32-E72D297353CC}">
              <c16:uniqueId val="{00000003-3D55-40BF-BE61-940AB4A192CF}"/>
            </c:ext>
          </c:extLst>
        </c:ser>
        <c:dLbls>
          <c:showLegendKey val="0"/>
          <c:showVal val="1"/>
          <c:showCatName val="0"/>
          <c:showSerName val="0"/>
          <c:showPercent val="0"/>
          <c:showBubbleSize val="0"/>
        </c:dLbls>
        <c:gapWidth val="150"/>
        <c:axId val="550300207"/>
        <c:axId val="506817855"/>
      </c:barChart>
      <c:lineChart>
        <c:grouping val="standard"/>
        <c:varyColors val="0"/>
        <c:ser>
          <c:idx val="2"/>
          <c:order val="2"/>
          <c:tx>
            <c:strRef>
              <c:f>'6. Summary Tracking Sheet'!$DS$3</c:f>
              <c:strCache>
                <c:ptCount val="1"/>
                <c:pt idx="0">
                  <c:v>CostVariance(CV)</c:v>
                </c:pt>
              </c:strCache>
            </c:strRef>
          </c:tx>
          <c:spPr>
            <a:ln w="22225" cap="rnd">
              <a:solidFill>
                <a:schemeClr val="accent3"/>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dk1">
                          <a:lumMod val="35000"/>
                          <a:lumOff val="65000"/>
                        </a:schemeClr>
                      </a:solidFill>
                      <a:round/>
                    </a:ln>
                    <a:effectLst/>
                  </c:spPr>
                </c15:leaderLines>
              </c:ext>
            </c:extLst>
          </c:dLbls>
          <c:cat>
            <c:strLit>
              <c:ptCount val="21"/>
              <c:pt idx="0">
                <c:v> 20 </c:v>
              </c:pt>
              <c:pt idx="1">
                <c:v> 21 </c:v>
              </c:pt>
              <c:pt idx="2">
                <c:v> 22 </c:v>
              </c:pt>
              <c:pt idx="3">
                <c:v> 23 </c:v>
              </c:pt>
              <c:pt idx="4">
                <c:v> 24 </c:v>
              </c:pt>
              <c:pt idx="5">
                <c:v> 25 </c:v>
              </c:pt>
              <c:pt idx="6">
                <c:v> 26 </c:v>
              </c:pt>
              <c:pt idx="7">
                <c:v> 27 </c:v>
              </c:pt>
              <c:pt idx="8">
                <c:v> 28 </c:v>
              </c:pt>
              <c:pt idx="9">
                <c:v> 29 </c:v>
              </c:pt>
              <c:pt idx="10">
                <c:v> 30 </c:v>
              </c:pt>
              <c:pt idx="11">
                <c:v> 31 </c:v>
              </c:pt>
              <c:pt idx="12">
                <c:v> 32 </c:v>
              </c:pt>
              <c:pt idx="13">
                <c:v> 33 </c:v>
              </c:pt>
              <c:pt idx="14">
                <c:v> 34 </c:v>
              </c:pt>
              <c:pt idx="15">
                <c:v> 35 </c:v>
              </c:pt>
              <c:pt idx="16">
                <c:v> 36 </c:v>
              </c:pt>
              <c:pt idx="17">
                <c:v> 37 </c:v>
              </c:pt>
              <c:pt idx="18">
                <c:v> 38 </c:v>
              </c:pt>
              <c:pt idx="19">
                <c:v> 39 </c:v>
              </c:pt>
              <c:pt idx="20">
                <c:v> 40 </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'6. Summary Tracking Sheet'!$DS$4:$DS$124</c15:sqref>
                  </c15:fullRef>
                </c:ext>
              </c:extLst>
              <c:f>'6. Summary Tracking Sheet'!$DS$23:$DS$43</c:f>
              <c:numCache>
                <c:formatCode>_(* #,##0_);_(* \(#,##0\);_(* "-"??_);_(@_)</c:formatCode>
                <c:ptCount val="21"/>
                <c:pt idx="0">
                  <c:v>0</c:v>
                </c:pt>
                <c:pt idx="1">
                  <c:v>0</c:v>
                </c:pt>
                <c:pt idx="2">
                  <c:v>-425</c:v>
                </c:pt>
                <c:pt idx="3">
                  <c:v>-2025</c:v>
                </c:pt>
                <c:pt idx="4">
                  <c:v>-6610</c:v>
                </c:pt>
                <c:pt idx="5">
                  <c:v>-13285</c:v>
                </c:pt>
                <c:pt idx="6">
                  <c:v>-16795</c:v>
                </c:pt>
                <c:pt idx="7">
                  <c:v>-28805</c:v>
                </c:pt>
                <c:pt idx="8">
                  <c:v>-30555</c:v>
                </c:pt>
                <c:pt idx="9">
                  <c:v>-25050</c:v>
                </c:pt>
                <c:pt idx="10">
                  <c:v>-17905</c:v>
                </c:pt>
                <c:pt idx="11">
                  <c:v>-8905</c:v>
                </c:pt>
                <c:pt idx="12">
                  <c:v>-4695</c:v>
                </c:pt>
                <c:pt idx="13">
                  <c:v>-3925</c:v>
                </c:pt>
                <c:pt idx="14">
                  <c:v>-3925</c:v>
                </c:pt>
                <c:pt idx="15">
                  <c:v>-3925</c:v>
                </c:pt>
                <c:pt idx="16">
                  <c:v>-3925</c:v>
                </c:pt>
                <c:pt idx="17">
                  <c:v>-3925</c:v>
                </c:pt>
                <c:pt idx="18">
                  <c:v>-3925</c:v>
                </c:pt>
                <c:pt idx="19">
                  <c:v>-3925</c:v>
                </c:pt>
                <c:pt idx="20">
                  <c:v>-3925</c:v>
                </c:pt>
              </c:numCache>
            </c:numRef>
          </c:val>
          <c:smooth val="0"/>
          <c:extLst>
            <c:ext xmlns:c16="http://schemas.microsoft.com/office/drawing/2014/chart" uri="{C3380CC4-5D6E-409C-BE32-E72D297353CC}">
              <c16:uniqueId val="{00000004-3D55-40BF-BE61-940AB4A192CF}"/>
            </c:ext>
          </c:extLst>
        </c:ser>
        <c:dLbls>
          <c:showLegendKey val="0"/>
          <c:showVal val="0"/>
          <c:showCatName val="0"/>
          <c:showSerName val="0"/>
          <c:showPercent val="0"/>
          <c:showBubbleSize val="0"/>
        </c:dLbls>
        <c:marker val="1"/>
        <c:smooth val="0"/>
        <c:axId val="1882607663"/>
        <c:axId val="2087968223"/>
      </c:lineChart>
      <c:catAx>
        <c:axId val="550300207"/>
        <c:scaling>
          <c:orientation val="minMax"/>
        </c:scaling>
        <c:delete val="0"/>
        <c:axPos val="b"/>
        <c:majorGridlines>
          <c:spPr>
            <a:ln w="9525" cap="flat" cmpd="sng" algn="ctr">
              <a:solidFill>
                <a:schemeClr val="dk1">
                  <a:lumMod val="15000"/>
                  <a:lumOff val="85000"/>
                  <a:alpha val="54000"/>
                </a:schemeClr>
              </a:solidFill>
              <a:round/>
            </a:ln>
            <a:effectLst/>
          </c:spPr>
        </c:majorGridlines>
        <c:minorGridlines>
          <c:spPr>
            <a:ln w="9525" cap="flat" cmpd="sng" algn="ctr">
              <a:solidFill>
                <a:schemeClr val="dk1">
                  <a:lumMod val="15000"/>
                  <a:lumOff val="85000"/>
                  <a:alpha val="51000"/>
                </a:schemeClr>
              </a:solidFill>
              <a:round/>
            </a:ln>
            <a:effectLst/>
          </c:spPr>
        </c:minorGridlines>
        <c:title>
          <c:tx>
            <c:rich>
              <a:bodyPr rot="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r>
                  <a:rPr lang="en-US"/>
                  <a:t>Week</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endParaRPr lang="en-US"/>
            </a:p>
          </c:txPr>
        </c:title>
        <c:numFmt formatCode="General" sourceLinked="0"/>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cap="none" spc="0" normalizeH="0" baseline="0">
                <a:solidFill>
                  <a:schemeClr val="dk1">
                    <a:lumMod val="65000"/>
                    <a:lumOff val="35000"/>
                  </a:schemeClr>
                </a:solidFill>
                <a:latin typeface="+mn-lt"/>
                <a:ea typeface="+mn-ea"/>
                <a:cs typeface="+mn-cs"/>
              </a:defRPr>
            </a:pPr>
            <a:endParaRPr lang="en-US"/>
          </a:p>
        </c:txPr>
        <c:crossAx val="506817855"/>
        <c:crosses val="autoZero"/>
        <c:auto val="1"/>
        <c:lblAlgn val="ctr"/>
        <c:lblOffset val="100"/>
        <c:noMultiLvlLbl val="0"/>
      </c:catAx>
      <c:valAx>
        <c:axId val="506817855"/>
        <c:scaling>
          <c:orientation val="minMax"/>
        </c:scaling>
        <c:delete val="0"/>
        <c:axPos val="l"/>
        <c:majorGridlines>
          <c:spPr>
            <a:ln w="9525" cap="flat" cmpd="sng" algn="ctr">
              <a:solidFill>
                <a:schemeClr val="dk1">
                  <a:lumMod val="15000"/>
                  <a:lumOff val="85000"/>
                  <a:alpha val="54000"/>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r>
                  <a:rPr lang="en-US"/>
                  <a:t>Cost Variance (CV)</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endParaRPr lang="en-US"/>
            </a:p>
          </c:txPr>
        </c:title>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crossAx val="550300207"/>
        <c:crosses val="autoZero"/>
        <c:crossBetween val="between"/>
      </c:valAx>
      <c:valAx>
        <c:axId val="2087968223"/>
        <c:scaling>
          <c:orientation val="minMax"/>
        </c:scaling>
        <c:delete val="0"/>
        <c:axPos val="r"/>
        <c:numFmt formatCode="_(* #,##0_);_(* \(#,##0\);_(* &quot;-&quot;??_);_(@_)"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crossAx val="1882607663"/>
        <c:crosses val="max"/>
        <c:crossBetween val="between"/>
      </c:valAx>
      <c:catAx>
        <c:axId val="1882607663"/>
        <c:scaling>
          <c:orientation val="minMax"/>
        </c:scaling>
        <c:delete val="1"/>
        <c:axPos val="b"/>
        <c:majorTickMark val="out"/>
        <c:minorTickMark val="none"/>
        <c:tickLblPos val="nextTo"/>
        <c:crossAx val="2087968223"/>
        <c:crosses val="autoZero"/>
        <c:auto val="1"/>
        <c:lblAlgn val="ctr"/>
        <c:lblOffset val="100"/>
        <c:noMultiLvlLbl val="0"/>
      </c:catAx>
      <c:dTable>
        <c:showHorzBorder val="1"/>
        <c:showVertBorder val="1"/>
        <c:showOutline val="1"/>
        <c:showKeys val="1"/>
        <c:spPr>
          <a:noFill/>
          <a:ln w="9525" cap="flat" cmpd="sng" algn="ctr">
            <a:solidFill>
              <a:schemeClr val="dk1">
                <a:lumMod val="15000"/>
                <a:lumOff val="85000"/>
              </a:schemeClr>
            </a:solidFill>
            <a:round/>
          </a:ln>
          <a:effectLst/>
        </c:spPr>
        <c:txPr>
          <a:bodyPr rot="0" spcFirstLastPara="1" vertOverflow="ellipsis" vert="horz" wrap="square" anchor="ctr" anchorCtr="1"/>
          <a:lstStyle/>
          <a:p>
            <a:pPr rtl="0">
              <a:defRPr sz="800" b="0" i="0" u="none" strike="noStrike" kern="1200" baseline="0">
                <a:solidFill>
                  <a:schemeClr val="dk1">
                    <a:lumMod val="65000"/>
                    <a:lumOff val="35000"/>
                  </a:schemeClr>
                </a:solidFill>
                <a:latin typeface="+mn-lt"/>
                <a:ea typeface="+mn-ea"/>
                <a:cs typeface="+mn-cs"/>
              </a:defRPr>
            </a:pPr>
            <a:endParaRPr lang="en-US"/>
          </a:p>
        </c:txPr>
      </c:dTable>
      <c:spPr>
        <a:pattFill prst="ltDnDiag">
          <a:fgClr>
            <a:schemeClr val="dk1">
              <a:lumMod val="15000"/>
              <a:lumOff val="85000"/>
            </a:schemeClr>
          </a:fgClr>
          <a:bgClr>
            <a:schemeClr val="lt1"/>
          </a:bgClr>
        </a:patt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tx>
            <c:strRef>
              <c:f>'6. Summary Tracking Sheet'!$DP$3</c:f>
              <c:strCache>
                <c:ptCount val="1"/>
                <c:pt idx="0">
                  <c:v>AccumulatedPV</c:v>
                </c:pt>
              </c:strCache>
            </c:strRef>
          </c:tx>
          <c:spPr>
            <a:ln w="22225" cap="rnd">
              <a:solidFill>
                <a:schemeClr val="accent1"/>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dk1">
                          <a:lumMod val="35000"/>
                          <a:lumOff val="65000"/>
                        </a:schemeClr>
                      </a:solidFill>
                      <a:round/>
                    </a:ln>
                    <a:effectLst/>
                  </c:spPr>
                </c15:leaderLines>
              </c:ext>
            </c:extLst>
          </c:dLbls>
          <c:cat>
            <c:strLit>
              <c:ptCount val="21"/>
              <c:pt idx="0">
                <c:v>20</c:v>
              </c:pt>
              <c:pt idx="1">
                <c:v>21</c:v>
              </c:pt>
              <c:pt idx="2">
                <c:v>22</c:v>
              </c:pt>
              <c:pt idx="3">
                <c:v>23</c:v>
              </c:pt>
              <c:pt idx="4">
                <c:v>24</c:v>
              </c:pt>
              <c:pt idx="5">
                <c:v>25</c:v>
              </c:pt>
              <c:pt idx="6">
                <c:v>26</c:v>
              </c:pt>
              <c:pt idx="7">
                <c:v>27</c:v>
              </c:pt>
              <c:pt idx="8">
                <c:v>28</c:v>
              </c:pt>
              <c:pt idx="9">
                <c:v>29</c:v>
              </c:pt>
              <c:pt idx="10">
                <c:v>30</c:v>
              </c:pt>
              <c:pt idx="11">
                <c:v>31</c:v>
              </c:pt>
              <c:pt idx="12">
                <c:v>32</c:v>
              </c:pt>
              <c:pt idx="13">
                <c:v>33</c:v>
              </c:pt>
              <c:pt idx="14">
                <c:v>34</c:v>
              </c:pt>
              <c:pt idx="15">
                <c:v>35</c:v>
              </c:pt>
              <c:pt idx="16">
                <c:v>36</c:v>
              </c:pt>
              <c:pt idx="17">
                <c:v>37</c:v>
              </c:pt>
              <c:pt idx="18">
                <c:v>38</c:v>
              </c:pt>
              <c:pt idx="19">
                <c:v>39</c:v>
              </c:pt>
              <c:pt idx="20">
                <c:v>40</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'6. Summary Tracking Sheet'!$DP$4:$DP$124</c15:sqref>
                  </c15:fullRef>
                </c:ext>
              </c:extLst>
              <c:f>'6. Summary Tracking Sheet'!$DP$23:$DP$43</c:f>
              <c:numCache>
                <c:formatCode>_(* #,##0_);_(* \(#,##0\);_(* "-"??_);_(@_)</c:formatCode>
                <c:ptCount val="21"/>
                <c:pt idx="0">
                  <c:v>0</c:v>
                </c:pt>
                <c:pt idx="1">
                  <c:v>0</c:v>
                </c:pt>
                <c:pt idx="2">
                  <c:v>1000</c:v>
                </c:pt>
                <c:pt idx="3">
                  <c:v>7000</c:v>
                </c:pt>
                <c:pt idx="4">
                  <c:v>20350</c:v>
                </c:pt>
                <c:pt idx="5">
                  <c:v>44150</c:v>
                </c:pt>
                <c:pt idx="6">
                  <c:v>73500</c:v>
                </c:pt>
                <c:pt idx="7">
                  <c:v>124200</c:v>
                </c:pt>
                <c:pt idx="8">
                  <c:v>190800</c:v>
                </c:pt>
                <c:pt idx="9">
                  <c:v>279500</c:v>
                </c:pt>
                <c:pt idx="10">
                  <c:v>387900</c:v>
                </c:pt>
                <c:pt idx="11">
                  <c:v>480700</c:v>
                </c:pt>
                <c:pt idx="12">
                  <c:v>602700</c:v>
                </c:pt>
                <c:pt idx="13">
                  <c:v>686850</c:v>
                </c:pt>
                <c:pt idx="14">
                  <c:v>742450</c:v>
                </c:pt>
                <c:pt idx="15">
                  <c:v>760150</c:v>
                </c:pt>
                <c:pt idx="16">
                  <c:v>767200</c:v>
                </c:pt>
                <c:pt idx="17">
                  <c:v>770000</c:v>
                </c:pt>
                <c:pt idx="18">
                  <c:v>770000</c:v>
                </c:pt>
                <c:pt idx="19">
                  <c:v>770000</c:v>
                </c:pt>
                <c:pt idx="20">
                  <c:v>770000</c:v>
                </c:pt>
              </c:numCache>
            </c:numRef>
          </c:val>
          <c:smooth val="0"/>
          <c:extLst>
            <c:ext xmlns:c16="http://schemas.microsoft.com/office/drawing/2014/chart" uri="{C3380CC4-5D6E-409C-BE32-E72D297353CC}">
              <c16:uniqueId val="{00000003-07D9-477F-AB54-4ABB42B298AE}"/>
            </c:ext>
          </c:extLst>
        </c:ser>
        <c:dLbls>
          <c:dLblPos val="t"/>
          <c:showLegendKey val="0"/>
          <c:showVal val="1"/>
          <c:showCatName val="0"/>
          <c:showSerName val="0"/>
          <c:showPercent val="0"/>
          <c:showBubbleSize val="0"/>
        </c:dLbls>
        <c:smooth val="0"/>
        <c:axId val="550300207"/>
        <c:axId val="506817855"/>
        <c:extLst/>
      </c:lineChart>
      <c:catAx>
        <c:axId val="550300207"/>
        <c:scaling>
          <c:orientation val="minMax"/>
        </c:scaling>
        <c:delete val="0"/>
        <c:axPos val="b"/>
        <c:majorGridlines>
          <c:spPr>
            <a:ln w="9525" cap="flat" cmpd="sng" algn="ctr">
              <a:solidFill>
                <a:schemeClr val="dk1">
                  <a:lumMod val="15000"/>
                  <a:lumOff val="85000"/>
                  <a:alpha val="54000"/>
                </a:schemeClr>
              </a:solidFill>
              <a:round/>
            </a:ln>
            <a:effectLst/>
          </c:spPr>
        </c:majorGridlines>
        <c:minorGridlines>
          <c:spPr>
            <a:ln w="9525" cap="flat" cmpd="sng" algn="ctr">
              <a:solidFill>
                <a:schemeClr val="dk1">
                  <a:lumMod val="15000"/>
                  <a:lumOff val="85000"/>
                  <a:alpha val="51000"/>
                </a:schemeClr>
              </a:solidFill>
              <a:round/>
            </a:ln>
            <a:effectLst/>
          </c:spPr>
        </c:minorGridlines>
        <c:title>
          <c:tx>
            <c:rich>
              <a:bodyPr rot="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r>
                  <a:rPr lang="en-US"/>
                  <a:t>Week</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endParaRPr lang="en-US"/>
            </a:p>
          </c:txPr>
        </c:title>
        <c:numFmt formatCode="General" sourceLinked="0"/>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cap="none" spc="0" normalizeH="0" baseline="0">
                <a:solidFill>
                  <a:schemeClr val="dk1">
                    <a:lumMod val="65000"/>
                    <a:lumOff val="35000"/>
                  </a:schemeClr>
                </a:solidFill>
                <a:latin typeface="+mn-lt"/>
                <a:ea typeface="+mn-ea"/>
                <a:cs typeface="+mn-cs"/>
              </a:defRPr>
            </a:pPr>
            <a:endParaRPr lang="en-US"/>
          </a:p>
        </c:txPr>
        <c:crossAx val="506817855"/>
        <c:crosses val="autoZero"/>
        <c:auto val="1"/>
        <c:lblAlgn val="ctr"/>
        <c:lblOffset val="100"/>
        <c:noMultiLvlLbl val="0"/>
      </c:catAx>
      <c:valAx>
        <c:axId val="506817855"/>
        <c:scaling>
          <c:orientation val="minMax"/>
        </c:scaling>
        <c:delete val="0"/>
        <c:axPos val="l"/>
        <c:majorGridlines>
          <c:spPr>
            <a:ln w="9525" cap="flat" cmpd="sng" algn="ctr">
              <a:solidFill>
                <a:schemeClr val="dk1">
                  <a:lumMod val="15000"/>
                  <a:lumOff val="85000"/>
                  <a:alpha val="54000"/>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r>
                  <a:rPr lang="en-US"/>
                  <a:t>Cost Variance (CV)</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endParaRPr lang="en-US"/>
            </a:p>
          </c:txPr>
        </c:title>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crossAx val="550300207"/>
        <c:crosses val="autoZero"/>
        <c:crossBetween val="between"/>
      </c:valAx>
      <c:dTable>
        <c:showHorzBorder val="1"/>
        <c:showVertBorder val="1"/>
        <c:showOutline val="1"/>
        <c:showKeys val="1"/>
        <c:spPr>
          <a:noFill/>
          <a:ln w="9525" cap="flat" cmpd="sng" algn="ctr">
            <a:solidFill>
              <a:schemeClr val="dk1">
                <a:lumMod val="15000"/>
                <a:lumOff val="85000"/>
              </a:schemeClr>
            </a:solidFill>
            <a:round/>
          </a:ln>
          <a:effectLst/>
        </c:spPr>
        <c:txPr>
          <a:bodyPr rot="0" spcFirstLastPara="1" vertOverflow="ellipsis" vert="horz" wrap="square" anchor="ctr" anchorCtr="1"/>
          <a:lstStyle/>
          <a:p>
            <a:pPr rtl="0">
              <a:defRPr sz="800" b="0" i="0" u="none" strike="noStrike" kern="1200" baseline="0">
                <a:solidFill>
                  <a:schemeClr val="dk1">
                    <a:lumMod val="65000"/>
                    <a:lumOff val="35000"/>
                  </a:schemeClr>
                </a:solidFill>
                <a:latin typeface="+mn-lt"/>
                <a:ea typeface="+mn-ea"/>
                <a:cs typeface="+mn-cs"/>
              </a:defRPr>
            </a:pPr>
            <a:endParaRPr lang="en-US"/>
          </a:p>
        </c:txPr>
      </c:dTable>
      <c:spPr>
        <a:pattFill prst="ltDnDiag">
          <a:fgClr>
            <a:schemeClr val="dk1">
              <a:lumMod val="15000"/>
              <a:lumOff val="85000"/>
            </a:schemeClr>
          </a:fgClr>
          <a:bgClr>
            <a:schemeClr val="lt1"/>
          </a:bgClr>
        </a:patt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strRef>
              <c:f>'6. Summary Tracking Sheet'!$DO$3</c:f>
              <c:strCache>
                <c:ptCount val="1"/>
                <c:pt idx="0">
                  <c:v>AccumulatedEV</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dk1">
                          <a:lumMod val="35000"/>
                          <a:lumOff val="65000"/>
                        </a:schemeClr>
                      </a:solidFill>
                      <a:round/>
                    </a:ln>
                    <a:effectLst/>
                  </c:spPr>
                </c15:leaderLines>
              </c:ext>
            </c:extLst>
          </c:dLbls>
          <c:cat>
            <c:strLit>
              <c:ptCount val="21"/>
              <c:pt idx="0">
                <c:v> 20 </c:v>
              </c:pt>
              <c:pt idx="1">
                <c:v> 21 </c:v>
              </c:pt>
              <c:pt idx="2">
                <c:v> 22 </c:v>
              </c:pt>
              <c:pt idx="3">
                <c:v> 23 </c:v>
              </c:pt>
              <c:pt idx="4">
                <c:v> 24 </c:v>
              </c:pt>
              <c:pt idx="5">
                <c:v> 25 </c:v>
              </c:pt>
              <c:pt idx="6">
                <c:v> 26 </c:v>
              </c:pt>
              <c:pt idx="7">
                <c:v> 27 </c:v>
              </c:pt>
              <c:pt idx="8">
                <c:v> 28 </c:v>
              </c:pt>
              <c:pt idx="9">
                <c:v> 29 </c:v>
              </c:pt>
              <c:pt idx="10">
                <c:v> 30 </c:v>
              </c:pt>
              <c:pt idx="11">
                <c:v> 31 </c:v>
              </c:pt>
              <c:pt idx="12">
                <c:v> 32 </c:v>
              </c:pt>
              <c:pt idx="13">
                <c:v> 33 </c:v>
              </c:pt>
              <c:pt idx="14">
                <c:v> 34 </c:v>
              </c:pt>
              <c:pt idx="15">
                <c:v> 35 </c:v>
              </c:pt>
              <c:pt idx="16">
                <c:v> 36 </c:v>
              </c:pt>
              <c:pt idx="17">
                <c:v> 37 </c:v>
              </c:pt>
              <c:pt idx="18">
                <c:v> 38 </c:v>
              </c:pt>
              <c:pt idx="19">
                <c:v> 39 </c:v>
              </c:pt>
              <c:pt idx="20">
                <c:v> 40 </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'6. Summary Tracking Sheet'!$DO$4:$DO$124</c15:sqref>
                  </c15:fullRef>
                </c:ext>
              </c:extLst>
              <c:f>'6. Summary Tracking Sheet'!$DO$23:$DO$43</c:f>
              <c:numCache>
                <c:formatCode>_(* #,##0_);_(* \(#,##0\);_(* "-"??_);_(@_)</c:formatCode>
                <c:ptCount val="21"/>
                <c:pt idx="0">
                  <c:v>0</c:v>
                </c:pt>
                <c:pt idx="1">
                  <c:v>0</c:v>
                </c:pt>
                <c:pt idx="2">
                  <c:v>500</c:v>
                </c:pt>
                <c:pt idx="3">
                  <c:v>3500</c:v>
                </c:pt>
                <c:pt idx="4">
                  <c:v>9250</c:v>
                </c:pt>
                <c:pt idx="5">
                  <c:v>22450</c:v>
                </c:pt>
                <c:pt idx="6">
                  <c:v>48850</c:v>
                </c:pt>
                <c:pt idx="7">
                  <c:v>82950</c:v>
                </c:pt>
                <c:pt idx="8">
                  <c:v>140300</c:v>
                </c:pt>
                <c:pt idx="9">
                  <c:v>216250</c:v>
                </c:pt>
                <c:pt idx="10">
                  <c:v>296400</c:v>
                </c:pt>
                <c:pt idx="11">
                  <c:v>378750</c:v>
                </c:pt>
                <c:pt idx="12">
                  <c:v>421550</c:v>
                </c:pt>
                <c:pt idx="13">
                  <c:v>429700</c:v>
                </c:pt>
                <c:pt idx="14">
                  <c:v>429900</c:v>
                </c:pt>
                <c:pt idx="15">
                  <c:v>429900</c:v>
                </c:pt>
                <c:pt idx="16">
                  <c:v>429900</c:v>
                </c:pt>
                <c:pt idx="17">
                  <c:v>429900</c:v>
                </c:pt>
                <c:pt idx="18">
                  <c:v>429900</c:v>
                </c:pt>
                <c:pt idx="19">
                  <c:v>429900</c:v>
                </c:pt>
                <c:pt idx="20">
                  <c:v>429900</c:v>
                </c:pt>
              </c:numCache>
            </c:numRef>
          </c:val>
          <c:extLst>
            <c:ext xmlns:c16="http://schemas.microsoft.com/office/drawing/2014/chart" uri="{C3380CC4-5D6E-409C-BE32-E72D297353CC}">
              <c16:uniqueId val="{00000000-6E32-4003-AFA6-99A0EC993536}"/>
            </c:ext>
          </c:extLst>
        </c:ser>
        <c:dLbls>
          <c:showLegendKey val="0"/>
          <c:showVal val="1"/>
          <c:showCatName val="0"/>
          <c:showSerName val="0"/>
          <c:showPercent val="0"/>
          <c:showBubbleSize val="0"/>
        </c:dLbls>
        <c:gapWidth val="150"/>
        <c:axId val="550300207"/>
        <c:axId val="506817855"/>
        <c:extLst>
          <c:ext xmlns:c15="http://schemas.microsoft.com/office/drawing/2012/chart" uri="{02D57815-91ED-43cb-92C2-25804820EDAC}">
            <c15:filteredBarSeries>
              <c15:ser>
                <c:idx val="1"/>
                <c:order val="1"/>
                <c:tx>
                  <c:strRef>
                    <c:extLst>
                      <c:ext uri="{02D57815-91ED-43cb-92C2-25804820EDAC}">
                        <c15:formulaRef>
                          <c15:sqref>'6. Summary Tracking Sheet'!$DQ$3</c15:sqref>
                        </c15:formulaRef>
                      </c:ext>
                    </c:extLst>
                    <c:strCache>
                      <c:ptCount val="1"/>
                      <c:pt idx="0">
                        <c:v>AccumulatedAC</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uri="{CE6537A1-D6FC-4f65-9D91-7224C49458BB}">
                      <c15:showLeaderLines val="1"/>
                      <c15:leaderLines>
                        <c:spPr>
                          <a:ln w="9525" cap="flat" cmpd="sng" algn="ctr">
                            <a:solidFill>
                              <a:schemeClr val="dk1">
                                <a:lumMod val="35000"/>
                                <a:lumOff val="65000"/>
                              </a:schemeClr>
                            </a:solidFill>
                            <a:round/>
                          </a:ln>
                          <a:effectLst/>
                        </c:spPr>
                      </c15:leaderLines>
                    </c:ext>
                  </c:extLst>
                </c:dLbls>
                <c:val>
                  <c:numRef>
                    <c:extLst>
                      <c:ext uri="{02D57815-91ED-43cb-92C2-25804820EDAC}">
                        <c15:fullRef>
                          <c15:sqref>'6. Summary Tracking Sheet'!$DQ$4:$DQ$124</c15:sqref>
                        </c15:fullRef>
                        <c15:formulaRef>
                          <c15:sqref>'6. Summary Tracking Sheet'!$DQ$23:$DQ$43</c15:sqref>
                        </c15:formulaRef>
                      </c:ext>
                    </c:extLst>
                    <c:numCache>
                      <c:formatCode>_(* #,##0_);_(* \(#,##0\);_(* "-"??_);_(@_)</c:formatCode>
                      <c:ptCount val="21"/>
                      <c:pt idx="0">
                        <c:v>0</c:v>
                      </c:pt>
                      <c:pt idx="1">
                        <c:v>0</c:v>
                      </c:pt>
                      <c:pt idx="2">
                        <c:v>925</c:v>
                      </c:pt>
                      <c:pt idx="3">
                        <c:v>5525</c:v>
                      </c:pt>
                      <c:pt idx="4">
                        <c:v>15860</c:v>
                      </c:pt>
                      <c:pt idx="5">
                        <c:v>35735</c:v>
                      </c:pt>
                      <c:pt idx="6">
                        <c:v>65645</c:v>
                      </c:pt>
                      <c:pt idx="7">
                        <c:v>111755</c:v>
                      </c:pt>
                      <c:pt idx="8">
                        <c:v>170855</c:v>
                      </c:pt>
                      <c:pt idx="9">
                        <c:v>241300</c:v>
                      </c:pt>
                      <c:pt idx="10">
                        <c:v>314305</c:v>
                      </c:pt>
                      <c:pt idx="11">
                        <c:v>387655</c:v>
                      </c:pt>
                      <c:pt idx="12">
                        <c:v>426245</c:v>
                      </c:pt>
                      <c:pt idx="13">
                        <c:v>433625</c:v>
                      </c:pt>
                      <c:pt idx="14">
                        <c:v>433825</c:v>
                      </c:pt>
                      <c:pt idx="15">
                        <c:v>433825</c:v>
                      </c:pt>
                      <c:pt idx="16">
                        <c:v>433825</c:v>
                      </c:pt>
                      <c:pt idx="17">
                        <c:v>433825</c:v>
                      </c:pt>
                      <c:pt idx="18">
                        <c:v>433825</c:v>
                      </c:pt>
                      <c:pt idx="19">
                        <c:v>433825</c:v>
                      </c:pt>
                      <c:pt idx="20">
                        <c:v>433825</c:v>
                      </c:pt>
                    </c:numCache>
                  </c:numRef>
                </c:val>
                <c:extLst>
                  <c:ext xmlns:c16="http://schemas.microsoft.com/office/drawing/2014/chart" uri="{C3380CC4-5D6E-409C-BE32-E72D297353CC}">
                    <c16:uniqueId val="{00000001-6E32-4003-AFA6-99A0EC993536}"/>
                  </c:ext>
                </c:extLst>
              </c15:ser>
            </c15:filteredBarSeries>
          </c:ext>
        </c:extLst>
      </c:barChart>
      <c:lineChart>
        <c:grouping val="standard"/>
        <c:varyColors val="0"/>
        <c:dLbls>
          <c:showLegendKey val="0"/>
          <c:showVal val="0"/>
          <c:showCatName val="0"/>
          <c:showSerName val="0"/>
          <c:showPercent val="0"/>
          <c:showBubbleSize val="0"/>
        </c:dLbls>
        <c:marker val="1"/>
        <c:smooth val="0"/>
        <c:axId val="1882607663"/>
        <c:axId val="2087968223"/>
        <c:extLst>
          <c:ext xmlns:c15="http://schemas.microsoft.com/office/drawing/2012/chart" uri="{02D57815-91ED-43cb-92C2-25804820EDAC}">
            <c15:filteredLineSeries>
              <c15:ser>
                <c:idx val="2"/>
                <c:order val="2"/>
                <c:tx>
                  <c:strRef>
                    <c:extLst>
                      <c:ext uri="{02D57815-91ED-43cb-92C2-25804820EDAC}">
                        <c15:formulaRef>
                          <c15:sqref>'6. Summary Tracking Sheet'!$DS$3</c15:sqref>
                        </c15:formulaRef>
                      </c:ext>
                    </c:extLst>
                    <c:strCache>
                      <c:ptCount val="1"/>
                      <c:pt idx="0">
                        <c:v>CostVariance(CV)</c:v>
                      </c:pt>
                    </c:strCache>
                  </c:strRef>
                </c:tx>
                <c:spPr>
                  <a:ln w="22225" cap="rnd">
                    <a:solidFill>
                      <a:schemeClr val="accent3"/>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uri="{CE6537A1-D6FC-4f65-9D91-7224C49458BB}">
                      <c15:showLeaderLines val="1"/>
                      <c15:leaderLines>
                        <c:spPr>
                          <a:ln w="9525" cap="flat" cmpd="sng" algn="ctr">
                            <a:solidFill>
                              <a:schemeClr val="dk1">
                                <a:lumMod val="35000"/>
                                <a:lumOff val="65000"/>
                              </a:schemeClr>
                            </a:solidFill>
                            <a:round/>
                          </a:ln>
                          <a:effectLst/>
                        </c:spPr>
                      </c15:leaderLines>
                    </c:ext>
                  </c:extLst>
                </c:dLbls>
                <c:val>
                  <c:numRef>
                    <c:extLst>
                      <c:ext uri="{02D57815-91ED-43cb-92C2-25804820EDAC}">
                        <c15:fullRef>
                          <c15:sqref>'6. Summary Tracking Sheet'!$DS$4:$DS$124</c15:sqref>
                        </c15:fullRef>
                        <c15:formulaRef>
                          <c15:sqref>'6. Summary Tracking Sheet'!$DS$23:$DS$43</c15:sqref>
                        </c15:formulaRef>
                      </c:ext>
                    </c:extLst>
                    <c:numCache>
                      <c:formatCode>_(* #,##0_);_(* \(#,##0\);_(* "-"??_);_(@_)</c:formatCode>
                      <c:ptCount val="21"/>
                      <c:pt idx="0">
                        <c:v>0</c:v>
                      </c:pt>
                      <c:pt idx="1">
                        <c:v>0</c:v>
                      </c:pt>
                      <c:pt idx="2">
                        <c:v>-425</c:v>
                      </c:pt>
                      <c:pt idx="3">
                        <c:v>-2025</c:v>
                      </c:pt>
                      <c:pt idx="4">
                        <c:v>-6610</c:v>
                      </c:pt>
                      <c:pt idx="5">
                        <c:v>-13285</c:v>
                      </c:pt>
                      <c:pt idx="6">
                        <c:v>-16795</c:v>
                      </c:pt>
                      <c:pt idx="7">
                        <c:v>-28805</c:v>
                      </c:pt>
                      <c:pt idx="8">
                        <c:v>-30555</c:v>
                      </c:pt>
                      <c:pt idx="9">
                        <c:v>-25050</c:v>
                      </c:pt>
                      <c:pt idx="10">
                        <c:v>-17905</c:v>
                      </c:pt>
                      <c:pt idx="11">
                        <c:v>-8905</c:v>
                      </c:pt>
                      <c:pt idx="12">
                        <c:v>-4695</c:v>
                      </c:pt>
                      <c:pt idx="13">
                        <c:v>-3925</c:v>
                      </c:pt>
                      <c:pt idx="14">
                        <c:v>-3925</c:v>
                      </c:pt>
                      <c:pt idx="15">
                        <c:v>-3925</c:v>
                      </c:pt>
                      <c:pt idx="16">
                        <c:v>-3925</c:v>
                      </c:pt>
                      <c:pt idx="17">
                        <c:v>-3925</c:v>
                      </c:pt>
                      <c:pt idx="18">
                        <c:v>-3925</c:v>
                      </c:pt>
                      <c:pt idx="19">
                        <c:v>-3925</c:v>
                      </c:pt>
                      <c:pt idx="20">
                        <c:v>-3925</c:v>
                      </c:pt>
                    </c:numCache>
                  </c:numRef>
                </c:val>
                <c:smooth val="0"/>
                <c:extLst>
                  <c:ext xmlns:c16="http://schemas.microsoft.com/office/drawing/2014/chart" uri="{C3380CC4-5D6E-409C-BE32-E72D297353CC}">
                    <c16:uniqueId val="{00000002-6E32-4003-AFA6-99A0EC993536}"/>
                  </c:ext>
                </c:extLst>
              </c15:ser>
            </c15:filteredLineSeries>
          </c:ext>
        </c:extLst>
      </c:lineChart>
      <c:catAx>
        <c:axId val="550300207"/>
        <c:scaling>
          <c:orientation val="minMax"/>
        </c:scaling>
        <c:delete val="0"/>
        <c:axPos val="b"/>
        <c:majorGridlines>
          <c:spPr>
            <a:ln w="9525" cap="flat" cmpd="sng" algn="ctr">
              <a:solidFill>
                <a:schemeClr val="dk1">
                  <a:lumMod val="15000"/>
                  <a:lumOff val="85000"/>
                  <a:alpha val="54000"/>
                </a:schemeClr>
              </a:solidFill>
              <a:round/>
            </a:ln>
            <a:effectLst/>
          </c:spPr>
        </c:majorGridlines>
        <c:minorGridlines>
          <c:spPr>
            <a:ln w="9525" cap="flat" cmpd="sng" algn="ctr">
              <a:solidFill>
                <a:schemeClr val="dk1">
                  <a:lumMod val="15000"/>
                  <a:lumOff val="85000"/>
                  <a:alpha val="51000"/>
                </a:schemeClr>
              </a:solidFill>
              <a:round/>
            </a:ln>
            <a:effectLst/>
          </c:spPr>
        </c:minorGridlines>
        <c:title>
          <c:tx>
            <c:rich>
              <a:bodyPr rot="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r>
                  <a:rPr lang="en-US"/>
                  <a:t>Week</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endParaRPr lang="en-US"/>
            </a:p>
          </c:txPr>
        </c:title>
        <c:numFmt formatCode="General" sourceLinked="0"/>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cap="none" spc="0" normalizeH="0" baseline="0">
                <a:solidFill>
                  <a:schemeClr val="dk1">
                    <a:lumMod val="65000"/>
                    <a:lumOff val="35000"/>
                  </a:schemeClr>
                </a:solidFill>
                <a:latin typeface="+mn-lt"/>
                <a:ea typeface="+mn-ea"/>
                <a:cs typeface="+mn-cs"/>
              </a:defRPr>
            </a:pPr>
            <a:endParaRPr lang="en-US"/>
          </a:p>
        </c:txPr>
        <c:crossAx val="506817855"/>
        <c:crosses val="autoZero"/>
        <c:auto val="1"/>
        <c:lblAlgn val="ctr"/>
        <c:lblOffset val="100"/>
        <c:noMultiLvlLbl val="0"/>
      </c:catAx>
      <c:valAx>
        <c:axId val="506817855"/>
        <c:scaling>
          <c:orientation val="minMax"/>
        </c:scaling>
        <c:delete val="0"/>
        <c:axPos val="l"/>
        <c:majorGridlines>
          <c:spPr>
            <a:ln w="9525" cap="flat" cmpd="sng" algn="ctr">
              <a:solidFill>
                <a:schemeClr val="dk1">
                  <a:lumMod val="15000"/>
                  <a:lumOff val="85000"/>
                  <a:alpha val="54000"/>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r>
                  <a:rPr lang="en-US"/>
                  <a:t>Cost Variance (CV)</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endParaRPr lang="en-US"/>
            </a:p>
          </c:txPr>
        </c:title>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crossAx val="550300207"/>
        <c:crosses val="autoZero"/>
        <c:crossBetween val="between"/>
      </c:valAx>
      <c:valAx>
        <c:axId val="2087968223"/>
        <c:scaling>
          <c:orientation val="minMax"/>
        </c:scaling>
        <c:delete val="0"/>
        <c:axPos val="r"/>
        <c:numFmt formatCode="_(* #,##0_);_(* \(#,##0\);_(* &quot;-&quot;??_);_(@_)"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crossAx val="1882607663"/>
        <c:crosses val="max"/>
        <c:crossBetween val="between"/>
      </c:valAx>
      <c:catAx>
        <c:axId val="1882607663"/>
        <c:scaling>
          <c:orientation val="minMax"/>
        </c:scaling>
        <c:delete val="1"/>
        <c:axPos val="b"/>
        <c:majorTickMark val="out"/>
        <c:minorTickMark val="none"/>
        <c:tickLblPos val="nextTo"/>
        <c:crossAx val="2087968223"/>
        <c:crosses val="autoZero"/>
        <c:auto val="1"/>
        <c:lblAlgn val="ctr"/>
        <c:lblOffset val="100"/>
        <c:noMultiLvlLbl val="0"/>
      </c:catAx>
      <c:dTable>
        <c:showHorzBorder val="1"/>
        <c:showVertBorder val="1"/>
        <c:showOutline val="1"/>
        <c:showKeys val="1"/>
        <c:spPr>
          <a:noFill/>
          <a:ln w="9525" cap="flat" cmpd="sng" algn="ctr">
            <a:solidFill>
              <a:schemeClr val="dk1">
                <a:lumMod val="15000"/>
                <a:lumOff val="85000"/>
              </a:schemeClr>
            </a:solidFill>
            <a:round/>
          </a:ln>
          <a:effectLst/>
        </c:spPr>
        <c:txPr>
          <a:bodyPr rot="0" spcFirstLastPara="1" vertOverflow="ellipsis" vert="horz" wrap="square" anchor="ctr" anchorCtr="1"/>
          <a:lstStyle/>
          <a:p>
            <a:pPr rtl="0">
              <a:defRPr sz="800" b="0" i="0" u="none" strike="noStrike" kern="1200" baseline="0">
                <a:solidFill>
                  <a:schemeClr val="dk1">
                    <a:lumMod val="65000"/>
                    <a:lumOff val="35000"/>
                  </a:schemeClr>
                </a:solidFill>
                <a:latin typeface="+mn-lt"/>
                <a:ea typeface="+mn-ea"/>
                <a:cs typeface="+mn-cs"/>
              </a:defRPr>
            </a:pPr>
            <a:endParaRPr lang="en-US"/>
          </a:p>
        </c:txPr>
      </c:dTable>
      <c:spPr>
        <a:pattFill prst="ltDnDiag">
          <a:fgClr>
            <a:schemeClr val="dk1">
              <a:lumMod val="15000"/>
              <a:lumOff val="85000"/>
            </a:schemeClr>
          </a:fgClr>
          <a:bgClr>
            <a:schemeClr val="lt1"/>
          </a:bgClr>
        </a:patt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strRef>
              <c:f>'6. Summary Tracking Sheet'!$DO$3</c:f>
              <c:strCache>
                <c:ptCount val="1"/>
                <c:pt idx="0">
                  <c:v>AccumulatedEV</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dk1">
                          <a:lumMod val="35000"/>
                          <a:lumOff val="65000"/>
                        </a:schemeClr>
                      </a:solidFill>
                      <a:round/>
                    </a:ln>
                    <a:effectLst/>
                  </c:spPr>
                </c15:leaderLines>
              </c:ext>
            </c:extLst>
          </c:dLbls>
          <c:cat>
            <c:strLit>
              <c:ptCount val="21"/>
              <c:pt idx="0">
                <c:v> 20 </c:v>
              </c:pt>
              <c:pt idx="1">
                <c:v> 21 </c:v>
              </c:pt>
              <c:pt idx="2">
                <c:v> 22 </c:v>
              </c:pt>
              <c:pt idx="3">
                <c:v> 23 </c:v>
              </c:pt>
              <c:pt idx="4">
                <c:v> 24 </c:v>
              </c:pt>
              <c:pt idx="5">
                <c:v> 25 </c:v>
              </c:pt>
              <c:pt idx="6">
                <c:v> 26 </c:v>
              </c:pt>
              <c:pt idx="7">
                <c:v> 27 </c:v>
              </c:pt>
              <c:pt idx="8">
                <c:v> 28 </c:v>
              </c:pt>
              <c:pt idx="9">
                <c:v> 29 </c:v>
              </c:pt>
              <c:pt idx="10">
                <c:v> 30 </c:v>
              </c:pt>
              <c:pt idx="11">
                <c:v> 31 </c:v>
              </c:pt>
              <c:pt idx="12">
                <c:v> 32 </c:v>
              </c:pt>
              <c:pt idx="13">
                <c:v> 33 </c:v>
              </c:pt>
              <c:pt idx="14">
                <c:v> 34 </c:v>
              </c:pt>
              <c:pt idx="15">
                <c:v> 35 </c:v>
              </c:pt>
              <c:pt idx="16">
                <c:v> 36 </c:v>
              </c:pt>
              <c:pt idx="17">
                <c:v> 37 </c:v>
              </c:pt>
              <c:pt idx="18">
                <c:v> 38 </c:v>
              </c:pt>
              <c:pt idx="19">
                <c:v> 39 </c:v>
              </c:pt>
              <c:pt idx="20">
                <c:v> 40 </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'6. Summary Tracking Sheet'!$DO$4:$DO$124</c15:sqref>
                  </c15:fullRef>
                </c:ext>
              </c:extLst>
              <c:f>'6. Summary Tracking Sheet'!$DO$23:$DO$43</c:f>
              <c:numCache>
                <c:formatCode>_(* #,##0_);_(* \(#,##0\);_(* "-"??_);_(@_)</c:formatCode>
                <c:ptCount val="21"/>
                <c:pt idx="0">
                  <c:v>0</c:v>
                </c:pt>
                <c:pt idx="1">
                  <c:v>0</c:v>
                </c:pt>
                <c:pt idx="2">
                  <c:v>500</c:v>
                </c:pt>
                <c:pt idx="3">
                  <c:v>3500</c:v>
                </c:pt>
                <c:pt idx="4">
                  <c:v>9250</c:v>
                </c:pt>
                <c:pt idx="5">
                  <c:v>22450</c:v>
                </c:pt>
                <c:pt idx="6">
                  <c:v>48850</c:v>
                </c:pt>
                <c:pt idx="7">
                  <c:v>82950</c:v>
                </c:pt>
                <c:pt idx="8">
                  <c:v>140300</c:v>
                </c:pt>
                <c:pt idx="9">
                  <c:v>216250</c:v>
                </c:pt>
                <c:pt idx="10">
                  <c:v>296400</c:v>
                </c:pt>
                <c:pt idx="11">
                  <c:v>378750</c:v>
                </c:pt>
                <c:pt idx="12">
                  <c:v>421550</c:v>
                </c:pt>
                <c:pt idx="13">
                  <c:v>429700</c:v>
                </c:pt>
                <c:pt idx="14">
                  <c:v>429900</c:v>
                </c:pt>
                <c:pt idx="15">
                  <c:v>429900</c:v>
                </c:pt>
                <c:pt idx="16">
                  <c:v>429900</c:v>
                </c:pt>
                <c:pt idx="17">
                  <c:v>429900</c:v>
                </c:pt>
                <c:pt idx="18">
                  <c:v>429900</c:v>
                </c:pt>
                <c:pt idx="19">
                  <c:v>429900</c:v>
                </c:pt>
                <c:pt idx="20">
                  <c:v>429900</c:v>
                </c:pt>
              </c:numCache>
            </c:numRef>
          </c:val>
          <c:extLst>
            <c:ext xmlns:c16="http://schemas.microsoft.com/office/drawing/2014/chart" uri="{C3380CC4-5D6E-409C-BE32-E72D297353CC}">
              <c16:uniqueId val="{00000000-E5F2-4B1B-8ABE-0309C906C51F}"/>
            </c:ext>
          </c:extLst>
        </c:ser>
        <c:ser>
          <c:idx val="1"/>
          <c:order val="1"/>
          <c:tx>
            <c:strRef>
              <c:f>'6. Summary Tracking Sheet'!$DP$3</c:f>
              <c:strCache>
                <c:ptCount val="1"/>
                <c:pt idx="0">
                  <c:v>AccumulatedPV</c:v>
                </c:pt>
              </c:strCache>
            </c:strRef>
          </c:tx>
          <c:spPr>
            <a:solidFill>
              <a:schemeClr val="accent2"/>
            </a:solidFill>
            <a:ln>
              <a:noFill/>
            </a:ln>
            <a:effectLst/>
          </c:spPr>
          <c:invertIfNegative val="0"/>
          <c:cat>
            <c:strLit>
              <c:ptCount val="21"/>
              <c:pt idx="0">
                <c:v> 20 </c:v>
              </c:pt>
              <c:pt idx="1">
                <c:v> 21 </c:v>
              </c:pt>
              <c:pt idx="2">
                <c:v> 22 </c:v>
              </c:pt>
              <c:pt idx="3">
                <c:v> 23 </c:v>
              </c:pt>
              <c:pt idx="4">
                <c:v> 24 </c:v>
              </c:pt>
              <c:pt idx="5">
                <c:v> 25 </c:v>
              </c:pt>
              <c:pt idx="6">
                <c:v> 26 </c:v>
              </c:pt>
              <c:pt idx="7">
                <c:v> 27 </c:v>
              </c:pt>
              <c:pt idx="8">
                <c:v> 28 </c:v>
              </c:pt>
              <c:pt idx="9">
                <c:v> 29 </c:v>
              </c:pt>
              <c:pt idx="10">
                <c:v> 30 </c:v>
              </c:pt>
              <c:pt idx="11">
                <c:v> 31 </c:v>
              </c:pt>
              <c:pt idx="12">
                <c:v> 32 </c:v>
              </c:pt>
              <c:pt idx="13">
                <c:v> 33 </c:v>
              </c:pt>
              <c:pt idx="14">
                <c:v> 34 </c:v>
              </c:pt>
              <c:pt idx="15">
                <c:v> 35 </c:v>
              </c:pt>
              <c:pt idx="16">
                <c:v> 36 </c:v>
              </c:pt>
              <c:pt idx="17">
                <c:v> 37 </c:v>
              </c:pt>
              <c:pt idx="18">
                <c:v> 38 </c:v>
              </c:pt>
              <c:pt idx="19">
                <c:v> 39 </c:v>
              </c:pt>
              <c:pt idx="20">
                <c:v> 40 </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'6. Summary Tracking Sheet'!$DP$4:$DP$124</c15:sqref>
                  </c15:fullRef>
                </c:ext>
              </c:extLst>
              <c:f>'6. Summary Tracking Sheet'!$DP$23:$DP$43</c:f>
              <c:numCache>
                <c:formatCode>_(* #,##0_);_(* \(#,##0\);_(* "-"??_);_(@_)</c:formatCode>
                <c:ptCount val="21"/>
                <c:pt idx="0">
                  <c:v>0</c:v>
                </c:pt>
                <c:pt idx="1">
                  <c:v>0</c:v>
                </c:pt>
                <c:pt idx="2">
                  <c:v>1000</c:v>
                </c:pt>
                <c:pt idx="3">
                  <c:v>7000</c:v>
                </c:pt>
                <c:pt idx="4">
                  <c:v>20350</c:v>
                </c:pt>
                <c:pt idx="5">
                  <c:v>44150</c:v>
                </c:pt>
                <c:pt idx="6">
                  <c:v>73500</c:v>
                </c:pt>
                <c:pt idx="7">
                  <c:v>124200</c:v>
                </c:pt>
                <c:pt idx="8">
                  <c:v>190800</c:v>
                </c:pt>
                <c:pt idx="9">
                  <c:v>279500</c:v>
                </c:pt>
                <c:pt idx="10">
                  <c:v>387900</c:v>
                </c:pt>
                <c:pt idx="11">
                  <c:v>480700</c:v>
                </c:pt>
                <c:pt idx="12">
                  <c:v>602700</c:v>
                </c:pt>
                <c:pt idx="13">
                  <c:v>686850</c:v>
                </c:pt>
                <c:pt idx="14">
                  <c:v>742450</c:v>
                </c:pt>
                <c:pt idx="15">
                  <c:v>760150</c:v>
                </c:pt>
                <c:pt idx="16">
                  <c:v>767200</c:v>
                </c:pt>
                <c:pt idx="17">
                  <c:v>770000</c:v>
                </c:pt>
                <c:pt idx="18">
                  <c:v>770000</c:v>
                </c:pt>
                <c:pt idx="19">
                  <c:v>770000</c:v>
                </c:pt>
                <c:pt idx="20">
                  <c:v>770000</c:v>
                </c:pt>
              </c:numCache>
            </c:numRef>
          </c:val>
          <c:extLst>
            <c:ext xmlns:c16="http://schemas.microsoft.com/office/drawing/2014/chart" uri="{C3380CC4-5D6E-409C-BE32-E72D297353CC}">
              <c16:uniqueId val="{00000003-E5F2-4B1B-8ABE-0309C906C51F}"/>
            </c:ext>
          </c:extLst>
        </c:ser>
        <c:dLbls>
          <c:showLegendKey val="0"/>
          <c:showVal val="0"/>
          <c:showCatName val="0"/>
          <c:showSerName val="0"/>
          <c:showPercent val="0"/>
          <c:showBubbleSize val="0"/>
        </c:dLbls>
        <c:gapWidth val="150"/>
        <c:axId val="550300207"/>
        <c:axId val="506817855"/>
      </c:barChart>
      <c:lineChart>
        <c:grouping val="standard"/>
        <c:varyColors val="0"/>
        <c:ser>
          <c:idx val="2"/>
          <c:order val="2"/>
          <c:tx>
            <c:strRef>
              <c:f>'6. Summary Tracking Sheet'!$DR$3</c:f>
              <c:strCache>
                <c:ptCount val="1"/>
                <c:pt idx="0">
                  <c:v>ScheduleVariance(SV)</c:v>
                </c:pt>
              </c:strCache>
            </c:strRef>
          </c:tx>
          <c:spPr>
            <a:ln w="22225" cap="rnd">
              <a:solidFill>
                <a:schemeClr val="accent3"/>
              </a:solidFill>
              <a:round/>
            </a:ln>
            <a:effectLst/>
          </c:spPr>
          <c:marker>
            <c:symbol val="circle"/>
            <c:size val="6"/>
            <c:spPr>
              <a:solidFill>
                <a:schemeClr val="lt1"/>
              </a:solidFill>
              <a:ln w="15875">
                <a:solidFill>
                  <a:schemeClr val="accent3"/>
                </a:solidFill>
                <a:round/>
              </a:ln>
              <a:effectLst/>
            </c:spPr>
          </c:marker>
          <c:cat>
            <c:strLit>
              <c:ptCount val="21"/>
              <c:pt idx="0">
                <c:v> 20 </c:v>
              </c:pt>
              <c:pt idx="1">
                <c:v> 21 </c:v>
              </c:pt>
              <c:pt idx="2">
                <c:v> 22 </c:v>
              </c:pt>
              <c:pt idx="3">
                <c:v> 23 </c:v>
              </c:pt>
              <c:pt idx="4">
                <c:v> 24 </c:v>
              </c:pt>
              <c:pt idx="5">
                <c:v> 25 </c:v>
              </c:pt>
              <c:pt idx="6">
                <c:v> 26 </c:v>
              </c:pt>
              <c:pt idx="7">
                <c:v> 27 </c:v>
              </c:pt>
              <c:pt idx="8">
                <c:v> 28 </c:v>
              </c:pt>
              <c:pt idx="9">
                <c:v> 29 </c:v>
              </c:pt>
              <c:pt idx="10">
                <c:v> 30 </c:v>
              </c:pt>
              <c:pt idx="11">
                <c:v> 31 </c:v>
              </c:pt>
              <c:pt idx="12">
                <c:v> 32 </c:v>
              </c:pt>
              <c:pt idx="13">
                <c:v> 33 </c:v>
              </c:pt>
              <c:pt idx="14">
                <c:v> 34 </c:v>
              </c:pt>
              <c:pt idx="15">
                <c:v> 35 </c:v>
              </c:pt>
              <c:pt idx="16">
                <c:v> 36 </c:v>
              </c:pt>
              <c:pt idx="17">
                <c:v> 37 </c:v>
              </c:pt>
              <c:pt idx="18">
                <c:v> 38 </c:v>
              </c:pt>
              <c:pt idx="19">
                <c:v> 39 </c:v>
              </c:pt>
              <c:pt idx="20">
                <c:v> 40 </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'6. Summary Tracking Sheet'!$DR$4:$DR$124</c15:sqref>
                  </c15:fullRef>
                </c:ext>
              </c:extLst>
              <c:f>'6. Summary Tracking Sheet'!$DR$23:$DR$43</c:f>
              <c:numCache>
                <c:formatCode>_(* #,##0_);_(* \(#,##0\);_(* "-"??_);_(@_)</c:formatCode>
                <c:ptCount val="21"/>
                <c:pt idx="0">
                  <c:v>0</c:v>
                </c:pt>
                <c:pt idx="1">
                  <c:v>0</c:v>
                </c:pt>
                <c:pt idx="2">
                  <c:v>-500</c:v>
                </c:pt>
                <c:pt idx="3">
                  <c:v>-3500</c:v>
                </c:pt>
                <c:pt idx="4">
                  <c:v>-11100</c:v>
                </c:pt>
                <c:pt idx="5">
                  <c:v>-21700</c:v>
                </c:pt>
                <c:pt idx="6">
                  <c:v>-24650</c:v>
                </c:pt>
                <c:pt idx="7">
                  <c:v>-41250</c:v>
                </c:pt>
                <c:pt idx="8">
                  <c:v>-50500</c:v>
                </c:pt>
                <c:pt idx="9">
                  <c:v>-63250</c:v>
                </c:pt>
                <c:pt idx="10">
                  <c:v>-91500</c:v>
                </c:pt>
                <c:pt idx="11">
                  <c:v>-101950</c:v>
                </c:pt>
                <c:pt idx="12">
                  <c:v>-181150</c:v>
                </c:pt>
                <c:pt idx="13">
                  <c:v>-257150</c:v>
                </c:pt>
                <c:pt idx="14">
                  <c:v>-312550</c:v>
                </c:pt>
                <c:pt idx="15">
                  <c:v>-330250</c:v>
                </c:pt>
                <c:pt idx="16">
                  <c:v>-337300</c:v>
                </c:pt>
                <c:pt idx="17">
                  <c:v>-340100</c:v>
                </c:pt>
                <c:pt idx="18">
                  <c:v>-340100</c:v>
                </c:pt>
                <c:pt idx="19">
                  <c:v>-340100</c:v>
                </c:pt>
                <c:pt idx="20">
                  <c:v>-340100</c:v>
                </c:pt>
              </c:numCache>
            </c:numRef>
          </c:val>
          <c:smooth val="0"/>
          <c:extLst>
            <c:ext xmlns:c16="http://schemas.microsoft.com/office/drawing/2014/chart" uri="{C3380CC4-5D6E-409C-BE32-E72D297353CC}">
              <c16:uniqueId val="{00000004-E5F2-4B1B-8ABE-0309C906C51F}"/>
            </c:ext>
          </c:extLst>
        </c:ser>
        <c:dLbls>
          <c:showLegendKey val="0"/>
          <c:showVal val="0"/>
          <c:showCatName val="0"/>
          <c:showSerName val="0"/>
          <c:showPercent val="0"/>
          <c:showBubbleSize val="0"/>
        </c:dLbls>
        <c:marker val="1"/>
        <c:smooth val="0"/>
        <c:axId val="1954275295"/>
        <c:axId val="222110415"/>
      </c:lineChart>
      <c:catAx>
        <c:axId val="550300207"/>
        <c:scaling>
          <c:orientation val="minMax"/>
        </c:scaling>
        <c:delete val="0"/>
        <c:axPos val="b"/>
        <c:majorGridlines>
          <c:spPr>
            <a:ln w="9525" cap="flat" cmpd="sng" algn="ctr">
              <a:solidFill>
                <a:schemeClr val="dk1">
                  <a:lumMod val="15000"/>
                  <a:lumOff val="85000"/>
                  <a:alpha val="54000"/>
                </a:schemeClr>
              </a:solidFill>
              <a:round/>
            </a:ln>
            <a:effectLst/>
          </c:spPr>
        </c:majorGridlines>
        <c:minorGridlines>
          <c:spPr>
            <a:ln w="9525" cap="flat" cmpd="sng" algn="ctr">
              <a:solidFill>
                <a:schemeClr val="dk1">
                  <a:lumMod val="15000"/>
                  <a:lumOff val="85000"/>
                  <a:alpha val="51000"/>
                </a:schemeClr>
              </a:solidFill>
              <a:round/>
            </a:ln>
            <a:effectLst/>
          </c:spPr>
        </c:minorGridlines>
        <c:title>
          <c:tx>
            <c:rich>
              <a:bodyPr rot="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r>
                  <a:rPr lang="en-US"/>
                  <a:t>Week</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endParaRPr lang="en-US"/>
            </a:p>
          </c:txPr>
        </c:title>
        <c:numFmt formatCode="General" sourceLinked="0"/>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cap="none" spc="0" normalizeH="0" baseline="0">
                <a:solidFill>
                  <a:schemeClr val="dk1">
                    <a:lumMod val="65000"/>
                    <a:lumOff val="35000"/>
                  </a:schemeClr>
                </a:solidFill>
                <a:latin typeface="+mn-lt"/>
                <a:ea typeface="+mn-ea"/>
                <a:cs typeface="+mn-cs"/>
              </a:defRPr>
            </a:pPr>
            <a:endParaRPr lang="en-US"/>
          </a:p>
        </c:txPr>
        <c:crossAx val="506817855"/>
        <c:crosses val="autoZero"/>
        <c:auto val="1"/>
        <c:lblAlgn val="ctr"/>
        <c:lblOffset val="100"/>
        <c:noMultiLvlLbl val="0"/>
      </c:catAx>
      <c:valAx>
        <c:axId val="506817855"/>
        <c:scaling>
          <c:orientation val="minMax"/>
        </c:scaling>
        <c:delete val="0"/>
        <c:axPos val="l"/>
        <c:majorGridlines>
          <c:spPr>
            <a:ln w="9525" cap="flat" cmpd="sng" algn="ctr">
              <a:solidFill>
                <a:schemeClr val="dk1">
                  <a:lumMod val="15000"/>
                  <a:lumOff val="85000"/>
                  <a:alpha val="54000"/>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r>
                  <a:rPr lang="en-US"/>
                  <a:t>Cost Variance (CV)</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endParaRPr lang="en-US"/>
            </a:p>
          </c:txPr>
        </c:title>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crossAx val="550300207"/>
        <c:crosses val="autoZero"/>
        <c:crossBetween val="between"/>
      </c:valAx>
      <c:valAx>
        <c:axId val="222110415"/>
        <c:scaling>
          <c:orientation val="minMax"/>
        </c:scaling>
        <c:delete val="0"/>
        <c:axPos val="r"/>
        <c:numFmt formatCode="_(* #,##0_);_(* \(#,##0\);_(* &quot;-&quot;??_);_(@_)"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crossAx val="1954275295"/>
        <c:crosses val="max"/>
        <c:crossBetween val="between"/>
      </c:valAx>
      <c:catAx>
        <c:axId val="1954275295"/>
        <c:scaling>
          <c:orientation val="minMax"/>
        </c:scaling>
        <c:delete val="1"/>
        <c:axPos val="b"/>
        <c:majorTickMark val="out"/>
        <c:minorTickMark val="none"/>
        <c:tickLblPos val="nextTo"/>
        <c:crossAx val="222110415"/>
        <c:crosses val="autoZero"/>
        <c:auto val="1"/>
        <c:lblAlgn val="ctr"/>
        <c:lblOffset val="100"/>
        <c:noMultiLvlLbl val="0"/>
      </c:catAx>
      <c:dTable>
        <c:showHorzBorder val="1"/>
        <c:showVertBorder val="1"/>
        <c:showOutline val="1"/>
        <c:showKeys val="1"/>
        <c:spPr>
          <a:noFill/>
          <a:ln w="9525" cap="flat" cmpd="sng" algn="ctr">
            <a:solidFill>
              <a:schemeClr val="dk1">
                <a:lumMod val="15000"/>
                <a:lumOff val="85000"/>
              </a:schemeClr>
            </a:solidFill>
            <a:round/>
          </a:ln>
          <a:effectLst/>
        </c:spPr>
        <c:txPr>
          <a:bodyPr rot="0" spcFirstLastPara="1" vertOverflow="ellipsis" vert="horz" wrap="square" anchor="ctr" anchorCtr="1"/>
          <a:lstStyle/>
          <a:p>
            <a:pPr rtl="0">
              <a:defRPr sz="800" b="0" i="0" u="none" strike="noStrike" kern="1200" baseline="0">
                <a:solidFill>
                  <a:schemeClr val="dk1">
                    <a:lumMod val="65000"/>
                    <a:lumOff val="35000"/>
                  </a:schemeClr>
                </a:solidFill>
                <a:latin typeface="+mn-lt"/>
                <a:ea typeface="+mn-ea"/>
                <a:cs typeface="+mn-cs"/>
              </a:defRPr>
            </a:pPr>
            <a:endParaRPr lang="en-US"/>
          </a:p>
        </c:txPr>
      </c:dTable>
      <c:spPr>
        <a:pattFill prst="ltDnDiag">
          <a:fgClr>
            <a:schemeClr val="dk1">
              <a:lumMod val="15000"/>
              <a:lumOff val="85000"/>
            </a:schemeClr>
          </a:fgClr>
          <a:bgClr>
            <a:schemeClr val="lt1"/>
          </a:bgClr>
        </a:patt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tx>
            <c:strRef>
              <c:f>'6. Summary Tracking Sheet'!$DQ$3</c:f>
              <c:strCache>
                <c:ptCount val="1"/>
                <c:pt idx="0">
                  <c:v>AccumulatedAC</c:v>
                </c:pt>
              </c:strCache>
            </c:strRef>
          </c:tx>
          <c:spPr>
            <a:ln w="22225" cap="rnd">
              <a:solidFill>
                <a:schemeClr val="accent1"/>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dk1">
                          <a:lumMod val="35000"/>
                          <a:lumOff val="65000"/>
                        </a:schemeClr>
                      </a:solidFill>
                      <a:round/>
                    </a:ln>
                    <a:effectLst/>
                  </c:spPr>
                </c15:leaderLines>
              </c:ext>
            </c:extLst>
          </c:dLbls>
          <c:cat>
            <c:strLit>
              <c:ptCount val="21"/>
              <c:pt idx="0">
                <c:v> 20 </c:v>
              </c:pt>
              <c:pt idx="1">
                <c:v> 21 </c:v>
              </c:pt>
              <c:pt idx="2">
                <c:v> 22 </c:v>
              </c:pt>
              <c:pt idx="3">
                <c:v> 23 </c:v>
              </c:pt>
              <c:pt idx="4">
                <c:v> 24 </c:v>
              </c:pt>
              <c:pt idx="5">
                <c:v> 25 </c:v>
              </c:pt>
              <c:pt idx="6">
                <c:v> 26 </c:v>
              </c:pt>
              <c:pt idx="7">
                <c:v> 27 </c:v>
              </c:pt>
              <c:pt idx="8">
                <c:v> 28 </c:v>
              </c:pt>
              <c:pt idx="9">
                <c:v> 29 </c:v>
              </c:pt>
              <c:pt idx="10">
                <c:v> 30 </c:v>
              </c:pt>
              <c:pt idx="11">
                <c:v> 31 </c:v>
              </c:pt>
              <c:pt idx="12">
                <c:v> 32 </c:v>
              </c:pt>
              <c:pt idx="13">
                <c:v> 33 </c:v>
              </c:pt>
              <c:pt idx="14">
                <c:v> 34 </c:v>
              </c:pt>
              <c:pt idx="15">
                <c:v> 35 </c:v>
              </c:pt>
              <c:pt idx="16">
                <c:v> 36 </c:v>
              </c:pt>
              <c:pt idx="17">
                <c:v> 37 </c:v>
              </c:pt>
              <c:pt idx="18">
                <c:v> 38 </c:v>
              </c:pt>
              <c:pt idx="19">
                <c:v> 39 </c:v>
              </c:pt>
              <c:pt idx="20">
                <c:v> 40 </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'6. Summary Tracking Sheet'!$DQ$4:$DQ$124</c15:sqref>
                  </c15:fullRef>
                </c:ext>
              </c:extLst>
              <c:f>'6. Summary Tracking Sheet'!$DQ$23:$DQ$43</c:f>
              <c:numCache>
                <c:formatCode>_(* #,##0_);_(* \(#,##0\);_(* "-"??_);_(@_)</c:formatCode>
                <c:ptCount val="21"/>
                <c:pt idx="0">
                  <c:v>0</c:v>
                </c:pt>
                <c:pt idx="1">
                  <c:v>0</c:v>
                </c:pt>
                <c:pt idx="2">
                  <c:v>925</c:v>
                </c:pt>
                <c:pt idx="3">
                  <c:v>5525</c:v>
                </c:pt>
                <c:pt idx="4">
                  <c:v>15860</c:v>
                </c:pt>
                <c:pt idx="5">
                  <c:v>35735</c:v>
                </c:pt>
                <c:pt idx="6">
                  <c:v>65645</c:v>
                </c:pt>
                <c:pt idx="7">
                  <c:v>111755</c:v>
                </c:pt>
                <c:pt idx="8">
                  <c:v>170855</c:v>
                </c:pt>
                <c:pt idx="9">
                  <c:v>241300</c:v>
                </c:pt>
                <c:pt idx="10">
                  <c:v>314305</c:v>
                </c:pt>
                <c:pt idx="11">
                  <c:v>387655</c:v>
                </c:pt>
                <c:pt idx="12">
                  <c:v>426245</c:v>
                </c:pt>
                <c:pt idx="13">
                  <c:v>433625</c:v>
                </c:pt>
                <c:pt idx="14">
                  <c:v>433825</c:v>
                </c:pt>
                <c:pt idx="15">
                  <c:v>433825</c:v>
                </c:pt>
                <c:pt idx="16">
                  <c:v>433825</c:v>
                </c:pt>
                <c:pt idx="17">
                  <c:v>433825</c:v>
                </c:pt>
                <c:pt idx="18">
                  <c:v>433825</c:v>
                </c:pt>
                <c:pt idx="19">
                  <c:v>433825</c:v>
                </c:pt>
                <c:pt idx="20">
                  <c:v>433825</c:v>
                </c:pt>
              </c:numCache>
            </c:numRef>
          </c:val>
          <c:smooth val="0"/>
          <c:extLst>
            <c:ext xmlns:c16="http://schemas.microsoft.com/office/drawing/2014/chart" uri="{C3380CC4-5D6E-409C-BE32-E72D297353CC}">
              <c16:uniqueId val="{00000000-1EFA-4E6C-90DF-2990B1B5ECD5}"/>
            </c:ext>
          </c:extLst>
        </c:ser>
        <c:dLbls>
          <c:dLblPos val="t"/>
          <c:showLegendKey val="0"/>
          <c:showVal val="1"/>
          <c:showCatName val="0"/>
          <c:showSerName val="0"/>
          <c:showPercent val="0"/>
          <c:showBubbleSize val="0"/>
        </c:dLbls>
        <c:smooth val="0"/>
        <c:axId val="550300207"/>
        <c:axId val="506817855"/>
        <c:extLst/>
      </c:lineChart>
      <c:catAx>
        <c:axId val="550300207"/>
        <c:scaling>
          <c:orientation val="minMax"/>
        </c:scaling>
        <c:delete val="0"/>
        <c:axPos val="b"/>
        <c:majorGridlines>
          <c:spPr>
            <a:ln w="9525" cap="flat" cmpd="sng" algn="ctr">
              <a:solidFill>
                <a:schemeClr val="dk1">
                  <a:lumMod val="15000"/>
                  <a:lumOff val="85000"/>
                  <a:alpha val="54000"/>
                </a:schemeClr>
              </a:solidFill>
              <a:round/>
            </a:ln>
            <a:effectLst/>
          </c:spPr>
        </c:majorGridlines>
        <c:minorGridlines>
          <c:spPr>
            <a:ln w="9525" cap="flat" cmpd="sng" algn="ctr">
              <a:solidFill>
                <a:schemeClr val="dk1">
                  <a:lumMod val="15000"/>
                  <a:lumOff val="85000"/>
                  <a:alpha val="51000"/>
                </a:schemeClr>
              </a:solidFill>
              <a:round/>
            </a:ln>
            <a:effectLst/>
          </c:spPr>
        </c:minorGridlines>
        <c:title>
          <c:tx>
            <c:rich>
              <a:bodyPr rot="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r>
                  <a:rPr lang="en-US"/>
                  <a:t>Week</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endParaRPr lang="en-US"/>
            </a:p>
          </c:txPr>
        </c:title>
        <c:numFmt formatCode="General" sourceLinked="0"/>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cap="none" spc="0" normalizeH="0" baseline="0">
                <a:solidFill>
                  <a:schemeClr val="dk1">
                    <a:lumMod val="65000"/>
                    <a:lumOff val="35000"/>
                  </a:schemeClr>
                </a:solidFill>
                <a:latin typeface="+mn-lt"/>
                <a:ea typeface="+mn-ea"/>
                <a:cs typeface="+mn-cs"/>
              </a:defRPr>
            </a:pPr>
            <a:endParaRPr lang="en-US"/>
          </a:p>
        </c:txPr>
        <c:crossAx val="506817855"/>
        <c:crosses val="autoZero"/>
        <c:auto val="1"/>
        <c:lblAlgn val="ctr"/>
        <c:lblOffset val="100"/>
        <c:noMultiLvlLbl val="0"/>
      </c:catAx>
      <c:valAx>
        <c:axId val="506817855"/>
        <c:scaling>
          <c:orientation val="minMax"/>
          <c:max val="800000"/>
        </c:scaling>
        <c:delete val="0"/>
        <c:axPos val="l"/>
        <c:majorGridlines>
          <c:spPr>
            <a:ln w="9525" cap="flat" cmpd="sng" algn="ctr">
              <a:solidFill>
                <a:schemeClr val="dk1">
                  <a:lumMod val="15000"/>
                  <a:lumOff val="85000"/>
                  <a:alpha val="54000"/>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r>
                  <a:rPr lang="en-US"/>
                  <a:t>Cost Variance (CV)</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endParaRPr lang="en-US"/>
            </a:p>
          </c:txPr>
        </c:title>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crossAx val="550300207"/>
        <c:crosses val="autoZero"/>
        <c:crossBetween val="between"/>
      </c:valAx>
      <c:dTable>
        <c:showHorzBorder val="1"/>
        <c:showVertBorder val="1"/>
        <c:showOutline val="1"/>
        <c:showKeys val="1"/>
        <c:spPr>
          <a:noFill/>
          <a:ln w="9525" cap="flat" cmpd="sng" algn="ctr">
            <a:solidFill>
              <a:schemeClr val="dk1">
                <a:lumMod val="15000"/>
                <a:lumOff val="85000"/>
              </a:schemeClr>
            </a:solidFill>
            <a:round/>
          </a:ln>
          <a:effectLst/>
        </c:spPr>
        <c:txPr>
          <a:bodyPr rot="0" spcFirstLastPara="1" vertOverflow="ellipsis" vert="horz" wrap="square" anchor="ctr" anchorCtr="1"/>
          <a:lstStyle/>
          <a:p>
            <a:pPr rtl="0">
              <a:defRPr sz="800" b="0" i="0" u="none" strike="noStrike" kern="1200" baseline="0">
                <a:solidFill>
                  <a:schemeClr val="dk1">
                    <a:lumMod val="65000"/>
                    <a:lumOff val="35000"/>
                  </a:schemeClr>
                </a:solidFill>
                <a:latin typeface="+mn-lt"/>
                <a:ea typeface="+mn-ea"/>
                <a:cs typeface="+mn-cs"/>
              </a:defRPr>
            </a:pPr>
            <a:endParaRPr lang="en-US"/>
          </a:p>
        </c:txPr>
      </c:dTable>
      <c:spPr>
        <a:pattFill prst="ltDnDiag">
          <a:fgClr>
            <a:schemeClr val="dk1">
              <a:lumMod val="15000"/>
              <a:lumOff val="85000"/>
            </a:schemeClr>
          </a:fgClr>
          <a:bgClr>
            <a:schemeClr val="lt1"/>
          </a:bgClr>
        </a:patt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B595-4049-860A-E88B4BA91B8E}"/>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B595-4049-860A-E88B4BA91B8E}"/>
              </c:ext>
            </c:extLst>
          </c:dPt>
          <c:cat>
            <c:strRef>
              <c:f>'C. Deployment KPIs'!$C$53:$C$54</c:f>
              <c:strCache>
                <c:ptCount val="2"/>
                <c:pt idx="0">
                  <c:v>Sites delivered so far (@SiteInOperations)</c:v>
                </c:pt>
                <c:pt idx="1">
                  <c:v>Sites in process (@other milestones)</c:v>
                </c:pt>
              </c:strCache>
            </c:strRef>
          </c:cat>
          <c:val>
            <c:numRef>
              <c:f>'C. Deployment KPIs'!$D$53:$D$54</c:f>
              <c:numCache>
                <c:formatCode>0</c:formatCode>
                <c:ptCount val="2"/>
                <c:pt idx="0">
                  <c:v>10</c:v>
                </c:pt>
                <c:pt idx="1">
                  <c:v>90</c:v>
                </c:pt>
              </c:numCache>
            </c:numRef>
          </c:val>
          <c:extLst>
            <c:ext xmlns:c16="http://schemas.microsoft.com/office/drawing/2014/chart" uri="{C3380CC4-5D6E-409C-BE32-E72D297353CC}">
              <c16:uniqueId val="{00000004-B595-4049-860A-E88B4BA91B8E}"/>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 Dashboard'!$B$9:$B$12</c:f>
              <c:strCache>
                <c:ptCount val="4"/>
                <c:pt idx="0">
                  <c:v>Value of Work Completed (EV) at Week 30</c:v>
                </c:pt>
                <c:pt idx="1">
                  <c:v>Actual Costs (AC) at Week 30</c:v>
                </c:pt>
                <c:pt idx="2">
                  <c:v>Planned Value (PV) at Week 30</c:v>
                </c:pt>
                <c:pt idx="3">
                  <c:v>Total Planned Value (BAC)</c:v>
                </c:pt>
              </c:strCache>
            </c:strRef>
          </c:cat>
          <c:val>
            <c:numRef>
              <c:f>'D. Dashboard'!$C$9:$C$12</c:f>
              <c:numCache>
                <c:formatCode>_("$"* #,##0_);_("$"* \(#,##0\);_("$"* "-"??_);_(@_)</c:formatCode>
                <c:ptCount val="4"/>
                <c:pt idx="0">
                  <c:v>429900</c:v>
                </c:pt>
                <c:pt idx="1">
                  <c:v>296400</c:v>
                </c:pt>
                <c:pt idx="2">
                  <c:v>387900</c:v>
                </c:pt>
                <c:pt idx="3">
                  <c:v>770000</c:v>
                </c:pt>
              </c:numCache>
            </c:numRef>
          </c:val>
          <c:extLst>
            <c:ext xmlns:c16="http://schemas.microsoft.com/office/drawing/2014/chart" uri="{C3380CC4-5D6E-409C-BE32-E72D297353CC}">
              <c16:uniqueId val="{00000000-5495-4146-B1F9-0396E752F905}"/>
            </c:ext>
          </c:extLst>
        </c:ser>
        <c:dLbls>
          <c:showLegendKey val="0"/>
          <c:showVal val="0"/>
          <c:showCatName val="0"/>
          <c:showSerName val="0"/>
          <c:showPercent val="0"/>
          <c:showBubbleSize val="0"/>
        </c:dLbls>
        <c:gapWidth val="182"/>
        <c:axId val="1853892767"/>
        <c:axId val="222108751"/>
      </c:barChart>
      <c:catAx>
        <c:axId val="185389276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22108751"/>
        <c:crosses val="autoZero"/>
        <c:auto val="1"/>
        <c:lblAlgn val="ctr"/>
        <c:lblOffset val="100"/>
        <c:noMultiLvlLbl val="0"/>
      </c:catAx>
      <c:valAx>
        <c:axId val="222108751"/>
        <c:scaling>
          <c:orientation val="minMax"/>
        </c:scaling>
        <c:delete val="0"/>
        <c:axPos val="b"/>
        <c:majorGridlines>
          <c:spPr>
            <a:ln w="9525" cap="flat" cmpd="sng" algn="ctr">
              <a:solidFill>
                <a:schemeClr val="tx1">
                  <a:lumMod val="15000"/>
                  <a:lumOff val="85000"/>
                </a:schemeClr>
              </a:solidFill>
              <a:round/>
            </a:ln>
            <a:effectLst/>
          </c:spPr>
        </c:majorGridlines>
        <c:numFmt formatCode="_(&quot;$&quot;* #,##0_);_(&quot;$&quot;* \(#,##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53892767"/>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clustered"/>
        <c:varyColors val="0"/>
        <c:ser>
          <c:idx val="0"/>
          <c:order val="0"/>
          <c:spPr>
            <a:solidFill>
              <a:schemeClr val="accent1"/>
            </a:solidFill>
            <a:ln>
              <a:noFill/>
            </a:ln>
            <a:effectLst/>
          </c:spPr>
          <c:invertIfNegative val="0"/>
          <c:dPt>
            <c:idx val="1"/>
            <c:invertIfNegative val="0"/>
            <c:bubble3D val="0"/>
            <c:spPr>
              <a:solidFill>
                <a:schemeClr val="accent2"/>
              </a:solidFill>
              <a:ln>
                <a:noFill/>
              </a:ln>
              <a:effectLst/>
            </c:spPr>
            <c:extLst>
              <c:ext xmlns:c16="http://schemas.microsoft.com/office/drawing/2014/chart" uri="{C3380CC4-5D6E-409C-BE32-E72D297353CC}">
                <c16:uniqueId val="{00000001-1B92-4FE0-A530-0D17BF890F6A}"/>
              </c:ext>
            </c:extLst>
          </c:dPt>
          <c:dPt>
            <c:idx val="3"/>
            <c:invertIfNegative val="0"/>
            <c:bubble3D val="0"/>
            <c:spPr>
              <a:solidFill>
                <a:schemeClr val="accent2"/>
              </a:solidFill>
              <a:ln>
                <a:noFill/>
              </a:ln>
              <a:effectLst/>
            </c:spPr>
            <c:extLst>
              <c:ext xmlns:c16="http://schemas.microsoft.com/office/drawing/2014/chart" uri="{C3380CC4-5D6E-409C-BE32-E72D297353CC}">
                <c16:uniqueId val="{00000003-1B92-4FE0-A530-0D17BF890F6A}"/>
              </c:ext>
            </c:extLst>
          </c:dPt>
          <c:dPt>
            <c:idx val="5"/>
            <c:invertIfNegative val="0"/>
            <c:bubble3D val="0"/>
            <c:spPr>
              <a:solidFill>
                <a:schemeClr val="accent2"/>
              </a:solidFill>
              <a:ln>
                <a:noFill/>
              </a:ln>
              <a:effectLst/>
            </c:spPr>
            <c:extLst>
              <c:ext xmlns:c16="http://schemas.microsoft.com/office/drawing/2014/chart" uri="{C3380CC4-5D6E-409C-BE32-E72D297353CC}">
                <c16:uniqueId val="{00000005-1B92-4FE0-A530-0D17BF890F6A}"/>
              </c:ext>
            </c:extLst>
          </c:dPt>
          <c:dPt>
            <c:idx val="7"/>
            <c:invertIfNegative val="0"/>
            <c:bubble3D val="0"/>
            <c:spPr>
              <a:solidFill>
                <a:schemeClr val="accent2"/>
              </a:solidFill>
              <a:ln>
                <a:noFill/>
              </a:ln>
              <a:effectLst/>
            </c:spPr>
            <c:extLst>
              <c:ext xmlns:c16="http://schemas.microsoft.com/office/drawing/2014/chart" uri="{C3380CC4-5D6E-409C-BE32-E72D297353CC}">
                <c16:uniqueId val="{00000007-1B92-4FE0-A530-0D17BF890F6A}"/>
              </c:ext>
            </c:extLst>
          </c:dPt>
          <c:dPt>
            <c:idx val="9"/>
            <c:invertIfNegative val="0"/>
            <c:bubble3D val="0"/>
            <c:spPr>
              <a:solidFill>
                <a:schemeClr val="accent2"/>
              </a:solidFill>
              <a:ln>
                <a:noFill/>
              </a:ln>
              <a:effectLst/>
            </c:spPr>
            <c:extLst>
              <c:ext xmlns:c16="http://schemas.microsoft.com/office/drawing/2014/chart" uri="{C3380CC4-5D6E-409C-BE32-E72D297353CC}">
                <c16:uniqueId val="{00000009-1B92-4FE0-A530-0D17BF890F6A}"/>
              </c:ext>
            </c:extLst>
          </c:dPt>
          <c:dPt>
            <c:idx val="11"/>
            <c:invertIfNegative val="0"/>
            <c:bubble3D val="0"/>
            <c:spPr>
              <a:solidFill>
                <a:schemeClr val="accent2"/>
              </a:solidFill>
              <a:ln>
                <a:noFill/>
              </a:ln>
              <a:effectLst/>
            </c:spPr>
            <c:extLst>
              <c:ext xmlns:c16="http://schemas.microsoft.com/office/drawing/2014/chart" uri="{C3380CC4-5D6E-409C-BE32-E72D297353CC}">
                <c16:uniqueId val="{0000000B-1B92-4FE0-A530-0D17BF890F6A}"/>
              </c:ext>
            </c:extLst>
          </c:dPt>
          <c:dPt>
            <c:idx val="13"/>
            <c:invertIfNegative val="0"/>
            <c:bubble3D val="0"/>
            <c:spPr>
              <a:solidFill>
                <a:schemeClr val="accent2"/>
              </a:solidFill>
              <a:ln>
                <a:noFill/>
              </a:ln>
              <a:effectLst/>
            </c:spPr>
            <c:extLst>
              <c:ext xmlns:c16="http://schemas.microsoft.com/office/drawing/2014/chart" uri="{C3380CC4-5D6E-409C-BE32-E72D297353CC}">
                <c16:uniqueId val="{0000000D-1B92-4FE0-A530-0D17BF890F6A}"/>
              </c:ext>
            </c:extLst>
          </c:dPt>
          <c:dPt>
            <c:idx val="15"/>
            <c:invertIfNegative val="0"/>
            <c:bubble3D val="0"/>
            <c:spPr>
              <a:solidFill>
                <a:schemeClr val="accent2"/>
              </a:solidFill>
              <a:ln>
                <a:noFill/>
              </a:ln>
              <a:effectLst/>
            </c:spPr>
            <c:extLst>
              <c:ext xmlns:c16="http://schemas.microsoft.com/office/drawing/2014/chart" uri="{C3380CC4-5D6E-409C-BE32-E72D297353CC}">
                <c16:uniqueId val="{0000000F-1B92-4FE0-A530-0D17BF890F6A}"/>
              </c:ext>
            </c:extLst>
          </c:dPt>
          <c:dPt>
            <c:idx val="17"/>
            <c:invertIfNegative val="0"/>
            <c:bubble3D val="0"/>
            <c:spPr>
              <a:solidFill>
                <a:schemeClr val="accent2"/>
              </a:solidFill>
              <a:ln>
                <a:noFill/>
              </a:ln>
              <a:effectLst/>
            </c:spPr>
            <c:extLst>
              <c:ext xmlns:c16="http://schemas.microsoft.com/office/drawing/2014/chart" uri="{C3380CC4-5D6E-409C-BE32-E72D297353CC}">
                <c16:uniqueId val="{00000011-1B92-4FE0-A530-0D17BF890F6A}"/>
              </c:ext>
            </c:extLst>
          </c:dPt>
          <c:dPt>
            <c:idx val="19"/>
            <c:invertIfNegative val="0"/>
            <c:bubble3D val="0"/>
            <c:spPr>
              <a:solidFill>
                <a:schemeClr val="accent2"/>
              </a:solidFill>
              <a:ln>
                <a:noFill/>
              </a:ln>
              <a:effectLst/>
            </c:spPr>
            <c:extLst>
              <c:ext xmlns:c16="http://schemas.microsoft.com/office/drawing/2014/chart" uri="{C3380CC4-5D6E-409C-BE32-E72D297353CC}">
                <c16:uniqueId val="{00000013-1B92-4FE0-A530-0D17BF890F6A}"/>
              </c:ext>
            </c:extLst>
          </c:dPt>
          <c:dPt>
            <c:idx val="21"/>
            <c:invertIfNegative val="0"/>
            <c:bubble3D val="0"/>
            <c:spPr>
              <a:solidFill>
                <a:schemeClr val="accent2"/>
              </a:solidFill>
              <a:ln>
                <a:noFill/>
              </a:ln>
              <a:effectLst/>
            </c:spPr>
            <c:extLst>
              <c:ext xmlns:c16="http://schemas.microsoft.com/office/drawing/2014/chart" uri="{C3380CC4-5D6E-409C-BE32-E72D297353CC}">
                <c16:uniqueId val="{00000015-1B92-4FE0-A530-0D17BF890F6A}"/>
              </c:ext>
            </c:extLst>
          </c:dPt>
          <c:dPt>
            <c:idx val="23"/>
            <c:invertIfNegative val="0"/>
            <c:bubble3D val="0"/>
            <c:spPr>
              <a:solidFill>
                <a:schemeClr val="accent2"/>
              </a:solidFill>
              <a:ln>
                <a:noFill/>
              </a:ln>
              <a:effectLst/>
            </c:spPr>
            <c:extLst>
              <c:ext xmlns:c16="http://schemas.microsoft.com/office/drawing/2014/chart" uri="{C3380CC4-5D6E-409C-BE32-E72D297353CC}">
                <c16:uniqueId val="{00000017-1B92-4FE0-A530-0D17BF890F6A}"/>
              </c:ext>
            </c:extLst>
          </c:dPt>
          <c:cat>
            <c:strRef>
              <c:f>'C. Deployment KPIs'!$C$69:$C$92</c:f>
              <c:strCache>
                <c:ptCount val="24"/>
                <c:pt idx="0">
                  <c:v>Design Started on Time</c:v>
                </c:pt>
                <c:pt idx="1">
                  <c:v>Design Started with Delay</c:v>
                </c:pt>
                <c:pt idx="2">
                  <c:v>Design Ready on Time</c:v>
                </c:pt>
                <c:pt idx="3">
                  <c:v>Design Ready with Delay</c:v>
                </c:pt>
                <c:pt idx="4">
                  <c:v>Site Surveys on Time</c:v>
                </c:pt>
                <c:pt idx="5">
                  <c:v>Sites Surveys with Delay</c:v>
                </c:pt>
                <c:pt idx="6">
                  <c:v>Sites Acquired on Time</c:v>
                </c:pt>
                <c:pt idx="7">
                  <c:v>Sites Acquired with Dealy</c:v>
                </c:pt>
                <c:pt idx="8">
                  <c:v>Sites Ready for CW on Time</c:v>
                </c:pt>
                <c:pt idx="9">
                  <c:v>Sites Ready for CW with Delay</c:v>
                </c:pt>
                <c:pt idx="10">
                  <c:v>Sites Ready for PWR on Time</c:v>
                </c:pt>
                <c:pt idx="11">
                  <c:v>Sites Ready for PWR with Delay</c:v>
                </c:pt>
                <c:pt idx="12">
                  <c:v>TX Ready on Time</c:v>
                </c:pt>
                <c:pt idx="13">
                  <c:v>TX Ready with Delay</c:v>
                </c:pt>
                <c:pt idx="14">
                  <c:v>Site Ready for Installation on Time</c:v>
                </c:pt>
                <c:pt idx="15">
                  <c:v>Site Ready for Installation with Delay</c:v>
                </c:pt>
                <c:pt idx="16">
                  <c:v>Site Ready for Integration on Time</c:v>
                </c:pt>
                <c:pt idx="17">
                  <c:v>Site Ready for Integration with Delay</c:v>
                </c:pt>
                <c:pt idx="18">
                  <c:v>Site on Air on Time</c:v>
                </c:pt>
                <c:pt idx="19">
                  <c:v>Site on Air with Delay</c:v>
                </c:pt>
                <c:pt idx="20">
                  <c:v>Site Accepted on Time</c:v>
                </c:pt>
                <c:pt idx="21">
                  <c:v>Site Accepted with Delay</c:v>
                </c:pt>
                <c:pt idx="22">
                  <c:v>Sites in Operations on Time</c:v>
                </c:pt>
                <c:pt idx="23">
                  <c:v>Sites in Operations with Delay</c:v>
                </c:pt>
              </c:strCache>
            </c:strRef>
          </c:cat>
          <c:val>
            <c:numRef>
              <c:f>'C. Deployment KPIs'!$D$69:$D$92</c:f>
              <c:numCache>
                <c:formatCode>General</c:formatCode>
                <c:ptCount val="24"/>
                <c:pt idx="0">
                  <c:v>2</c:v>
                </c:pt>
                <c:pt idx="1">
                  <c:v>4</c:v>
                </c:pt>
                <c:pt idx="2">
                  <c:v>1</c:v>
                </c:pt>
                <c:pt idx="3">
                  <c:v>3</c:v>
                </c:pt>
                <c:pt idx="4">
                  <c:v>1</c:v>
                </c:pt>
                <c:pt idx="5">
                  <c:v>1</c:v>
                </c:pt>
                <c:pt idx="6">
                  <c:v>1</c:v>
                </c:pt>
                <c:pt idx="7">
                  <c:v>3</c:v>
                </c:pt>
                <c:pt idx="8">
                  <c:v>2</c:v>
                </c:pt>
                <c:pt idx="9">
                  <c:v>8</c:v>
                </c:pt>
                <c:pt idx="10">
                  <c:v>2</c:v>
                </c:pt>
                <c:pt idx="11">
                  <c:v>8</c:v>
                </c:pt>
                <c:pt idx="12">
                  <c:v>1</c:v>
                </c:pt>
                <c:pt idx="13">
                  <c:v>8</c:v>
                </c:pt>
                <c:pt idx="14">
                  <c:v>1</c:v>
                </c:pt>
                <c:pt idx="15">
                  <c:v>10</c:v>
                </c:pt>
                <c:pt idx="16">
                  <c:v>1</c:v>
                </c:pt>
                <c:pt idx="17">
                  <c:v>9</c:v>
                </c:pt>
                <c:pt idx="18">
                  <c:v>1</c:v>
                </c:pt>
                <c:pt idx="19">
                  <c:v>9</c:v>
                </c:pt>
                <c:pt idx="20">
                  <c:v>1</c:v>
                </c:pt>
                <c:pt idx="21">
                  <c:v>9</c:v>
                </c:pt>
                <c:pt idx="22">
                  <c:v>1</c:v>
                </c:pt>
                <c:pt idx="23">
                  <c:v>9</c:v>
                </c:pt>
              </c:numCache>
            </c:numRef>
          </c:val>
          <c:extLst>
            <c:ext xmlns:c16="http://schemas.microsoft.com/office/drawing/2014/chart" uri="{C3380CC4-5D6E-409C-BE32-E72D297353CC}">
              <c16:uniqueId val="{00000018-1B92-4FE0-A530-0D17BF890F6A}"/>
            </c:ext>
          </c:extLst>
        </c:ser>
        <c:dLbls>
          <c:showLegendKey val="0"/>
          <c:showVal val="0"/>
          <c:showCatName val="0"/>
          <c:showSerName val="0"/>
          <c:showPercent val="0"/>
          <c:showBubbleSize val="0"/>
        </c:dLbls>
        <c:gapWidth val="182"/>
        <c:axId val="580941880"/>
        <c:axId val="580942200"/>
      </c:barChart>
      <c:catAx>
        <c:axId val="58094188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crossAx val="580942200"/>
        <c:crosses val="autoZero"/>
        <c:auto val="1"/>
        <c:lblAlgn val="ctr"/>
        <c:lblOffset val="100"/>
        <c:noMultiLvlLbl val="0"/>
      </c:catAx>
      <c:valAx>
        <c:axId val="580942200"/>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0941880"/>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32">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ap="none" spc="0" normalizeH="0" baseline="0"/>
  </cs:categoryAxis>
  <cs:chartArea>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lt1"/>
      </a:solidFill>
      <a:ln w="15875">
        <a:solidFill>
          <a:schemeClr val="ph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50000"/>
            <a:lumOff val="50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spPr>
      <a:pattFill prst="ltDnDiag">
        <a:fgClr>
          <a:schemeClr val="dk1">
            <a:lumMod val="15000"/>
            <a:lumOff val="85000"/>
          </a:schemeClr>
        </a:fgClr>
        <a:bgClr>
          <a:schemeClr val="lt1"/>
        </a:bgClr>
      </a:pattFill>
    </cs:spPr>
  </cs:floor>
  <cs:gridlineMajor>
    <cs:lnRef idx="0"/>
    <cs:fillRef idx="0"/>
    <cs:effectRef idx="0"/>
    <cs:fontRef idx="minor">
      <a:schemeClr val="dk1"/>
    </cs:fontRef>
    <cs:spPr>
      <a:ln w="9525" cap="flat" cmpd="sng" algn="ctr">
        <a:solidFill>
          <a:schemeClr val="dk1">
            <a:lumMod val="15000"/>
            <a:lumOff val="85000"/>
            <a:alpha val="54000"/>
          </a:schemeClr>
        </a:solidFill>
        <a:round/>
      </a:ln>
    </cs:spPr>
  </cs:gridlineMajor>
  <cs:gridlineMinor>
    <cs:lnRef idx="0"/>
    <cs:fillRef idx="0"/>
    <cs:effectRef idx="0"/>
    <cs:fontRef idx="minor">
      <a:schemeClr val="dk1"/>
    </cs:fontRef>
    <cs:spPr>
      <a:ln w="9525" cap="flat" cmpd="sng" algn="ctr">
        <a:solidFill>
          <a:schemeClr val="dk1">
            <a:lumMod val="15000"/>
            <a:lumOff val="85000"/>
            <a:alpha val="51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pattFill prst="ltDnDiag">
        <a:fgClr>
          <a:schemeClr val="dk1">
            <a:lumMod val="15000"/>
            <a:lumOff val="85000"/>
          </a:schemeClr>
        </a:fgClr>
        <a:bgClr>
          <a:schemeClr val="lt1"/>
        </a:bgClr>
      </a:pattFill>
    </cs:spPr>
  </cs:plotArea>
  <cs:plotArea3D>
    <cs:lnRef idx="0"/>
    <cs:fillRef idx="0"/>
    <cs:effectRef idx="0"/>
    <cs:fontRef idx="minor">
      <a:schemeClr val="dk1"/>
    </cs:fontRef>
    <cs:spPr>
      <a:solidFill>
        <a:schemeClr val="lt1"/>
      </a:solidFill>
    </cs:spPr>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ajor">
      <a:schemeClr val="dk1">
        <a:lumMod val="50000"/>
        <a:lumOff val="50000"/>
      </a:schemeClr>
    </cs:fontRef>
    <cs:defRPr sz="1600" b="1" kern="1200" cap="none" spc="0" normalizeH="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50000"/>
            <a:lumOff val="50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spPr>
      <a:pattFill prst="ltDnDiag">
        <a:fgClr>
          <a:schemeClr val="dk1">
            <a:lumMod val="15000"/>
            <a:lumOff val="85000"/>
          </a:schemeClr>
        </a:fgClr>
        <a:bgClr>
          <a:schemeClr val="lt1"/>
        </a:bgClr>
      </a:pattFill>
    </cs:spPr>
  </cs:wall>
</cs:chartStyle>
</file>

<file path=xl/charts/style2.xml><?xml version="1.0" encoding="utf-8"?>
<cs:chartStyle xmlns:cs="http://schemas.microsoft.com/office/drawing/2012/chartStyle" xmlns:a="http://schemas.openxmlformats.org/drawingml/2006/main" id="232">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ap="none" spc="0" normalizeH="0" baseline="0"/>
  </cs:categoryAxis>
  <cs:chartArea>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lt1"/>
      </a:solidFill>
      <a:ln w="15875">
        <a:solidFill>
          <a:schemeClr val="ph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50000"/>
            <a:lumOff val="50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spPr>
      <a:pattFill prst="ltDnDiag">
        <a:fgClr>
          <a:schemeClr val="dk1">
            <a:lumMod val="15000"/>
            <a:lumOff val="85000"/>
          </a:schemeClr>
        </a:fgClr>
        <a:bgClr>
          <a:schemeClr val="lt1"/>
        </a:bgClr>
      </a:pattFill>
    </cs:spPr>
  </cs:floor>
  <cs:gridlineMajor>
    <cs:lnRef idx="0"/>
    <cs:fillRef idx="0"/>
    <cs:effectRef idx="0"/>
    <cs:fontRef idx="minor">
      <a:schemeClr val="dk1"/>
    </cs:fontRef>
    <cs:spPr>
      <a:ln w="9525" cap="flat" cmpd="sng" algn="ctr">
        <a:solidFill>
          <a:schemeClr val="dk1">
            <a:lumMod val="15000"/>
            <a:lumOff val="85000"/>
            <a:alpha val="54000"/>
          </a:schemeClr>
        </a:solidFill>
        <a:round/>
      </a:ln>
    </cs:spPr>
  </cs:gridlineMajor>
  <cs:gridlineMinor>
    <cs:lnRef idx="0"/>
    <cs:fillRef idx="0"/>
    <cs:effectRef idx="0"/>
    <cs:fontRef idx="minor">
      <a:schemeClr val="dk1"/>
    </cs:fontRef>
    <cs:spPr>
      <a:ln w="9525" cap="flat" cmpd="sng" algn="ctr">
        <a:solidFill>
          <a:schemeClr val="dk1">
            <a:lumMod val="15000"/>
            <a:lumOff val="85000"/>
            <a:alpha val="51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pattFill prst="ltDnDiag">
        <a:fgClr>
          <a:schemeClr val="dk1">
            <a:lumMod val="15000"/>
            <a:lumOff val="85000"/>
          </a:schemeClr>
        </a:fgClr>
        <a:bgClr>
          <a:schemeClr val="lt1"/>
        </a:bgClr>
      </a:pattFill>
    </cs:spPr>
  </cs:plotArea>
  <cs:plotArea3D>
    <cs:lnRef idx="0"/>
    <cs:fillRef idx="0"/>
    <cs:effectRef idx="0"/>
    <cs:fontRef idx="minor">
      <a:schemeClr val="dk1"/>
    </cs:fontRef>
    <cs:spPr>
      <a:solidFill>
        <a:schemeClr val="lt1"/>
      </a:solidFill>
    </cs:spPr>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ajor">
      <a:schemeClr val="dk1">
        <a:lumMod val="50000"/>
        <a:lumOff val="50000"/>
      </a:schemeClr>
    </cs:fontRef>
    <cs:defRPr sz="1600" b="1" kern="1200" cap="none" spc="0" normalizeH="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50000"/>
            <a:lumOff val="50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spPr>
      <a:pattFill prst="ltDnDiag">
        <a:fgClr>
          <a:schemeClr val="dk1">
            <a:lumMod val="15000"/>
            <a:lumOff val="85000"/>
          </a:schemeClr>
        </a:fgClr>
        <a:bgClr>
          <a:schemeClr val="lt1"/>
        </a:bgClr>
      </a:pattFill>
    </cs:spPr>
  </cs:wall>
</cs:chartStyle>
</file>

<file path=xl/charts/style3.xml><?xml version="1.0" encoding="utf-8"?>
<cs:chartStyle xmlns:cs="http://schemas.microsoft.com/office/drawing/2012/chartStyle" xmlns:a="http://schemas.openxmlformats.org/drawingml/2006/main" id="232">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ap="none" spc="0" normalizeH="0" baseline="0"/>
  </cs:categoryAxis>
  <cs:chartArea>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lt1"/>
      </a:solidFill>
      <a:ln w="15875">
        <a:solidFill>
          <a:schemeClr val="ph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50000"/>
            <a:lumOff val="50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spPr>
      <a:pattFill prst="ltDnDiag">
        <a:fgClr>
          <a:schemeClr val="dk1">
            <a:lumMod val="15000"/>
            <a:lumOff val="85000"/>
          </a:schemeClr>
        </a:fgClr>
        <a:bgClr>
          <a:schemeClr val="lt1"/>
        </a:bgClr>
      </a:pattFill>
    </cs:spPr>
  </cs:floor>
  <cs:gridlineMajor>
    <cs:lnRef idx="0"/>
    <cs:fillRef idx="0"/>
    <cs:effectRef idx="0"/>
    <cs:fontRef idx="minor">
      <a:schemeClr val="dk1"/>
    </cs:fontRef>
    <cs:spPr>
      <a:ln w="9525" cap="flat" cmpd="sng" algn="ctr">
        <a:solidFill>
          <a:schemeClr val="dk1">
            <a:lumMod val="15000"/>
            <a:lumOff val="85000"/>
            <a:alpha val="54000"/>
          </a:schemeClr>
        </a:solidFill>
        <a:round/>
      </a:ln>
    </cs:spPr>
  </cs:gridlineMajor>
  <cs:gridlineMinor>
    <cs:lnRef idx="0"/>
    <cs:fillRef idx="0"/>
    <cs:effectRef idx="0"/>
    <cs:fontRef idx="minor">
      <a:schemeClr val="dk1"/>
    </cs:fontRef>
    <cs:spPr>
      <a:ln w="9525" cap="flat" cmpd="sng" algn="ctr">
        <a:solidFill>
          <a:schemeClr val="dk1">
            <a:lumMod val="15000"/>
            <a:lumOff val="85000"/>
            <a:alpha val="51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pattFill prst="ltDnDiag">
        <a:fgClr>
          <a:schemeClr val="dk1">
            <a:lumMod val="15000"/>
            <a:lumOff val="85000"/>
          </a:schemeClr>
        </a:fgClr>
        <a:bgClr>
          <a:schemeClr val="lt1"/>
        </a:bgClr>
      </a:pattFill>
    </cs:spPr>
  </cs:plotArea>
  <cs:plotArea3D>
    <cs:lnRef idx="0"/>
    <cs:fillRef idx="0"/>
    <cs:effectRef idx="0"/>
    <cs:fontRef idx="minor">
      <a:schemeClr val="dk1"/>
    </cs:fontRef>
    <cs:spPr>
      <a:solidFill>
        <a:schemeClr val="lt1"/>
      </a:solidFill>
    </cs:spPr>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ajor">
      <a:schemeClr val="dk1">
        <a:lumMod val="50000"/>
        <a:lumOff val="50000"/>
      </a:schemeClr>
    </cs:fontRef>
    <cs:defRPr sz="1600" b="1" kern="1200" cap="none" spc="0" normalizeH="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50000"/>
            <a:lumOff val="50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spPr>
      <a:pattFill prst="ltDnDiag">
        <a:fgClr>
          <a:schemeClr val="dk1">
            <a:lumMod val="15000"/>
            <a:lumOff val="85000"/>
          </a:schemeClr>
        </a:fgClr>
        <a:bgClr>
          <a:schemeClr val="lt1"/>
        </a:bgClr>
      </a:pattFill>
    </cs:spPr>
  </cs:wall>
</cs:chartStyle>
</file>

<file path=xl/charts/style4.xml><?xml version="1.0" encoding="utf-8"?>
<cs:chartStyle xmlns:cs="http://schemas.microsoft.com/office/drawing/2012/chartStyle" xmlns:a="http://schemas.openxmlformats.org/drawingml/2006/main" id="232">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ap="none" spc="0" normalizeH="0" baseline="0"/>
  </cs:categoryAxis>
  <cs:chartArea>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lt1"/>
      </a:solidFill>
      <a:ln w="15875">
        <a:solidFill>
          <a:schemeClr val="ph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50000"/>
            <a:lumOff val="50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spPr>
      <a:pattFill prst="ltDnDiag">
        <a:fgClr>
          <a:schemeClr val="dk1">
            <a:lumMod val="15000"/>
            <a:lumOff val="85000"/>
          </a:schemeClr>
        </a:fgClr>
        <a:bgClr>
          <a:schemeClr val="lt1"/>
        </a:bgClr>
      </a:pattFill>
    </cs:spPr>
  </cs:floor>
  <cs:gridlineMajor>
    <cs:lnRef idx="0"/>
    <cs:fillRef idx="0"/>
    <cs:effectRef idx="0"/>
    <cs:fontRef idx="minor">
      <a:schemeClr val="dk1"/>
    </cs:fontRef>
    <cs:spPr>
      <a:ln w="9525" cap="flat" cmpd="sng" algn="ctr">
        <a:solidFill>
          <a:schemeClr val="dk1">
            <a:lumMod val="15000"/>
            <a:lumOff val="85000"/>
            <a:alpha val="54000"/>
          </a:schemeClr>
        </a:solidFill>
        <a:round/>
      </a:ln>
    </cs:spPr>
  </cs:gridlineMajor>
  <cs:gridlineMinor>
    <cs:lnRef idx="0"/>
    <cs:fillRef idx="0"/>
    <cs:effectRef idx="0"/>
    <cs:fontRef idx="minor">
      <a:schemeClr val="dk1"/>
    </cs:fontRef>
    <cs:spPr>
      <a:ln w="9525" cap="flat" cmpd="sng" algn="ctr">
        <a:solidFill>
          <a:schemeClr val="dk1">
            <a:lumMod val="15000"/>
            <a:lumOff val="85000"/>
            <a:alpha val="51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pattFill prst="ltDnDiag">
        <a:fgClr>
          <a:schemeClr val="dk1">
            <a:lumMod val="15000"/>
            <a:lumOff val="85000"/>
          </a:schemeClr>
        </a:fgClr>
        <a:bgClr>
          <a:schemeClr val="lt1"/>
        </a:bgClr>
      </a:pattFill>
    </cs:spPr>
  </cs:plotArea>
  <cs:plotArea3D>
    <cs:lnRef idx="0"/>
    <cs:fillRef idx="0"/>
    <cs:effectRef idx="0"/>
    <cs:fontRef idx="minor">
      <a:schemeClr val="dk1"/>
    </cs:fontRef>
    <cs:spPr>
      <a:solidFill>
        <a:schemeClr val="lt1"/>
      </a:solidFill>
    </cs:spPr>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ajor">
      <a:schemeClr val="dk1">
        <a:lumMod val="50000"/>
        <a:lumOff val="50000"/>
      </a:schemeClr>
    </cs:fontRef>
    <cs:defRPr sz="1600" b="1" kern="1200" cap="none" spc="0" normalizeH="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50000"/>
            <a:lumOff val="50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spPr>
      <a:pattFill prst="ltDnDiag">
        <a:fgClr>
          <a:schemeClr val="dk1">
            <a:lumMod val="15000"/>
            <a:lumOff val="85000"/>
          </a:schemeClr>
        </a:fgClr>
        <a:bgClr>
          <a:schemeClr val="lt1"/>
        </a:bgClr>
      </a:pattFill>
    </cs:spPr>
  </cs:wall>
</cs:chartStyle>
</file>

<file path=xl/charts/style5.xml><?xml version="1.0" encoding="utf-8"?>
<cs:chartStyle xmlns:cs="http://schemas.microsoft.com/office/drawing/2012/chartStyle" xmlns:a="http://schemas.openxmlformats.org/drawingml/2006/main" id="232">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ap="none" spc="0" normalizeH="0" baseline="0"/>
  </cs:categoryAxis>
  <cs:chartArea>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lt1"/>
      </a:solidFill>
      <a:ln w="15875">
        <a:solidFill>
          <a:schemeClr val="ph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50000"/>
            <a:lumOff val="50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spPr>
      <a:pattFill prst="ltDnDiag">
        <a:fgClr>
          <a:schemeClr val="dk1">
            <a:lumMod val="15000"/>
            <a:lumOff val="85000"/>
          </a:schemeClr>
        </a:fgClr>
        <a:bgClr>
          <a:schemeClr val="lt1"/>
        </a:bgClr>
      </a:pattFill>
    </cs:spPr>
  </cs:floor>
  <cs:gridlineMajor>
    <cs:lnRef idx="0"/>
    <cs:fillRef idx="0"/>
    <cs:effectRef idx="0"/>
    <cs:fontRef idx="minor">
      <a:schemeClr val="dk1"/>
    </cs:fontRef>
    <cs:spPr>
      <a:ln w="9525" cap="flat" cmpd="sng" algn="ctr">
        <a:solidFill>
          <a:schemeClr val="dk1">
            <a:lumMod val="15000"/>
            <a:lumOff val="85000"/>
            <a:alpha val="54000"/>
          </a:schemeClr>
        </a:solidFill>
        <a:round/>
      </a:ln>
    </cs:spPr>
  </cs:gridlineMajor>
  <cs:gridlineMinor>
    <cs:lnRef idx="0"/>
    <cs:fillRef idx="0"/>
    <cs:effectRef idx="0"/>
    <cs:fontRef idx="minor">
      <a:schemeClr val="dk1"/>
    </cs:fontRef>
    <cs:spPr>
      <a:ln w="9525" cap="flat" cmpd="sng" algn="ctr">
        <a:solidFill>
          <a:schemeClr val="dk1">
            <a:lumMod val="15000"/>
            <a:lumOff val="85000"/>
            <a:alpha val="51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pattFill prst="ltDnDiag">
        <a:fgClr>
          <a:schemeClr val="dk1">
            <a:lumMod val="15000"/>
            <a:lumOff val="85000"/>
          </a:schemeClr>
        </a:fgClr>
        <a:bgClr>
          <a:schemeClr val="lt1"/>
        </a:bgClr>
      </a:pattFill>
    </cs:spPr>
  </cs:plotArea>
  <cs:plotArea3D>
    <cs:lnRef idx="0"/>
    <cs:fillRef idx="0"/>
    <cs:effectRef idx="0"/>
    <cs:fontRef idx="minor">
      <a:schemeClr val="dk1"/>
    </cs:fontRef>
    <cs:spPr>
      <a:solidFill>
        <a:schemeClr val="lt1"/>
      </a:solidFill>
    </cs:spPr>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ajor">
      <a:schemeClr val="dk1">
        <a:lumMod val="50000"/>
        <a:lumOff val="50000"/>
      </a:schemeClr>
    </cs:fontRef>
    <cs:defRPr sz="1600" b="1" kern="1200" cap="none" spc="0" normalizeH="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50000"/>
            <a:lumOff val="50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spPr>
      <a:pattFill prst="ltDnDiag">
        <a:fgClr>
          <a:schemeClr val="dk1">
            <a:lumMod val="15000"/>
            <a:lumOff val="85000"/>
          </a:schemeClr>
        </a:fgClr>
        <a:bgClr>
          <a:schemeClr val="lt1"/>
        </a:bgClr>
      </a:pattFill>
    </cs:spPr>
  </cs:wall>
</cs:chartStyle>
</file>

<file path=xl/charts/style6.xml><?xml version="1.0" encoding="utf-8"?>
<cs:chartStyle xmlns:cs="http://schemas.microsoft.com/office/drawing/2012/chartStyle" xmlns:a="http://schemas.openxmlformats.org/drawingml/2006/main" id="232">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ap="none" spc="0" normalizeH="0" baseline="0"/>
  </cs:categoryAxis>
  <cs:chartArea>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lt1"/>
      </a:solidFill>
      <a:ln w="15875">
        <a:solidFill>
          <a:schemeClr val="ph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50000"/>
            <a:lumOff val="50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spPr>
      <a:pattFill prst="ltDnDiag">
        <a:fgClr>
          <a:schemeClr val="dk1">
            <a:lumMod val="15000"/>
            <a:lumOff val="85000"/>
          </a:schemeClr>
        </a:fgClr>
        <a:bgClr>
          <a:schemeClr val="lt1"/>
        </a:bgClr>
      </a:pattFill>
    </cs:spPr>
  </cs:floor>
  <cs:gridlineMajor>
    <cs:lnRef idx="0"/>
    <cs:fillRef idx="0"/>
    <cs:effectRef idx="0"/>
    <cs:fontRef idx="minor">
      <a:schemeClr val="dk1"/>
    </cs:fontRef>
    <cs:spPr>
      <a:ln w="9525" cap="flat" cmpd="sng" algn="ctr">
        <a:solidFill>
          <a:schemeClr val="dk1">
            <a:lumMod val="15000"/>
            <a:lumOff val="85000"/>
            <a:alpha val="54000"/>
          </a:schemeClr>
        </a:solidFill>
        <a:round/>
      </a:ln>
    </cs:spPr>
  </cs:gridlineMajor>
  <cs:gridlineMinor>
    <cs:lnRef idx="0"/>
    <cs:fillRef idx="0"/>
    <cs:effectRef idx="0"/>
    <cs:fontRef idx="minor">
      <a:schemeClr val="dk1"/>
    </cs:fontRef>
    <cs:spPr>
      <a:ln w="9525" cap="flat" cmpd="sng" algn="ctr">
        <a:solidFill>
          <a:schemeClr val="dk1">
            <a:lumMod val="15000"/>
            <a:lumOff val="85000"/>
            <a:alpha val="51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pattFill prst="ltDnDiag">
        <a:fgClr>
          <a:schemeClr val="dk1">
            <a:lumMod val="15000"/>
            <a:lumOff val="85000"/>
          </a:schemeClr>
        </a:fgClr>
        <a:bgClr>
          <a:schemeClr val="lt1"/>
        </a:bgClr>
      </a:pattFill>
    </cs:spPr>
  </cs:plotArea>
  <cs:plotArea3D>
    <cs:lnRef idx="0"/>
    <cs:fillRef idx="0"/>
    <cs:effectRef idx="0"/>
    <cs:fontRef idx="minor">
      <a:schemeClr val="dk1"/>
    </cs:fontRef>
    <cs:spPr>
      <a:solidFill>
        <a:schemeClr val="lt1"/>
      </a:solidFill>
    </cs:spPr>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ajor">
      <a:schemeClr val="dk1">
        <a:lumMod val="50000"/>
        <a:lumOff val="50000"/>
      </a:schemeClr>
    </cs:fontRef>
    <cs:defRPr sz="1600" b="1" kern="1200" cap="none" spc="0" normalizeH="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50000"/>
            <a:lumOff val="50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spPr>
      <a:pattFill prst="ltDnDiag">
        <a:fgClr>
          <a:schemeClr val="dk1">
            <a:lumMod val="15000"/>
            <a:lumOff val="85000"/>
          </a:schemeClr>
        </a:fgClr>
        <a:bgClr>
          <a:schemeClr val="lt1"/>
        </a:bgClr>
      </a:pattFill>
    </cs:spPr>
  </cs:wall>
</cs:chartStyle>
</file>

<file path=xl/charts/style7.xml><?xml version="1.0" encoding="utf-8"?>
<cs:chartStyle xmlns:cs="http://schemas.microsoft.com/office/drawing/2012/chartStyle" xmlns:a="http://schemas.openxmlformats.org/drawingml/2006/main" id="232">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ap="none" spc="0" normalizeH="0" baseline="0"/>
  </cs:categoryAxis>
  <cs:chartArea>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lt1"/>
      </a:solidFill>
      <a:ln w="15875">
        <a:solidFill>
          <a:schemeClr val="ph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50000"/>
            <a:lumOff val="50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spPr>
      <a:pattFill prst="ltDnDiag">
        <a:fgClr>
          <a:schemeClr val="dk1">
            <a:lumMod val="15000"/>
            <a:lumOff val="85000"/>
          </a:schemeClr>
        </a:fgClr>
        <a:bgClr>
          <a:schemeClr val="lt1"/>
        </a:bgClr>
      </a:pattFill>
    </cs:spPr>
  </cs:floor>
  <cs:gridlineMajor>
    <cs:lnRef idx="0"/>
    <cs:fillRef idx="0"/>
    <cs:effectRef idx="0"/>
    <cs:fontRef idx="minor">
      <a:schemeClr val="dk1"/>
    </cs:fontRef>
    <cs:spPr>
      <a:ln w="9525" cap="flat" cmpd="sng" algn="ctr">
        <a:solidFill>
          <a:schemeClr val="dk1">
            <a:lumMod val="15000"/>
            <a:lumOff val="85000"/>
            <a:alpha val="54000"/>
          </a:schemeClr>
        </a:solidFill>
        <a:round/>
      </a:ln>
    </cs:spPr>
  </cs:gridlineMajor>
  <cs:gridlineMinor>
    <cs:lnRef idx="0"/>
    <cs:fillRef idx="0"/>
    <cs:effectRef idx="0"/>
    <cs:fontRef idx="minor">
      <a:schemeClr val="dk1"/>
    </cs:fontRef>
    <cs:spPr>
      <a:ln w="9525" cap="flat" cmpd="sng" algn="ctr">
        <a:solidFill>
          <a:schemeClr val="dk1">
            <a:lumMod val="15000"/>
            <a:lumOff val="85000"/>
            <a:alpha val="51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pattFill prst="ltDnDiag">
        <a:fgClr>
          <a:schemeClr val="dk1">
            <a:lumMod val="15000"/>
            <a:lumOff val="85000"/>
          </a:schemeClr>
        </a:fgClr>
        <a:bgClr>
          <a:schemeClr val="lt1"/>
        </a:bgClr>
      </a:pattFill>
    </cs:spPr>
  </cs:plotArea>
  <cs:plotArea3D>
    <cs:lnRef idx="0"/>
    <cs:fillRef idx="0"/>
    <cs:effectRef idx="0"/>
    <cs:fontRef idx="minor">
      <a:schemeClr val="dk1"/>
    </cs:fontRef>
    <cs:spPr>
      <a:solidFill>
        <a:schemeClr val="lt1"/>
      </a:solidFill>
    </cs:spPr>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ajor">
      <a:schemeClr val="dk1">
        <a:lumMod val="50000"/>
        <a:lumOff val="50000"/>
      </a:schemeClr>
    </cs:fontRef>
    <cs:defRPr sz="1600" b="1" kern="1200" cap="none" spc="0" normalizeH="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50000"/>
            <a:lumOff val="50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spPr>
      <a:pattFill prst="ltDnDiag">
        <a:fgClr>
          <a:schemeClr val="dk1">
            <a:lumMod val="15000"/>
            <a:lumOff val="85000"/>
          </a:schemeClr>
        </a:fgClr>
        <a:bgClr>
          <a:schemeClr val="lt1"/>
        </a:bgClr>
      </a:pattFill>
    </cs:spPr>
  </cs:wall>
</cs:chartStyle>
</file>

<file path=xl/charts/style8.xml><?xml version="1.0" encoding="utf-8"?>
<cs:chartStyle xmlns:cs="http://schemas.microsoft.com/office/drawing/2012/chartStyle" xmlns:a="http://schemas.openxmlformats.org/drawingml/2006/main" id="232">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ap="none" spc="0" normalizeH="0" baseline="0"/>
  </cs:categoryAxis>
  <cs:chartArea>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lt1"/>
      </a:solidFill>
      <a:ln w="15875">
        <a:solidFill>
          <a:schemeClr val="ph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50000"/>
            <a:lumOff val="50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spPr>
      <a:pattFill prst="ltDnDiag">
        <a:fgClr>
          <a:schemeClr val="dk1">
            <a:lumMod val="15000"/>
            <a:lumOff val="85000"/>
          </a:schemeClr>
        </a:fgClr>
        <a:bgClr>
          <a:schemeClr val="lt1"/>
        </a:bgClr>
      </a:pattFill>
    </cs:spPr>
  </cs:floor>
  <cs:gridlineMajor>
    <cs:lnRef idx="0"/>
    <cs:fillRef idx="0"/>
    <cs:effectRef idx="0"/>
    <cs:fontRef idx="minor">
      <a:schemeClr val="dk1"/>
    </cs:fontRef>
    <cs:spPr>
      <a:ln w="9525" cap="flat" cmpd="sng" algn="ctr">
        <a:solidFill>
          <a:schemeClr val="dk1">
            <a:lumMod val="15000"/>
            <a:lumOff val="85000"/>
            <a:alpha val="54000"/>
          </a:schemeClr>
        </a:solidFill>
        <a:round/>
      </a:ln>
    </cs:spPr>
  </cs:gridlineMajor>
  <cs:gridlineMinor>
    <cs:lnRef idx="0"/>
    <cs:fillRef idx="0"/>
    <cs:effectRef idx="0"/>
    <cs:fontRef idx="minor">
      <a:schemeClr val="dk1"/>
    </cs:fontRef>
    <cs:spPr>
      <a:ln w="9525" cap="flat" cmpd="sng" algn="ctr">
        <a:solidFill>
          <a:schemeClr val="dk1">
            <a:lumMod val="15000"/>
            <a:lumOff val="85000"/>
            <a:alpha val="51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pattFill prst="ltDnDiag">
        <a:fgClr>
          <a:schemeClr val="dk1">
            <a:lumMod val="15000"/>
            <a:lumOff val="85000"/>
          </a:schemeClr>
        </a:fgClr>
        <a:bgClr>
          <a:schemeClr val="lt1"/>
        </a:bgClr>
      </a:pattFill>
    </cs:spPr>
  </cs:plotArea>
  <cs:plotArea3D>
    <cs:lnRef idx="0"/>
    <cs:fillRef idx="0"/>
    <cs:effectRef idx="0"/>
    <cs:fontRef idx="minor">
      <a:schemeClr val="dk1"/>
    </cs:fontRef>
    <cs:spPr>
      <a:solidFill>
        <a:schemeClr val="lt1"/>
      </a:solidFill>
    </cs:spPr>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ajor">
      <a:schemeClr val="dk1">
        <a:lumMod val="50000"/>
        <a:lumOff val="50000"/>
      </a:schemeClr>
    </cs:fontRef>
    <cs:defRPr sz="1600" b="1" kern="1200" cap="none" spc="0" normalizeH="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50000"/>
            <a:lumOff val="50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spPr>
      <a:pattFill prst="ltDnDiag">
        <a:fgClr>
          <a:schemeClr val="dk1">
            <a:lumMod val="15000"/>
            <a:lumOff val="85000"/>
          </a:schemeClr>
        </a:fgClr>
        <a:bgClr>
          <a:schemeClr val="lt1"/>
        </a:bgClr>
      </a:pattFill>
    </cs:spPr>
  </cs:wall>
</cs:chartStyle>
</file>

<file path=xl/charts/style9.xml><?xml version="1.0" encoding="utf-8"?>
<cs:chartStyle xmlns:cs="http://schemas.microsoft.com/office/drawing/2012/chartStyle" xmlns:a="http://schemas.openxmlformats.org/drawingml/2006/main" id="232">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ap="none" spc="0" normalizeH="0" baseline="0"/>
  </cs:categoryAxis>
  <cs:chartArea>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lt1"/>
      </a:solidFill>
      <a:ln w="15875">
        <a:solidFill>
          <a:schemeClr val="ph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50000"/>
            <a:lumOff val="50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spPr>
      <a:pattFill prst="ltDnDiag">
        <a:fgClr>
          <a:schemeClr val="dk1">
            <a:lumMod val="15000"/>
            <a:lumOff val="85000"/>
          </a:schemeClr>
        </a:fgClr>
        <a:bgClr>
          <a:schemeClr val="lt1"/>
        </a:bgClr>
      </a:pattFill>
    </cs:spPr>
  </cs:floor>
  <cs:gridlineMajor>
    <cs:lnRef idx="0"/>
    <cs:fillRef idx="0"/>
    <cs:effectRef idx="0"/>
    <cs:fontRef idx="minor">
      <a:schemeClr val="dk1"/>
    </cs:fontRef>
    <cs:spPr>
      <a:ln w="9525" cap="flat" cmpd="sng" algn="ctr">
        <a:solidFill>
          <a:schemeClr val="dk1">
            <a:lumMod val="15000"/>
            <a:lumOff val="85000"/>
            <a:alpha val="54000"/>
          </a:schemeClr>
        </a:solidFill>
        <a:round/>
      </a:ln>
    </cs:spPr>
  </cs:gridlineMajor>
  <cs:gridlineMinor>
    <cs:lnRef idx="0"/>
    <cs:fillRef idx="0"/>
    <cs:effectRef idx="0"/>
    <cs:fontRef idx="minor">
      <a:schemeClr val="dk1"/>
    </cs:fontRef>
    <cs:spPr>
      <a:ln w="9525" cap="flat" cmpd="sng" algn="ctr">
        <a:solidFill>
          <a:schemeClr val="dk1">
            <a:lumMod val="15000"/>
            <a:lumOff val="85000"/>
            <a:alpha val="51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pattFill prst="ltDnDiag">
        <a:fgClr>
          <a:schemeClr val="dk1">
            <a:lumMod val="15000"/>
            <a:lumOff val="85000"/>
          </a:schemeClr>
        </a:fgClr>
        <a:bgClr>
          <a:schemeClr val="lt1"/>
        </a:bgClr>
      </a:pattFill>
    </cs:spPr>
  </cs:plotArea>
  <cs:plotArea3D>
    <cs:lnRef idx="0"/>
    <cs:fillRef idx="0"/>
    <cs:effectRef idx="0"/>
    <cs:fontRef idx="minor">
      <a:schemeClr val="dk1"/>
    </cs:fontRef>
    <cs:spPr>
      <a:solidFill>
        <a:schemeClr val="lt1"/>
      </a:solidFill>
    </cs:spPr>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ajor">
      <a:schemeClr val="dk1">
        <a:lumMod val="50000"/>
        <a:lumOff val="50000"/>
      </a:schemeClr>
    </cs:fontRef>
    <cs:defRPr sz="1600" b="1" kern="1200" cap="none" spc="0" normalizeH="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50000"/>
            <a:lumOff val="50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spPr>
      <a:pattFill prst="ltDnDiag">
        <a:fgClr>
          <a:schemeClr val="dk1">
            <a:lumMod val="15000"/>
            <a:lumOff val="85000"/>
          </a:schemeClr>
        </a:fgClr>
        <a:bgClr>
          <a:schemeClr val="lt1"/>
        </a:bgClr>
      </a:pattFill>
    </cs:spPr>
  </cs:wall>
</cs:chartStyle>
</file>

<file path=xl/charts/style10.xml><?xml version="1.0" encoding="utf-8"?>
<cs:chartStyle xmlns:cs="http://schemas.microsoft.com/office/drawing/2012/chartStyle" xmlns:a="http://schemas.openxmlformats.org/drawingml/2006/main" id="232">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ap="none" spc="0" normalizeH="0" baseline="0"/>
  </cs:categoryAxis>
  <cs:chartArea>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lt1"/>
      </a:solidFill>
      <a:ln w="15875">
        <a:solidFill>
          <a:schemeClr val="ph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50000"/>
            <a:lumOff val="50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spPr>
      <a:pattFill prst="ltDnDiag">
        <a:fgClr>
          <a:schemeClr val="dk1">
            <a:lumMod val="15000"/>
            <a:lumOff val="85000"/>
          </a:schemeClr>
        </a:fgClr>
        <a:bgClr>
          <a:schemeClr val="lt1"/>
        </a:bgClr>
      </a:pattFill>
    </cs:spPr>
  </cs:floor>
  <cs:gridlineMajor>
    <cs:lnRef idx="0"/>
    <cs:fillRef idx="0"/>
    <cs:effectRef idx="0"/>
    <cs:fontRef idx="minor">
      <a:schemeClr val="dk1"/>
    </cs:fontRef>
    <cs:spPr>
      <a:ln w="9525" cap="flat" cmpd="sng" algn="ctr">
        <a:solidFill>
          <a:schemeClr val="dk1">
            <a:lumMod val="15000"/>
            <a:lumOff val="85000"/>
            <a:alpha val="54000"/>
          </a:schemeClr>
        </a:solidFill>
        <a:round/>
      </a:ln>
    </cs:spPr>
  </cs:gridlineMajor>
  <cs:gridlineMinor>
    <cs:lnRef idx="0"/>
    <cs:fillRef idx="0"/>
    <cs:effectRef idx="0"/>
    <cs:fontRef idx="minor">
      <a:schemeClr val="dk1"/>
    </cs:fontRef>
    <cs:spPr>
      <a:ln w="9525" cap="flat" cmpd="sng" algn="ctr">
        <a:solidFill>
          <a:schemeClr val="dk1">
            <a:lumMod val="15000"/>
            <a:lumOff val="85000"/>
            <a:alpha val="51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pattFill prst="ltDnDiag">
        <a:fgClr>
          <a:schemeClr val="dk1">
            <a:lumMod val="15000"/>
            <a:lumOff val="85000"/>
          </a:schemeClr>
        </a:fgClr>
        <a:bgClr>
          <a:schemeClr val="lt1"/>
        </a:bgClr>
      </a:pattFill>
    </cs:spPr>
  </cs:plotArea>
  <cs:plotArea3D>
    <cs:lnRef idx="0"/>
    <cs:fillRef idx="0"/>
    <cs:effectRef idx="0"/>
    <cs:fontRef idx="minor">
      <a:schemeClr val="dk1"/>
    </cs:fontRef>
    <cs:spPr>
      <a:solidFill>
        <a:schemeClr val="lt1"/>
      </a:solidFill>
    </cs:spPr>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ajor">
      <a:schemeClr val="dk1">
        <a:lumMod val="50000"/>
        <a:lumOff val="50000"/>
      </a:schemeClr>
    </cs:fontRef>
    <cs:defRPr sz="1600" b="1" kern="1200" cap="none" spc="0" normalizeH="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50000"/>
            <a:lumOff val="50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spPr>
      <a:pattFill prst="ltDnDiag">
        <a:fgClr>
          <a:schemeClr val="dk1">
            <a:lumMod val="15000"/>
            <a:lumOff val="85000"/>
          </a:schemeClr>
        </a:fgClr>
        <a:bgClr>
          <a:schemeClr val="lt1"/>
        </a:bgClr>
      </a:pattFill>
    </cs:spPr>
  </cs:wall>
</cs:chartStyle>
</file>

<file path=xl/charts/style11.xml><?xml version="1.0" encoding="utf-8"?>
<cs:chartStyle xmlns:cs="http://schemas.microsoft.com/office/drawing/2012/chartStyle" xmlns:a="http://schemas.openxmlformats.org/drawingml/2006/main" id="232">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ap="none" spc="0" normalizeH="0" baseline="0"/>
  </cs:categoryAxis>
  <cs:chartArea>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lt1"/>
      </a:solidFill>
      <a:ln w="15875">
        <a:solidFill>
          <a:schemeClr val="ph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50000"/>
            <a:lumOff val="50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spPr>
      <a:pattFill prst="ltDnDiag">
        <a:fgClr>
          <a:schemeClr val="dk1">
            <a:lumMod val="15000"/>
            <a:lumOff val="85000"/>
          </a:schemeClr>
        </a:fgClr>
        <a:bgClr>
          <a:schemeClr val="lt1"/>
        </a:bgClr>
      </a:pattFill>
    </cs:spPr>
  </cs:floor>
  <cs:gridlineMajor>
    <cs:lnRef idx="0"/>
    <cs:fillRef idx="0"/>
    <cs:effectRef idx="0"/>
    <cs:fontRef idx="minor">
      <a:schemeClr val="dk1"/>
    </cs:fontRef>
    <cs:spPr>
      <a:ln w="9525" cap="flat" cmpd="sng" algn="ctr">
        <a:solidFill>
          <a:schemeClr val="dk1">
            <a:lumMod val="15000"/>
            <a:lumOff val="85000"/>
            <a:alpha val="54000"/>
          </a:schemeClr>
        </a:solidFill>
        <a:round/>
      </a:ln>
    </cs:spPr>
  </cs:gridlineMajor>
  <cs:gridlineMinor>
    <cs:lnRef idx="0"/>
    <cs:fillRef idx="0"/>
    <cs:effectRef idx="0"/>
    <cs:fontRef idx="minor">
      <a:schemeClr val="dk1"/>
    </cs:fontRef>
    <cs:spPr>
      <a:ln w="9525" cap="flat" cmpd="sng" algn="ctr">
        <a:solidFill>
          <a:schemeClr val="dk1">
            <a:lumMod val="15000"/>
            <a:lumOff val="85000"/>
            <a:alpha val="51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pattFill prst="ltDnDiag">
        <a:fgClr>
          <a:schemeClr val="dk1">
            <a:lumMod val="15000"/>
            <a:lumOff val="85000"/>
          </a:schemeClr>
        </a:fgClr>
        <a:bgClr>
          <a:schemeClr val="lt1"/>
        </a:bgClr>
      </a:pattFill>
    </cs:spPr>
  </cs:plotArea>
  <cs:plotArea3D>
    <cs:lnRef idx="0"/>
    <cs:fillRef idx="0"/>
    <cs:effectRef idx="0"/>
    <cs:fontRef idx="minor">
      <a:schemeClr val="dk1"/>
    </cs:fontRef>
    <cs:spPr>
      <a:solidFill>
        <a:schemeClr val="lt1"/>
      </a:solidFill>
    </cs:spPr>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ajor">
      <a:schemeClr val="dk1">
        <a:lumMod val="50000"/>
        <a:lumOff val="50000"/>
      </a:schemeClr>
    </cs:fontRef>
    <cs:defRPr sz="1600" b="1" kern="1200" cap="none" spc="0" normalizeH="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50000"/>
            <a:lumOff val="50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spPr>
      <a:pattFill prst="ltDnDiag">
        <a:fgClr>
          <a:schemeClr val="dk1">
            <a:lumMod val="15000"/>
            <a:lumOff val="85000"/>
          </a:schemeClr>
        </a:fgClr>
        <a:bgClr>
          <a:schemeClr val="lt1"/>
        </a:bgClr>
      </a:pattFill>
    </cs:spPr>
  </cs:wall>
</cs:chartStyle>
</file>

<file path=xl/charts/style12.xml><?xml version="1.0" encoding="utf-8"?>
<cs:chartStyle xmlns:cs="http://schemas.microsoft.com/office/drawing/2012/chartStyle" xmlns:a="http://schemas.openxmlformats.org/drawingml/2006/main" id="232">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ap="none" spc="0" normalizeH="0" baseline="0"/>
  </cs:categoryAxis>
  <cs:chartArea>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lt1"/>
      </a:solidFill>
      <a:ln w="15875">
        <a:solidFill>
          <a:schemeClr val="ph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50000"/>
            <a:lumOff val="50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spPr>
      <a:pattFill prst="ltDnDiag">
        <a:fgClr>
          <a:schemeClr val="dk1">
            <a:lumMod val="15000"/>
            <a:lumOff val="85000"/>
          </a:schemeClr>
        </a:fgClr>
        <a:bgClr>
          <a:schemeClr val="lt1"/>
        </a:bgClr>
      </a:pattFill>
    </cs:spPr>
  </cs:floor>
  <cs:gridlineMajor>
    <cs:lnRef idx="0"/>
    <cs:fillRef idx="0"/>
    <cs:effectRef idx="0"/>
    <cs:fontRef idx="minor">
      <a:schemeClr val="dk1"/>
    </cs:fontRef>
    <cs:spPr>
      <a:ln w="9525" cap="flat" cmpd="sng" algn="ctr">
        <a:solidFill>
          <a:schemeClr val="dk1">
            <a:lumMod val="15000"/>
            <a:lumOff val="85000"/>
            <a:alpha val="54000"/>
          </a:schemeClr>
        </a:solidFill>
        <a:round/>
      </a:ln>
    </cs:spPr>
  </cs:gridlineMajor>
  <cs:gridlineMinor>
    <cs:lnRef idx="0"/>
    <cs:fillRef idx="0"/>
    <cs:effectRef idx="0"/>
    <cs:fontRef idx="minor">
      <a:schemeClr val="dk1"/>
    </cs:fontRef>
    <cs:spPr>
      <a:ln w="9525" cap="flat" cmpd="sng" algn="ctr">
        <a:solidFill>
          <a:schemeClr val="dk1">
            <a:lumMod val="15000"/>
            <a:lumOff val="85000"/>
            <a:alpha val="51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pattFill prst="ltDnDiag">
        <a:fgClr>
          <a:schemeClr val="dk1">
            <a:lumMod val="15000"/>
            <a:lumOff val="85000"/>
          </a:schemeClr>
        </a:fgClr>
        <a:bgClr>
          <a:schemeClr val="lt1"/>
        </a:bgClr>
      </a:pattFill>
    </cs:spPr>
  </cs:plotArea>
  <cs:plotArea3D>
    <cs:lnRef idx="0"/>
    <cs:fillRef idx="0"/>
    <cs:effectRef idx="0"/>
    <cs:fontRef idx="minor">
      <a:schemeClr val="dk1"/>
    </cs:fontRef>
    <cs:spPr>
      <a:solidFill>
        <a:schemeClr val="lt1"/>
      </a:solidFill>
    </cs:spPr>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ajor">
      <a:schemeClr val="dk1">
        <a:lumMod val="50000"/>
        <a:lumOff val="50000"/>
      </a:schemeClr>
    </cs:fontRef>
    <cs:defRPr sz="1600" b="1" kern="1200" cap="none" spc="0" normalizeH="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50000"/>
            <a:lumOff val="50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spPr>
      <a:pattFill prst="ltDnDiag">
        <a:fgClr>
          <a:schemeClr val="dk1">
            <a:lumMod val="15000"/>
            <a:lumOff val="85000"/>
          </a:schemeClr>
        </a:fgClr>
        <a:bgClr>
          <a:schemeClr val="lt1"/>
        </a:bgClr>
      </a:pattFill>
    </cs:spPr>
  </cs:wall>
</cs:chartStyle>
</file>

<file path=xl/charts/style13.xml><?xml version="1.0" encoding="utf-8"?>
<cs:chartStyle xmlns:cs="http://schemas.microsoft.com/office/drawing/2012/chartStyle" xmlns:a="http://schemas.openxmlformats.org/drawingml/2006/main" id="232">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ap="none" spc="0" normalizeH="0" baseline="0"/>
  </cs:categoryAxis>
  <cs:chartArea>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lt1"/>
      </a:solidFill>
      <a:ln w="15875">
        <a:solidFill>
          <a:schemeClr val="ph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50000"/>
            <a:lumOff val="50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spPr>
      <a:pattFill prst="ltDnDiag">
        <a:fgClr>
          <a:schemeClr val="dk1">
            <a:lumMod val="15000"/>
            <a:lumOff val="85000"/>
          </a:schemeClr>
        </a:fgClr>
        <a:bgClr>
          <a:schemeClr val="lt1"/>
        </a:bgClr>
      </a:pattFill>
    </cs:spPr>
  </cs:floor>
  <cs:gridlineMajor>
    <cs:lnRef idx="0"/>
    <cs:fillRef idx="0"/>
    <cs:effectRef idx="0"/>
    <cs:fontRef idx="minor">
      <a:schemeClr val="dk1"/>
    </cs:fontRef>
    <cs:spPr>
      <a:ln w="9525" cap="flat" cmpd="sng" algn="ctr">
        <a:solidFill>
          <a:schemeClr val="dk1">
            <a:lumMod val="15000"/>
            <a:lumOff val="85000"/>
            <a:alpha val="54000"/>
          </a:schemeClr>
        </a:solidFill>
        <a:round/>
      </a:ln>
    </cs:spPr>
  </cs:gridlineMajor>
  <cs:gridlineMinor>
    <cs:lnRef idx="0"/>
    <cs:fillRef idx="0"/>
    <cs:effectRef idx="0"/>
    <cs:fontRef idx="minor">
      <a:schemeClr val="dk1"/>
    </cs:fontRef>
    <cs:spPr>
      <a:ln w="9525" cap="flat" cmpd="sng" algn="ctr">
        <a:solidFill>
          <a:schemeClr val="dk1">
            <a:lumMod val="15000"/>
            <a:lumOff val="85000"/>
            <a:alpha val="51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pattFill prst="ltDnDiag">
        <a:fgClr>
          <a:schemeClr val="dk1">
            <a:lumMod val="15000"/>
            <a:lumOff val="85000"/>
          </a:schemeClr>
        </a:fgClr>
        <a:bgClr>
          <a:schemeClr val="lt1"/>
        </a:bgClr>
      </a:pattFill>
    </cs:spPr>
  </cs:plotArea>
  <cs:plotArea3D>
    <cs:lnRef idx="0"/>
    <cs:fillRef idx="0"/>
    <cs:effectRef idx="0"/>
    <cs:fontRef idx="minor">
      <a:schemeClr val="dk1"/>
    </cs:fontRef>
    <cs:spPr>
      <a:solidFill>
        <a:schemeClr val="lt1"/>
      </a:solidFill>
    </cs:spPr>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ajor">
      <a:schemeClr val="dk1">
        <a:lumMod val="50000"/>
        <a:lumOff val="50000"/>
      </a:schemeClr>
    </cs:fontRef>
    <cs:defRPr sz="1600" b="1" kern="1200" cap="none" spc="0" normalizeH="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50000"/>
            <a:lumOff val="50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spPr>
      <a:pattFill prst="ltDnDiag">
        <a:fgClr>
          <a:schemeClr val="dk1">
            <a:lumMod val="15000"/>
            <a:lumOff val="85000"/>
          </a:schemeClr>
        </a:fgClr>
        <a:bgClr>
          <a:schemeClr val="lt1"/>
        </a:bgClr>
      </a:pattFill>
    </cs:spPr>
  </cs:wall>
</cs:chartStyle>
</file>

<file path=xl/charts/style14.xml><?xml version="1.0" encoding="utf-8"?>
<cs:chartStyle xmlns:cs="http://schemas.microsoft.com/office/drawing/2012/chartStyle" xmlns:a="http://schemas.openxmlformats.org/drawingml/2006/main" id="232">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ap="none" spc="0" normalizeH="0" baseline="0"/>
  </cs:categoryAxis>
  <cs:chartArea>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lt1"/>
      </a:solidFill>
      <a:ln w="15875">
        <a:solidFill>
          <a:schemeClr val="ph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50000"/>
            <a:lumOff val="50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spPr>
      <a:pattFill prst="ltDnDiag">
        <a:fgClr>
          <a:schemeClr val="dk1">
            <a:lumMod val="15000"/>
            <a:lumOff val="85000"/>
          </a:schemeClr>
        </a:fgClr>
        <a:bgClr>
          <a:schemeClr val="lt1"/>
        </a:bgClr>
      </a:pattFill>
    </cs:spPr>
  </cs:floor>
  <cs:gridlineMajor>
    <cs:lnRef idx="0"/>
    <cs:fillRef idx="0"/>
    <cs:effectRef idx="0"/>
    <cs:fontRef idx="minor">
      <a:schemeClr val="dk1"/>
    </cs:fontRef>
    <cs:spPr>
      <a:ln w="9525" cap="flat" cmpd="sng" algn="ctr">
        <a:solidFill>
          <a:schemeClr val="dk1">
            <a:lumMod val="15000"/>
            <a:lumOff val="85000"/>
            <a:alpha val="54000"/>
          </a:schemeClr>
        </a:solidFill>
        <a:round/>
      </a:ln>
    </cs:spPr>
  </cs:gridlineMajor>
  <cs:gridlineMinor>
    <cs:lnRef idx="0"/>
    <cs:fillRef idx="0"/>
    <cs:effectRef idx="0"/>
    <cs:fontRef idx="minor">
      <a:schemeClr val="dk1"/>
    </cs:fontRef>
    <cs:spPr>
      <a:ln w="9525" cap="flat" cmpd="sng" algn="ctr">
        <a:solidFill>
          <a:schemeClr val="dk1">
            <a:lumMod val="15000"/>
            <a:lumOff val="85000"/>
            <a:alpha val="51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pattFill prst="ltDnDiag">
        <a:fgClr>
          <a:schemeClr val="dk1">
            <a:lumMod val="15000"/>
            <a:lumOff val="85000"/>
          </a:schemeClr>
        </a:fgClr>
        <a:bgClr>
          <a:schemeClr val="lt1"/>
        </a:bgClr>
      </a:pattFill>
    </cs:spPr>
  </cs:plotArea>
  <cs:plotArea3D>
    <cs:lnRef idx="0"/>
    <cs:fillRef idx="0"/>
    <cs:effectRef idx="0"/>
    <cs:fontRef idx="minor">
      <a:schemeClr val="dk1"/>
    </cs:fontRef>
    <cs:spPr>
      <a:solidFill>
        <a:schemeClr val="lt1"/>
      </a:solidFill>
    </cs:spPr>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ajor">
      <a:schemeClr val="dk1">
        <a:lumMod val="50000"/>
        <a:lumOff val="50000"/>
      </a:schemeClr>
    </cs:fontRef>
    <cs:defRPr sz="1600" b="1" kern="1200" cap="none" spc="0" normalizeH="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50000"/>
            <a:lumOff val="50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spPr>
      <a:pattFill prst="ltDnDiag">
        <a:fgClr>
          <a:schemeClr val="dk1">
            <a:lumMod val="15000"/>
            <a:lumOff val="85000"/>
          </a:schemeClr>
        </a:fgClr>
        <a:bgClr>
          <a:schemeClr val="lt1"/>
        </a:bgClr>
      </a:pattFill>
    </cs:spPr>
  </cs:wall>
</cs:chartStyle>
</file>

<file path=xl/charts/style15.xml><?xml version="1.0" encoding="utf-8"?>
<cs:chartStyle xmlns:cs="http://schemas.microsoft.com/office/drawing/2012/chartStyle" xmlns:a="http://schemas.openxmlformats.org/drawingml/2006/main" id="232">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ap="none" spc="0" normalizeH="0" baseline="0"/>
  </cs:categoryAxis>
  <cs:chartArea>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lt1"/>
      </a:solidFill>
      <a:ln w="15875">
        <a:solidFill>
          <a:schemeClr val="ph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50000"/>
            <a:lumOff val="50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spPr>
      <a:pattFill prst="ltDnDiag">
        <a:fgClr>
          <a:schemeClr val="dk1">
            <a:lumMod val="15000"/>
            <a:lumOff val="85000"/>
          </a:schemeClr>
        </a:fgClr>
        <a:bgClr>
          <a:schemeClr val="lt1"/>
        </a:bgClr>
      </a:pattFill>
    </cs:spPr>
  </cs:floor>
  <cs:gridlineMajor>
    <cs:lnRef idx="0"/>
    <cs:fillRef idx="0"/>
    <cs:effectRef idx="0"/>
    <cs:fontRef idx="minor">
      <a:schemeClr val="dk1"/>
    </cs:fontRef>
    <cs:spPr>
      <a:ln w="9525" cap="flat" cmpd="sng" algn="ctr">
        <a:solidFill>
          <a:schemeClr val="dk1">
            <a:lumMod val="15000"/>
            <a:lumOff val="85000"/>
            <a:alpha val="54000"/>
          </a:schemeClr>
        </a:solidFill>
        <a:round/>
      </a:ln>
    </cs:spPr>
  </cs:gridlineMajor>
  <cs:gridlineMinor>
    <cs:lnRef idx="0"/>
    <cs:fillRef idx="0"/>
    <cs:effectRef idx="0"/>
    <cs:fontRef idx="minor">
      <a:schemeClr val="dk1"/>
    </cs:fontRef>
    <cs:spPr>
      <a:ln w="9525" cap="flat" cmpd="sng" algn="ctr">
        <a:solidFill>
          <a:schemeClr val="dk1">
            <a:lumMod val="15000"/>
            <a:lumOff val="85000"/>
            <a:alpha val="51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pattFill prst="ltDnDiag">
        <a:fgClr>
          <a:schemeClr val="dk1">
            <a:lumMod val="15000"/>
            <a:lumOff val="85000"/>
          </a:schemeClr>
        </a:fgClr>
        <a:bgClr>
          <a:schemeClr val="lt1"/>
        </a:bgClr>
      </a:pattFill>
    </cs:spPr>
  </cs:plotArea>
  <cs:plotArea3D>
    <cs:lnRef idx="0"/>
    <cs:fillRef idx="0"/>
    <cs:effectRef idx="0"/>
    <cs:fontRef idx="minor">
      <a:schemeClr val="dk1"/>
    </cs:fontRef>
    <cs:spPr>
      <a:solidFill>
        <a:schemeClr val="lt1"/>
      </a:solidFill>
    </cs:spPr>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ajor">
      <a:schemeClr val="dk1">
        <a:lumMod val="50000"/>
        <a:lumOff val="50000"/>
      </a:schemeClr>
    </cs:fontRef>
    <cs:defRPr sz="1600" b="1" kern="1200" cap="none" spc="0" normalizeH="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50000"/>
            <a:lumOff val="50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spPr>
      <a:pattFill prst="ltDnDiag">
        <a:fgClr>
          <a:schemeClr val="dk1">
            <a:lumMod val="15000"/>
            <a:lumOff val="85000"/>
          </a:schemeClr>
        </a:fgClr>
        <a:bgClr>
          <a:schemeClr val="lt1"/>
        </a:bgClr>
      </a:pattFill>
    </cs:spPr>
  </cs:wall>
</cs:chartStyle>
</file>

<file path=xl/charts/style16.xml><?xml version="1.0" encoding="utf-8"?>
<cs:chartStyle xmlns:cs="http://schemas.microsoft.com/office/drawing/2012/chartStyle" xmlns:a="http://schemas.openxmlformats.org/drawingml/2006/main" id="232">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ap="none" spc="0" normalizeH="0" baseline="0"/>
  </cs:categoryAxis>
  <cs:chartArea>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lt1"/>
      </a:solidFill>
      <a:ln w="15875">
        <a:solidFill>
          <a:schemeClr val="ph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50000"/>
            <a:lumOff val="50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spPr>
      <a:pattFill prst="ltDnDiag">
        <a:fgClr>
          <a:schemeClr val="dk1">
            <a:lumMod val="15000"/>
            <a:lumOff val="85000"/>
          </a:schemeClr>
        </a:fgClr>
        <a:bgClr>
          <a:schemeClr val="lt1"/>
        </a:bgClr>
      </a:pattFill>
    </cs:spPr>
  </cs:floor>
  <cs:gridlineMajor>
    <cs:lnRef idx="0"/>
    <cs:fillRef idx="0"/>
    <cs:effectRef idx="0"/>
    <cs:fontRef idx="minor">
      <a:schemeClr val="dk1"/>
    </cs:fontRef>
    <cs:spPr>
      <a:ln w="9525" cap="flat" cmpd="sng" algn="ctr">
        <a:solidFill>
          <a:schemeClr val="dk1">
            <a:lumMod val="15000"/>
            <a:lumOff val="85000"/>
            <a:alpha val="54000"/>
          </a:schemeClr>
        </a:solidFill>
        <a:round/>
      </a:ln>
    </cs:spPr>
  </cs:gridlineMajor>
  <cs:gridlineMinor>
    <cs:lnRef idx="0"/>
    <cs:fillRef idx="0"/>
    <cs:effectRef idx="0"/>
    <cs:fontRef idx="minor">
      <a:schemeClr val="dk1"/>
    </cs:fontRef>
    <cs:spPr>
      <a:ln w="9525" cap="flat" cmpd="sng" algn="ctr">
        <a:solidFill>
          <a:schemeClr val="dk1">
            <a:lumMod val="15000"/>
            <a:lumOff val="85000"/>
            <a:alpha val="51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pattFill prst="ltDnDiag">
        <a:fgClr>
          <a:schemeClr val="dk1">
            <a:lumMod val="15000"/>
            <a:lumOff val="85000"/>
          </a:schemeClr>
        </a:fgClr>
        <a:bgClr>
          <a:schemeClr val="lt1"/>
        </a:bgClr>
      </a:pattFill>
    </cs:spPr>
  </cs:plotArea>
  <cs:plotArea3D>
    <cs:lnRef idx="0"/>
    <cs:fillRef idx="0"/>
    <cs:effectRef idx="0"/>
    <cs:fontRef idx="minor">
      <a:schemeClr val="dk1"/>
    </cs:fontRef>
    <cs:spPr>
      <a:solidFill>
        <a:schemeClr val="lt1"/>
      </a:solidFill>
    </cs:spPr>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ajor">
      <a:schemeClr val="dk1">
        <a:lumMod val="50000"/>
        <a:lumOff val="50000"/>
      </a:schemeClr>
    </cs:fontRef>
    <cs:defRPr sz="1600" b="1" kern="1200" cap="none" spc="0" normalizeH="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50000"/>
            <a:lumOff val="50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spPr>
      <a:pattFill prst="ltDnDiag">
        <a:fgClr>
          <a:schemeClr val="dk1">
            <a:lumMod val="15000"/>
            <a:lumOff val="85000"/>
          </a:schemeClr>
        </a:fgClr>
        <a:bgClr>
          <a:schemeClr val="lt1"/>
        </a:bgClr>
      </a:pattFill>
    </cs:spPr>
  </cs:wall>
</cs:chartStyle>
</file>

<file path=xl/charts/style17.xml><?xml version="1.0" encoding="utf-8"?>
<cs:chartStyle xmlns:cs="http://schemas.microsoft.com/office/drawing/2012/chartStyle" xmlns:a="http://schemas.openxmlformats.org/drawingml/2006/main" id="232">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ap="none" spc="0" normalizeH="0" baseline="0"/>
  </cs:categoryAxis>
  <cs:chartArea>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lt1"/>
      </a:solidFill>
      <a:ln w="15875">
        <a:solidFill>
          <a:schemeClr val="ph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50000"/>
            <a:lumOff val="50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spPr>
      <a:pattFill prst="ltDnDiag">
        <a:fgClr>
          <a:schemeClr val="dk1">
            <a:lumMod val="15000"/>
            <a:lumOff val="85000"/>
          </a:schemeClr>
        </a:fgClr>
        <a:bgClr>
          <a:schemeClr val="lt1"/>
        </a:bgClr>
      </a:pattFill>
    </cs:spPr>
  </cs:floor>
  <cs:gridlineMajor>
    <cs:lnRef idx="0"/>
    <cs:fillRef idx="0"/>
    <cs:effectRef idx="0"/>
    <cs:fontRef idx="minor">
      <a:schemeClr val="dk1"/>
    </cs:fontRef>
    <cs:spPr>
      <a:ln w="9525" cap="flat" cmpd="sng" algn="ctr">
        <a:solidFill>
          <a:schemeClr val="dk1">
            <a:lumMod val="15000"/>
            <a:lumOff val="85000"/>
            <a:alpha val="54000"/>
          </a:schemeClr>
        </a:solidFill>
        <a:round/>
      </a:ln>
    </cs:spPr>
  </cs:gridlineMajor>
  <cs:gridlineMinor>
    <cs:lnRef idx="0"/>
    <cs:fillRef idx="0"/>
    <cs:effectRef idx="0"/>
    <cs:fontRef idx="minor">
      <a:schemeClr val="dk1"/>
    </cs:fontRef>
    <cs:spPr>
      <a:ln w="9525" cap="flat" cmpd="sng" algn="ctr">
        <a:solidFill>
          <a:schemeClr val="dk1">
            <a:lumMod val="15000"/>
            <a:lumOff val="85000"/>
            <a:alpha val="51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pattFill prst="ltDnDiag">
        <a:fgClr>
          <a:schemeClr val="dk1">
            <a:lumMod val="15000"/>
            <a:lumOff val="85000"/>
          </a:schemeClr>
        </a:fgClr>
        <a:bgClr>
          <a:schemeClr val="lt1"/>
        </a:bgClr>
      </a:pattFill>
    </cs:spPr>
  </cs:plotArea>
  <cs:plotArea3D>
    <cs:lnRef idx="0"/>
    <cs:fillRef idx="0"/>
    <cs:effectRef idx="0"/>
    <cs:fontRef idx="minor">
      <a:schemeClr val="dk1"/>
    </cs:fontRef>
    <cs:spPr>
      <a:solidFill>
        <a:schemeClr val="lt1"/>
      </a:solidFill>
    </cs:spPr>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ajor">
      <a:schemeClr val="dk1">
        <a:lumMod val="50000"/>
        <a:lumOff val="50000"/>
      </a:schemeClr>
    </cs:fontRef>
    <cs:defRPr sz="1600" b="1" kern="1200" cap="none" spc="0" normalizeH="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50000"/>
            <a:lumOff val="50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spPr>
      <a:pattFill prst="ltDnDiag">
        <a:fgClr>
          <a:schemeClr val="dk1">
            <a:lumMod val="15000"/>
            <a:lumOff val="85000"/>
          </a:schemeClr>
        </a:fgClr>
        <a:bgClr>
          <a:schemeClr val="lt1"/>
        </a:bgClr>
      </a:pattFill>
    </cs:spPr>
  </cs:wall>
</cs:chartStyle>
</file>

<file path=xl/charts/style18.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0.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jpe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_rels/drawing3.xml.rels><?xml version="1.0" encoding="UTF-8" standalone="yes"?>
<Relationships xmlns="http://schemas.openxmlformats.org/package/2006/relationships"><Relationship Id="rId8" Type="http://schemas.openxmlformats.org/officeDocument/2006/relationships/chart" Target="../charts/chart8.xml"/><Relationship Id="rId3" Type="http://schemas.openxmlformats.org/officeDocument/2006/relationships/chart" Target="../charts/chart3.xml"/><Relationship Id="rId7" Type="http://schemas.openxmlformats.org/officeDocument/2006/relationships/chart" Target="../charts/chart7.xml"/><Relationship Id="rId12" Type="http://schemas.openxmlformats.org/officeDocument/2006/relationships/chart" Target="../charts/chart12.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11" Type="http://schemas.openxmlformats.org/officeDocument/2006/relationships/chart" Target="../charts/chart11.xml"/><Relationship Id="rId5" Type="http://schemas.openxmlformats.org/officeDocument/2006/relationships/chart" Target="../charts/chart5.xml"/><Relationship Id="rId10" Type="http://schemas.openxmlformats.org/officeDocument/2006/relationships/chart" Target="../charts/chart10.xml"/><Relationship Id="rId4" Type="http://schemas.openxmlformats.org/officeDocument/2006/relationships/chart" Target="../charts/chart4.xml"/><Relationship Id="rId9" Type="http://schemas.openxmlformats.org/officeDocument/2006/relationships/chart" Target="../charts/chart9.xml"/></Relationships>
</file>

<file path=xl/drawings/_rels/drawing4.xml.rels><?xml version="1.0" encoding="UTF-8" standalone="yes"?>
<Relationships xmlns="http://schemas.openxmlformats.org/package/2006/relationships"><Relationship Id="rId3" Type="http://schemas.openxmlformats.org/officeDocument/2006/relationships/chart" Target="../charts/chart15.xml"/><Relationship Id="rId2" Type="http://schemas.openxmlformats.org/officeDocument/2006/relationships/chart" Target="../charts/chart14.xml"/><Relationship Id="rId1" Type="http://schemas.openxmlformats.org/officeDocument/2006/relationships/chart" Target="../charts/chart13.xml"/><Relationship Id="rId5" Type="http://schemas.openxmlformats.org/officeDocument/2006/relationships/chart" Target="../charts/chart17.xml"/><Relationship Id="rId4" Type="http://schemas.openxmlformats.org/officeDocument/2006/relationships/chart" Target="../charts/chart16.xml"/></Relationships>
</file>

<file path=xl/drawings/_rels/drawing5.xml.rels><?xml version="1.0" encoding="UTF-8" standalone="yes"?>
<Relationships xmlns="http://schemas.openxmlformats.org/package/2006/relationships"><Relationship Id="rId3" Type="http://schemas.openxmlformats.org/officeDocument/2006/relationships/chart" Target="../charts/chart20.xml"/><Relationship Id="rId2" Type="http://schemas.openxmlformats.org/officeDocument/2006/relationships/chart" Target="../charts/chart19.xml"/><Relationship Id="rId1" Type="http://schemas.openxmlformats.org/officeDocument/2006/relationships/chart" Target="../charts/chart18.xml"/></Relationships>
</file>

<file path=xl/drawings/drawing1.xml><?xml version="1.0" encoding="utf-8"?>
<xdr:wsDr xmlns:xdr="http://schemas.openxmlformats.org/drawingml/2006/spreadsheetDrawing" xmlns:a="http://schemas.openxmlformats.org/drawingml/2006/main">
  <xdr:oneCellAnchor>
    <xdr:from>
      <xdr:col>13</xdr:col>
      <xdr:colOff>669691</xdr:colOff>
      <xdr:row>0</xdr:row>
      <xdr:rowOff>88900</xdr:rowOff>
    </xdr:from>
    <xdr:ext cx="1619251" cy="676275"/>
    <xdr:pic>
      <xdr:nvPicPr>
        <xdr:cNvPr id="2" name="Picture 42" descr="Logo TeleworX big">
          <a:extLst>
            <a:ext uri="{FF2B5EF4-FFF2-40B4-BE49-F238E27FC236}">
              <a16:creationId xmlns:a16="http://schemas.microsoft.com/office/drawing/2014/main" id="{52E63343-5076-4A41-B998-4F67D4268C4B}"/>
            </a:ext>
          </a:extLst>
        </xdr:cNvPr>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8587" r="4632" b="3492"/>
        <a:stretch/>
      </xdr:blipFill>
      <xdr:spPr bwMode="auto">
        <a:xfrm>
          <a:off x="9038991" y="88900"/>
          <a:ext cx="1619251" cy="676275"/>
        </a:xfrm>
        <a:prstGeom prst="rect">
          <a:avLst/>
        </a:prstGeom>
        <a:noFill/>
        <a:ln>
          <a:noFill/>
        </a:ln>
      </xdr:spPr>
    </xdr:pic>
    <xdr:clientData/>
  </xdr:oneCellAnchor>
  <xdr:twoCellAnchor>
    <xdr:from>
      <xdr:col>1</xdr:col>
      <xdr:colOff>323847</xdr:colOff>
      <xdr:row>4</xdr:row>
      <xdr:rowOff>114301</xdr:rowOff>
    </xdr:from>
    <xdr:to>
      <xdr:col>17</xdr:col>
      <xdr:colOff>317500</xdr:colOff>
      <xdr:row>50</xdr:row>
      <xdr:rowOff>0</xdr:rowOff>
    </xdr:to>
    <xdr:sp macro="" textlink="">
      <xdr:nvSpPr>
        <xdr:cNvPr id="4" name="TextBox 3">
          <a:extLst>
            <a:ext uri="{FF2B5EF4-FFF2-40B4-BE49-F238E27FC236}">
              <a16:creationId xmlns:a16="http://schemas.microsoft.com/office/drawing/2014/main" id="{F8A1A1EF-D5B0-436E-85FF-7538D9DB5154}"/>
            </a:ext>
          </a:extLst>
        </xdr:cNvPr>
        <xdr:cNvSpPr txBox="1"/>
      </xdr:nvSpPr>
      <xdr:spPr>
        <a:xfrm>
          <a:off x="463547" y="927101"/>
          <a:ext cx="10966453" cy="923289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MX" sz="1800" b="1">
              <a:solidFill>
                <a:schemeClr val="accent1">
                  <a:lumMod val="50000"/>
                </a:schemeClr>
              </a:solidFill>
            </a:rPr>
            <a:t>	</a:t>
          </a:r>
        </a:p>
        <a:p>
          <a:r>
            <a:rPr lang="es-MX" sz="1800" b="1"/>
            <a:t>					</a:t>
          </a:r>
          <a:r>
            <a:rPr lang="es-MX" sz="1800" b="1" baseline="0"/>
            <a:t>             </a:t>
          </a:r>
          <a:endParaRPr lang="es-MX" sz="1800" b="1"/>
        </a:p>
        <a:p>
          <a:r>
            <a:rPr lang="es-MX" sz="2800" b="0" i="1">
              <a:solidFill>
                <a:schemeClr val="accent1">
                  <a:lumMod val="50000"/>
                </a:schemeClr>
              </a:solidFill>
            </a:rPr>
            <a:t>Cover								</a:t>
          </a:r>
          <a:endParaRPr lang="es-MX" sz="2800" b="0" i="1" baseline="0">
            <a:solidFill>
              <a:schemeClr val="accent1">
                <a:lumMod val="50000"/>
              </a:schemeClr>
            </a:solidFill>
          </a:endParaRPr>
        </a:p>
        <a:p>
          <a:endParaRPr lang="es-MX" sz="2800" b="0" i="1">
            <a:solidFill>
              <a:schemeClr val="accent1">
                <a:lumMod val="50000"/>
              </a:schemeClr>
            </a:solidFill>
          </a:endParaRPr>
        </a:p>
        <a:p>
          <a:r>
            <a:rPr lang="es-MX" sz="2800" b="0" i="1">
              <a:solidFill>
                <a:schemeClr val="accent1">
                  <a:lumMod val="50000"/>
                </a:schemeClr>
              </a:solidFill>
            </a:rPr>
            <a:t>Table of Contents								</a:t>
          </a:r>
        </a:p>
        <a:p>
          <a:r>
            <a:rPr lang="es-MX" sz="2800" b="0" i="1">
              <a:solidFill>
                <a:schemeClr val="accent1">
                  <a:lumMod val="50000"/>
                </a:schemeClr>
              </a:solidFill>
            </a:rPr>
            <a:t>User Guide	                                                                                                          </a:t>
          </a:r>
        </a:p>
        <a:p>
          <a:endParaRPr lang="es-MX" sz="2800" b="0" i="1">
            <a:solidFill>
              <a:schemeClr val="accent1">
                <a:lumMod val="50000"/>
              </a:schemeClr>
            </a:solidFill>
          </a:endParaRPr>
        </a:p>
        <a:p>
          <a:r>
            <a:rPr lang="es-MX" sz="2800" b="0" i="1">
              <a:solidFill>
                <a:schemeClr val="accent1">
                  <a:lumMod val="50000"/>
                </a:schemeClr>
              </a:solidFill>
            </a:rPr>
            <a:t>1. Duration Estimating							</a:t>
          </a:r>
        </a:p>
        <a:p>
          <a:r>
            <a:rPr lang="es-MX" sz="2800" b="0" i="1">
              <a:solidFill>
                <a:schemeClr val="accent1">
                  <a:lumMod val="50000"/>
                </a:schemeClr>
              </a:solidFill>
            </a:rPr>
            <a:t>2.</a:t>
          </a:r>
          <a:r>
            <a:rPr lang="es-MX" sz="2800" b="0" i="1" baseline="0">
              <a:solidFill>
                <a:schemeClr val="accent1">
                  <a:lumMod val="50000"/>
                </a:schemeClr>
              </a:solidFill>
            </a:rPr>
            <a:t> Design Tracking								</a:t>
          </a:r>
        </a:p>
        <a:p>
          <a:r>
            <a:rPr lang="es-MX" sz="2800" b="0" i="1" baseline="0">
              <a:solidFill>
                <a:schemeClr val="accent1">
                  <a:lumMod val="50000"/>
                </a:schemeClr>
              </a:solidFill>
            </a:rPr>
            <a:t>3. Design Tracking Summary						</a:t>
          </a:r>
        </a:p>
        <a:p>
          <a:r>
            <a:rPr lang="es-MX" sz="2800" b="0" i="1" baseline="0">
              <a:solidFill>
                <a:schemeClr val="accent1">
                  <a:lumMod val="50000"/>
                </a:schemeClr>
              </a:solidFill>
            </a:rPr>
            <a:t>4. Site Tracking Sheet							</a:t>
          </a:r>
        </a:p>
        <a:p>
          <a:r>
            <a:rPr lang="es-MX" sz="2800" b="0" i="1" baseline="0">
              <a:solidFill>
                <a:schemeClr val="accent1">
                  <a:lumMod val="50000"/>
                </a:schemeClr>
              </a:solidFill>
            </a:rPr>
            <a:t>5. Summary Tracking Sheet							</a:t>
          </a:r>
        </a:p>
        <a:p>
          <a:endParaRPr lang="es-MX" sz="2800" b="0" i="1" baseline="0">
            <a:solidFill>
              <a:schemeClr val="accent1">
                <a:lumMod val="50000"/>
              </a:schemeClr>
            </a:solidFill>
          </a:endParaRPr>
        </a:p>
        <a:p>
          <a:r>
            <a:rPr lang="es-MX" sz="2800" b="0" i="1" baseline="0">
              <a:solidFill>
                <a:schemeClr val="accent1">
                  <a:lumMod val="50000"/>
                </a:schemeClr>
              </a:solidFill>
            </a:rPr>
            <a:t>A. Schedule Visuals								</a:t>
          </a:r>
        </a:p>
        <a:p>
          <a:r>
            <a:rPr lang="es-MX" sz="2800" b="0" i="1" baseline="0">
              <a:solidFill>
                <a:schemeClr val="accent1">
                  <a:lumMod val="50000"/>
                </a:schemeClr>
              </a:solidFill>
            </a:rPr>
            <a:t>B. Cost &amp; Variance Visuals</a:t>
          </a:r>
        </a:p>
        <a:p>
          <a:r>
            <a:rPr lang="es-MX" sz="2800" b="0" i="1" baseline="0">
              <a:solidFill>
                <a:schemeClr val="accent1">
                  <a:lumMod val="50000"/>
                </a:schemeClr>
              </a:solidFill>
            </a:rPr>
            <a:t>C. Deployment KPI's</a:t>
          </a:r>
        </a:p>
        <a:p>
          <a:r>
            <a:rPr lang="es-MX" sz="2800" b="0" i="1" baseline="0">
              <a:solidFill>
                <a:schemeClr val="accent1">
                  <a:lumMod val="50000"/>
                </a:schemeClr>
              </a:solidFill>
            </a:rPr>
            <a:t>D. Dashboards</a:t>
          </a:r>
        </a:p>
        <a:p>
          <a:r>
            <a:rPr lang="es-MX" sz="2800" b="0" i="1" baseline="0">
              <a:solidFill>
                <a:schemeClr val="accent1">
                  <a:lumMod val="50000"/>
                </a:schemeClr>
              </a:solidFill>
            </a:rPr>
            <a:t>E.Sites Milestones List</a:t>
          </a:r>
        </a:p>
        <a:p>
          <a:r>
            <a:rPr lang="es-MX" sz="2800" b="0" i="1" baseline="0"/>
            <a:t>			</a:t>
          </a:r>
          <a:r>
            <a:rPr lang="es-MX" sz="1800" b="0" i="1" baseline="0"/>
            <a:t>			</a:t>
          </a:r>
        </a:p>
      </xdr:txBody>
    </xdr:sp>
    <xdr:clientData/>
  </xdr:twoCellAnchor>
  <xdr:twoCellAnchor>
    <xdr:from>
      <xdr:col>1</xdr:col>
      <xdr:colOff>514350</xdr:colOff>
      <xdr:row>0</xdr:row>
      <xdr:rowOff>28575</xdr:rowOff>
    </xdr:from>
    <xdr:to>
      <xdr:col>12</xdr:col>
      <xdr:colOff>73474</xdr:colOff>
      <xdr:row>2</xdr:row>
      <xdr:rowOff>4422</xdr:rowOff>
    </xdr:to>
    <xdr:sp macro="" textlink="">
      <xdr:nvSpPr>
        <xdr:cNvPr id="5" name="TextBox 4">
          <a:extLst>
            <a:ext uri="{FF2B5EF4-FFF2-40B4-BE49-F238E27FC236}">
              <a16:creationId xmlns:a16="http://schemas.microsoft.com/office/drawing/2014/main" id="{B605E043-3D7E-49CC-80A4-8D9166ACDDFF}"/>
            </a:ext>
          </a:extLst>
        </xdr:cNvPr>
        <xdr:cNvSpPr txBox="1"/>
      </xdr:nvSpPr>
      <xdr:spPr>
        <a:xfrm>
          <a:off x="654050" y="28575"/>
          <a:ext cx="7102924" cy="382247"/>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s-MX" sz="1800" b="1">
              <a:solidFill>
                <a:schemeClr val="accent5">
                  <a:lumMod val="75000"/>
                </a:schemeClr>
              </a:solidFill>
            </a:rPr>
            <a:t>Deployment Management Tracking Workseet</a:t>
          </a:r>
        </a:p>
        <a:p>
          <a:pPr algn="ctr"/>
          <a:endParaRPr lang="es-MX" sz="1800" b="1">
            <a:solidFill>
              <a:schemeClr val="accent5">
                <a:lumMod val="75000"/>
              </a:schemeClr>
            </a:solidFill>
          </a:endParaRPr>
        </a:p>
      </xdr:txBody>
    </xdr:sp>
    <xdr:clientData/>
  </xdr:twoCellAnchor>
  <xdr:twoCellAnchor>
    <xdr:from>
      <xdr:col>2</xdr:col>
      <xdr:colOff>440418</xdr:colOff>
      <xdr:row>3</xdr:row>
      <xdr:rowOff>9298</xdr:rowOff>
    </xdr:from>
    <xdr:to>
      <xdr:col>9</xdr:col>
      <xdr:colOff>346868</xdr:colOff>
      <xdr:row>4</xdr:row>
      <xdr:rowOff>110785</xdr:rowOff>
    </xdr:to>
    <xdr:sp macro="" textlink="">
      <xdr:nvSpPr>
        <xdr:cNvPr id="6" name="TextBox 5">
          <a:extLst>
            <a:ext uri="{FF2B5EF4-FFF2-40B4-BE49-F238E27FC236}">
              <a16:creationId xmlns:a16="http://schemas.microsoft.com/office/drawing/2014/main" id="{7B856993-5187-46CA-8B30-F426B92D244F}"/>
            </a:ext>
          </a:extLst>
        </xdr:cNvPr>
        <xdr:cNvSpPr txBox="1"/>
      </xdr:nvSpPr>
      <xdr:spPr>
        <a:xfrm>
          <a:off x="1265918" y="618898"/>
          <a:ext cx="4707050" cy="304687"/>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s-MX" sz="1200" b="0">
              <a:solidFill>
                <a:schemeClr val="tx1"/>
              </a:solidFill>
            </a:rPr>
            <a:t>Table of Contents</a:t>
          </a:r>
        </a:p>
      </xdr:txBody>
    </xdr:sp>
    <xdr:clientData/>
  </xdr:twoCellAnchor>
  <xdr:twoCellAnchor>
    <xdr:from>
      <xdr:col>1</xdr:col>
      <xdr:colOff>447451</xdr:colOff>
      <xdr:row>2</xdr:row>
      <xdr:rowOff>152400</xdr:rowOff>
    </xdr:from>
    <xdr:to>
      <xdr:col>12</xdr:col>
      <xdr:colOff>345058</xdr:colOff>
      <xdr:row>2</xdr:row>
      <xdr:rowOff>172243</xdr:rowOff>
    </xdr:to>
    <xdr:cxnSp macro="">
      <xdr:nvCxnSpPr>
        <xdr:cNvPr id="7" name="Straight Connector 6">
          <a:extLst>
            <a:ext uri="{FF2B5EF4-FFF2-40B4-BE49-F238E27FC236}">
              <a16:creationId xmlns:a16="http://schemas.microsoft.com/office/drawing/2014/main" id="{401CF8A1-C136-49F6-89F8-CBE62990CC8E}"/>
            </a:ext>
          </a:extLst>
        </xdr:cNvPr>
        <xdr:cNvCxnSpPr/>
      </xdr:nvCxnSpPr>
      <xdr:spPr>
        <a:xfrm>
          <a:off x="587151" y="558800"/>
          <a:ext cx="7441407" cy="19843"/>
        </a:xfrm>
        <a:prstGeom prst="line">
          <a:avLst/>
        </a:prstGeom>
        <a:ln w="19050"/>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oneCellAnchor>
    <xdr:from>
      <xdr:col>17</xdr:col>
      <xdr:colOff>10325501</xdr:colOff>
      <xdr:row>0</xdr:row>
      <xdr:rowOff>247650</xdr:rowOff>
    </xdr:from>
    <xdr:ext cx="1619251" cy="676275"/>
    <xdr:pic>
      <xdr:nvPicPr>
        <xdr:cNvPr id="2" name="Picture 42" descr="Logo TeleworX big">
          <a:extLst>
            <a:ext uri="{FF2B5EF4-FFF2-40B4-BE49-F238E27FC236}">
              <a16:creationId xmlns:a16="http://schemas.microsoft.com/office/drawing/2014/main" id="{482A6417-DF97-415E-9A40-ADF2952D2E36}"/>
            </a:ext>
          </a:extLst>
        </xdr:cNvPr>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8587" r="4632" b="3492"/>
        <a:stretch/>
      </xdr:blipFill>
      <xdr:spPr bwMode="auto">
        <a:xfrm>
          <a:off x="35349581" y="247650"/>
          <a:ext cx="1619251" cy="676275"/>
        </a:xfrm>
        <a:prstGeom prst="rect">
          <a:avLst/>
        </a:prstGeom>
        <a:noFill/>
        <a:ln>
          <a:noFill/>
        </a:ln>
      </xdr:spPr>
    </xdr:pic>
    <xdr:clientData/>
  </xdr:oneCellAnchor>
  <xdr:twoCellAnchor>
    <xdr:from>
      <xdr:col>3</xdr:col>
      <xdr:colOff>440422</xdr:colOff>
      <xdr:row>0</xdr:row>
      <xdr:rowOff>332581</xdr:rowOff>
    </xdr:from>
    <xdr:to>
      <xdr:col>14</xdr:col>
      <xdr:colOff>132896</xdr:colOff>
      <xdr:row>3</xdr:row>
      <xdr:rowOff>330200</xdr:rowOff>
    </xdr:to>
    <xdr:sp macro="" textlink="">
      <xdr:nvSpPr>
        <xdr:cNvPr id="4" name="TextBox 3">
          <a:extLst>
            <a:ext uri="{FF2B5EF4-FFF2-40B4-BE49-F238E27FC236}">
              <a16:creationId xmlns:a16="http://schemas.microsoft.com/office/drawing/2014/main" id="{F7919B84-267A-417F-87FA-F103C08789F6}"/>
            </a:ext>
          </a:extLst>
        </xdr:cNvPr>
        <xdr:cNvSpPr txBox="1"/>
      </xdr:nvSpPr>
      <xdr:spPr>
        <a:xfrm>
          <a:off x="2497822" y="332581"/>
          <a:ext cx="19758474" cy="7850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s-MX" sz="4000" b="1">
              <a:solidFill>
                <a:schemeClr val="accent5">
                  <a:lumMod val="75000"/>
                </a:schemeClr>
              </a:solidFill>
            </a:rPr>
            <a:t>Deployment</a:t>
          </a:r>
          <a:r>
            <a:rPr lang="es-MX" sz="4000" b="1" baseline="0">
              <a:solidFill>
                <a:schemeClr val="accent5">
                  <a:lumMod val="75000"/>
                </a:schemeClr>
              </a:solidFill>
            </a:rPr>
            <a:t> Tracking &amp; KPIs</a:t>
          </a:r>
          <a:endParaRPr lang="es-MX" sz="4000" b="1">
            <a:solidFill>
              <a:schemeClr val="accent5">
                <a:lumMod val="75000"/>
              </a:schemeClr>
            </a:solidFill>
          </a:endParaRPr>
        </a:p>
      </xdr:txBody>
    </xdr:sp>
    <xdr:clientData/>
  </xdr:twoCellAnchor>
  <xdr:twoCellAnchor>
    <xdr:from>
      <xdr:col>3</xdr:col>
      <xdr:colOff>2489200</xdr:colOff>
      <xdr:row>4</xdr:row>
      <xdr:rowOff>81529</xdr:rowOff>
    </xdr:from>
    <xdr:to>
      <xdr:col>11</xdr:col>
      <xdr:colOff>152400</xdr:colOff>
      <xdr:row>7</xdr:row>
      <xdr:rowOff>152400</xdr:rowOff>
    </xdr:to>
    <xdr:sp macro="" textlink="">
      <xdr:nvSpPr>
        <xdr:cNvPr id="5" name="TextBox 4">
          <a:extLst>
            <a:ext uri="{FF2B5EF4-FFF2-40B4-BE49-F238E27FC236}">
              <a16:creationId xmlns:a16="http://schemas.microsoft.com/office/drawing/2014/main" id="{E239C423-D8A6-4F6B-A3AF-788A64255618}"/>
            </a:ext>
          </a:extLst>
        </xdr:cNvPr>
        <xdr:cNvSpPr txBox="1"/>
      </xdr:nvSpPr>
      <xdr:spPr>
        <a:xfrm>
          <a:off x="4546600" y="1249929"/>
          <a:ext cx="15671800" cy="68047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s-MX" sz="2800" b="0">
              <a:solidFill>
                <a:schemeClr val="tx1"/>
              </a:solidFill>
            </a:rPr>
            <a:t>User</a:t>
          </a:r>
          <a:r>
            <a:rPr lang="es-MX" sz="2800" b="0" baseline="0">
              <a:solidFill>
                <a:schemeClr val="tx1"/>
              </a:solidFill>
            </a:rPr>
            <a:t> Guide</a:t>
          </a:r>
          <a:endParaRPr lang="es-MX" sz="2800" b="0">
            <a:solidFill>
              <a:schemeClr val="tx1"/>
            </a:solidFill>
          </a:endParaRPr>
        </a:p>
      </xdr:txBody>
    </xdr:sp>
    <xdr:clientData/>
  </xdr:twoCellAnchor>
  <xdr:twoCellAnchor>
    <xdr:from>
      <xdr:col>2</xdr:col>
      <xdr:colOff>65771</xdr:colOff>
      <xdr:row>4</xdr:row>
      <xdr:rowOff>62594</xdr:rowOff>
    </xdr:from>
    <xdr:to>
      <xdr:col>18</xdr:col>
      <xdr:colOff>91440</xdr:colOff>
      <xdr:row>4</xdr:row>
      <xdr:rowOff>91440</xdr:rowOff>
    </xdr:to>
    <xdr:cxnSp macro="">
      <xdr:nvCxnSpPr>
        <xdr:cNvPr id="6" name="Straight Connector 5">
          <a:extLst>
            <a:ext uri="{FF2B5EF4-FFF2-40B4-BE49-F238E27FC236}">
              <a16:creationId xmlns:a16="http://schemas.microsoft.com/office/drawing/2014/main" id="{11BEC6B1-2A39-44EC-B1CC-31329DD863C2}"/>
            </a:ext>
          </a:extLst>
        </xdr:cNvPr>
        <xdr:cNvCxnSpPr/>
      </xdr:nvCxnSpPr>
      <xdr:spPr>
        <a:xfrm>
          <a:off x="1467851" y="1220834"/>
          <a:ext cx="35656789" cy="28846"/>
        </a:xfrm>
        <a:prstGeom prst="line">
          <a:avLst/>
        </a:prstGeom>
        <a:ln w="19050"/>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5</xdr:col>
      <xdr:colOff>615950</xdr:colOff>
      <xdr:row>13</xdr:row>
      <xdr:rowOff>76200</xdr:rowOff>
    </xdr:from>
    <xdr:to>
      <xdr:col>17</xdr:col>
      <xdr:colOff>6070804</xdr:colOff>
      <xdr:row>15</xdr:row>
      <xdr:rowOff>133350</xdr:rowOff>
    </xdr:to>
    <xdr:pic>
      <xdr:nvPicPr>
        <xdr:cNvPr id="8" name="Picture 7">
          <a:extLst>
            <a:ext uri="{FF2B5EF4-FFF2-40B4-BE49-F238E27FC236}">
              <a16:creationId xmlns:a16="http://schemas.microsoft.com/office/drawing/2014/main" id="{1BEDA8A2-2C70-4E6C-9F0F-93C7C02D7605}"/>
            </a:ext>
          </a:extLst>
        </xdr:cNvPr>
        <xdr:cNvPicPr>
          <a:picLocks noChangeAspect="1"/>
        </xdr:cNvPicPr>
      </xdr:nvPicPr>
      <xdr:blipFill>
        <a:blip xmlns:r="http://schemas.openxmlformats.org/officeDocument/2006/relationships" r:embed="rId2"/>
        <a:stretch>
          <a:fillRect/>
        </a:stretch>
      </xdr:blipFill>
      <xdr:spPr>
        <a:xfrm>
          <a:off x="4044950" y="2876550"/>
          <a:ext cx="22523654" cy="628650"/>
        </a:xfrm>
        <a:prstGeom prst="rect">
          <a:avLst/>
        </a:prstGeom>
      </xdr:spPr>
    </xdr:pic>
    <xdr:clientData/>
  </xdr:twoCellAnchor>
  <xdr:twoCellAnchor editAs="oneCell">
    <xdr:from>
      <xdr:col>17</xdr:col>
      <xdr:colOff>6092190</xdr:colOff>
      <xdr:row>31</xdr:row>
      <xdr:rowOff>152400</xdr:rowOff>
    </xdr:from>
    <xdr:to>
      <xdr:col>17</xdr:col>
      <xdr:colOff>10452738</xdr:colOff>
      <xdr:row>33</xdr:row>
      <xdr:rowOff>285750</xdr:rowOff>
    </xdr:to>
    <xdr:pic>
      <xdr:nvPicPr>
        <xdr:cNvPr id="9" name="Picture 8">
          <a:extLst>
            <a:ext uri="{FF2B5EF4-FFF2-40B4-BE49-F238E27FC236}">
              <a16:creationId xmlns:a16="http://schemas.microsoft.com/office/drawing/2014/main" id="{36E8081C-436E-4C10-BBF6-5B6DCD709545}"/>
            </a:ext>
          </a:extLst>
        </xdr:cNvPr>
        <xdr:cNvPicPr>
          <a:picLocks noChangeAspect="1"/>
        </xdr:cNvPicPr>
      </xdr:nvPicPr>
      <xdr:blipFill>
        <a:blip xmlns:r="http://schemas.openxmlformats.org/officeDocument/2006/relationships" r:embed="rId3"/>
        <a:stretch>
          <a:fillRect/>
        </a:stretch>
      </xdr:blipFill>
      <xdr:spPr>
        <a:xfrm>
          <a:off x="24151590" y="9696450"/>
          <a:ext cx="4360548" cy="819150"/>
        </a:xfrm>
        <a:prstGeom prst="rect">
          <a:avLst/>
        </a:prstGeom>
      </xdr:spPr>
    </xdr:pic>
    <xdr:clientData/>
  </xdr:twoCellAnchor>
  <xdr:twoCellAnchor editAs="oneCell">
    <xdr:from>
      <xdr:col>9</xdr:col>
      <xdr:colOff>80009</xdr:colOff>
      <xdr:row>44</xdr:row>
      <xdr:rowOff>72390</xdr:rowOff>
    </xdr:from>
    <xdr:to>
      <xdr:col>12</xdr:col>
      <xdr:colOff>274744</xdr:colOff>
      <xdr:row>48</xdr:row>
      <xdr:rowOff>87630</xdr:rowOff>
    </xdr:to>
    <xdr:pic>
      <xdr:nvPicPr>
        <xdr:cNvPr id="12" name="Picture 11">
          <a:extLst>
            <a:ext uri="{FF2B5EF4-FFF2-40B4-BE49-F238E27FC236}">
              <a16:creationId xmlns:a16="http://schemas.microsoft.com/office/drawing/2014/main" id="{4B18D75F-63BE-4C80-A35D-F7154769582C}"/>
            </a:ext>
          </a:extLst>
        </xdr:cNvPr>
        <xdr:cNvPicPr>
          <a:picLocks noChangeAspect="1"/>
        </xdr:cNvPicPr>
      </xdr:nvPicPr>
      <xdr:blipFill>
        <a:blip xmlns:r="http://schemas.openxmlformats.org/officeDocument/2006/relationships" r:embed="rId4"/>
        <a:stretch>
          <a:fillRect/>
        </a:stretch>
      </xdr:blipFill>
      <xdr:spPr>
        <a:xfrm>
          <a:off x="15262859" y="13312140"/>
          <a:ext cx="4709585" cy="1043940"/>
        </a:xfrm>
        <a:prstGeom prst="rect">
          <a:avLst/>
        </a:prstGeom>
      </xdr:spPr>
    </xdr:pic>
    <xdr:clientData/>
  </xdr:twoCellAnchor>
  <xdr:twoCellAnchor editAs="oneCell">
    <xdr:from>
      <xdr:col>9</xdr:col>
      <xdr:colOff>-1</xdr:colOff>
      <xdr:row>53</xdr:row>
      <xdr:rowOff>125730</xdr:rowOff>
    </xdr:from>
    <xdr:to>
      <xdr:col>15</xdr:col>
      <xdr:colOff>858156</xdr:colOff>
      <xdr:row>56</xdr:row>
      <xdr:rowOff>45720</xdr:rowOff>
    </xdr:to>
    <xdr:pic>
      <xdr:nvPicPr>
        <xdr:cNvPr id="14" name="Picture 13">
          <a:extLst>
            <a:ext uri="{FF2B5EF4-FFF2-40B4-BE49-F238E27FC236}">
              <a16:creationId xmlns:a16="http://schemas.microsoft.com/office/drawing/2014/main" id="{7D85226E-F8E9-4E9D-BD7A-6FAC77099EB9}"/>
            </a:ext>
          </a:extLst>
        </xdr:cNvPr>
        <xdr:cNvPicPr>
          <a:picLocks noChangeAspect="1"/>
        </xdr:cNvPicPr>
      </xdr:nvPicPr>
      <xdr:blipFill>
        <a:blip xmlns:r="http://schemas.openxmlformats.org/officeDocument/2006/relationships" r:embed="rId5"/>
        <a:stretch>
          <a:fillRect/>
        </a:stretch>
      </xdr:blipFill>
      <xdr:spPr>
        <a:xfrm>
          <a:off x="15487649" y="16794480"/>
          <a:ext cx="7430407" cy="1062990"/>
        </a:xfrm>
        <a:prstGeom prst="rect">
          <a:avLst/>
        </a:prstGeom>
      </xdr:spPr>
    </xdr:pic>
    <xdr:clientData/>
  </xdr:twoCellAnchor>
  <xdr:twoCellAnchor>
    <xdr:from>
      <xdr:col>1</xdr:col>
      <xdr:colOff>628650</xdr:colOff>
      <xdr:row>19</xdr:row>
      <xdr:rowOff>247650</xdr:rowOff>
    </xdr:from>
    <xdr:to>
      <xdr:col>17</xdr:col>
      <xdr:colOff>3555887</xdr:colOff>
      <xdr:row>19</xdr:row>
      <xdr:rowOff>260236</xdr:rowOff>
    </xdr:to>
    <xdr:cxnSp macro="">
      <xdr:nvCxnSpPr>
        <xdr:cNvPr id="18" name="Straight Connector 17">
          <a:extLst>
            <a:ext uri="{FF2B5EF4-FFF2-40B4-BE49-F238E27FC236}">
              <a16:creationId xmlns:a16="http://schemas.microsoft.com/office/drawing/2014/main" id="{5EAE8B84-93C7-4752-8066-1ECB1DDC341B}"/>
            </a:ext>
          </a:extLst>
        </xdr:cNvPr>
        <xdr:cNvCxnSpPr/>
      </xdr:nvCxnSpPr>
      <xdr:spPr>
        <a:xfrm>
          <a:off x="1314450" y="5600700"/>
          <a:ext cx="20777087" cy="12586"/>
        </a:xfrm>
        <a:prstGeom prst="line">
          <a:avLst/>
        </a:prstGeom>
        <a:ln w="19050"/>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3</xdr:col>
      <xdr:colOff>2343150</xdr:colOff>
      <xdr:row>113</xdr:row>
      <xdr:rowOff>323850</xdr:rowOff>
    </xdr:from>
    <xdr:to>
      <xdr:col>7</xdr:col>
      <xdr:colOff>2571750</xdr:colOff>
      <xdr:row>116</xdr:row>
      <xdr:rowOff>237387</xdr:rowOff>
    </xdr:to>
    <xdr:pic>
      <xdr:nvPicPr>
        <xdr:cNvPr id="19" name="Picture 18">
          <a:extLst>
            <a:ext uri="{FF2B5EF4-FFF2-40B4-BE49-F238E27FC236}">
              <a16:creationId xmlns:a16="http://schemas.microsoft.com/office/drawing/2014/main" id="{6243C57A-EAA8-4F47-9563-E223887E47DF}"/>
            </a:ext>
          </a:extLst>
        </xdr:cNvPr>
        <xdr:cNvPicPr>
          <a:picLocks noChangeAspect="1"/>
        </xdr:cNvPicPr>
      </xdr:nvPicPr>
      <xdr:blipFill>
        <a:blip xmlns:r="http://schemas.openxmlformats.org/officeDocument/2006/relationships" r:embed="rId6"/>
        <a:stretch>
          <a:fillRect/>
        </a:stretch>
      </xdr:blipFill>
      <xdr:spPr>
        <a:xfrm>
          <a:off x="4400550" y="43091100"/>
          <a:ext cx="8839200" cy="1056537"/>
        </a:xfrm>
        <a:prstGeom prst="rect">
          <a:avLst/>
        </a:prstGeom>
      </xdr:spPr>
    </xdr:pic>
    <xdr:clientData/>
  </xdr:twoCellAnchor>
  <xdr:twoCellAnchor editAs="oneCell">
    <xdr:from>
      <xdr:col>3</xdr:col>
      <xdr:colOff>1619249</xdr:colOff>
      <xdr:row>119</xdr:row>
      <xdr:rowOff>209550</xdr:rowOff>
    </xdr:from>
    <xdr:to>
      <xdr:col>9</xdr:col>
      <xdr:colOff>1759106</xdr:colOff>
      <xdr:row>123</xdr:row>
      <xdr:rowOff>304800</xdr:rowOff>
    </xdr:to>
    <xdr:pic>
      <xdr:nvPicPr>
        <xdr:cNvPr id="20" name="Picture 19">
          <a:extLst>
            <a:ext uri="{FF2B5EF4-FFF2-40B4-BE49-F238E27FC236}">
              <a16:creationId xmlns:a16="http://schemas.microsoft.com/office/drawing/2014/main" id="{02FDDFD9-4301-486C-9C4B-CD3633739F82}"/>
            </a:ext>
          </a:extLst>
        </xdr:cNvPr>
        <xdr:cNvPicPr>
          <a:picLocks noChangeAspect="1"/>
        </xdr:cNvPicPr>
      </xdr:nvPicPr>
      <xdr:blipFill>
        <a:blip xmlns:r="http://schemas.openxmlformats.org/officeDocument/2006/relationships" r:embed="rId7"/>
        <a:stretch>
          <a:fillRect/>
        </a:stretch>
      </xdr:blipFill>
      <xdr:spPr>
        <a:xfrm>
          <a:off x="3676649" y="45262800"/>
          <a:ext cx="14274957" cy="1619250"/>
        </a:xfrm>
        <a:prstGeom prst="rect">
          <a:avLst/>
        </a:prstGeom>
      </xdr:spPr>
    </xdr:pic>
    <xdr:clientData/>
  </xdr:twoCellAnchor>
  <xdr:twoCellAnchor>
    <xdr:from>
      <xdr:col>2</xdr:col>
      <xdr:colOff>19050</xdr:colOff>
      <xdr:row>95</xdr:row>
      <xdr:rowOff>0</xdr:rowOff>
    </xdr:from>
    <xdr:to>
      <xdr:col>17</xdr:col>
      <xdr:colOff>11696700</xdr:colOff>
      <xdr:row>95</xdr:row>
      <xdr:rowOff>57150</xdr:rowOff>
    </xdr:to>
    <xdr:cxnSp macro="">
      <xdr:nvCxnSpPr>
        <xdr:cNvPr id="21" name="Straight Connector 20">
          <a:extLst>
            <a:ext uri="{FF2B5EF4-FFF2-40B4-BE49-F238E27FC236}">
              <a16:creationId xmlns:a16="http://schemas.microsoft.com/office/drawing/2014/main" id="{A110F50C-4BDE-4FC7-83CA-CDBCBE8C4AEF}"/>
            </a:ext>
          </a:extLst>
        </xdr:cNvPr>
        <xdr:cNvCxnSpPr/>
      </xdr:nvCxnSpPr>
      <xdr:spPr>
        <a:xfrm flipV="1">
          <a:off x="1390650" y="35623500"/>
          <a:ext cx="28841700" cy="57150"/>
        </a:xfrm>
        <a:prstGeom prst="line">
          <a:avLst/>
        </a:prstGeom>
        <a:ln w="19050"/>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5</xdr:col>
      <xdr:colOff>590550</xdr:colOff>
      <xdr:row>16</xdr:row>
      <xdr:rowOff>304800</xdr:rowOff>
    </xdr:from>
    <xdr:to>
      <xdr:col>17</xdr:col>
      <xdr:colOff>3367126</xdr:colOff>
      <xdr:row>18</xdr:row>
      <xdr:rowOff>57150</xdr:rowOff>
    </xdr:to>
    <xdr:pic>
      <xdr:nvPicPr>
        <xdr:cNvPr id="23" name="Picture 22">
          <a:extLst>
            <a:ext uri="{FF2B5EF4-FFF2-40B4-BE49-F238E27FC236}">
              <a16:creationId xmlns:a16="http://schemas.microsoft.com/office/drawing/2014/main" id="{F37D3ECC-0824-4259-BB49-D8184FABD007}"/>
            </a:ext>
          </a:extLst>
        </xdr:cNvPr>
        <xdr:cNvPicPr>
          <a:picLocks noChangeAspect="1"/>
        </xdr:cNvPicPr>
      </xdr:nvPicPr>
      <xdr:blipFill>
        <a:blip xmlns:r="http://schemas.openxmlformats.org/officeDocument/2006/relationships" r:embed="rId8"/>
        <a:stretch>
          <a:fillRect/>
        </a:stretch>
      </xdr:blipFill>
      <xdr:spPr>
        <a:xfrm>
          <a:off x="8382000" y="4781550"/>
          <a:ext cx="19845376" cy="51435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56</xdr:row>
      <xdr:rowOff>0</xdr:rowOff>
    </xdr:from>
    <xdr:to>
      <xdr:col>15</xdr:col>
      <xdr:colOff>228600</xdr:colOff>
      <xdr:row>78</xdr:row>
      <xdr:rowOff>147639</xdr:rowOff>
    </xdr:to>
    <xdr:graphicFrame macro="">
      <xdr:nvGraphicFramePr>
        <xdr:cNvPr id="5" name="Chart 4">
          <a:extLst>
            <a:ext uri="{FF2B5EF4-FFF2-40B4-BE49-F238E27FC236}">
              <a16:creationId xmlns:a16="http://schemas.microsoft.com/office/drawing/2014/main" id="{DF1A3FA3-9A66-49B4-97EA-3B3E255B314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0</xdr:colOff>
      <xdr:row>4</xdr:row>
      <xdr:rowOff>0</xdr:rowOff>
    </xdr:from>
    <xdr:to>
      <xdr:col>15</xdr:col>
      <xdr:colOff>228600</xdr:colOff>
      <xdr:row>26</xdr:row>
      <xdr:rowOff>147639</xdr:rowOff>
    </xdr:to>
    <xdr:graphicFrame macro="">
      <xdr:nvGraphicFramePr>
        <xdr:cNvPr id="6" name="Chart 5">
          <a:extLst>
            <a:ext uri="{FF2B5EF4-FFF2-40B4-BE49-F238E27FC236}">
              <a16:creationId xmlns:a16="http://schemas.microsoft.com/office/drawing/2014/main" id="{C18633F8-76D2-4680-8C95-BC022D3D87E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0</xdr:colOff>
      <xdr:row>82</xdr:row>
      <xdr:rowOff>0</xdr:rowOff>
    </xdr:from>
    <xdr:to>
      <xdr:col>15</xdr:col>
      <xdr:colOff>228600</xdr:colOff>
      <xdr:row>104</xdr:row>
      <xdr:rowOff>147639</xdr:rowOff>
    </xdr:to>
    <xdr:graphicFrame macro="">
      <xdr:nvGraphicFramePr>
        <xdr:cNvPr id="7" name="Chart 6">
          <a:extLst>
            <a:ext uri="{FF2B5EF4-FFF2-40B4-BE49-F238E27FC236}">
              <a16:creationId xmlns:a16="http://schemas.microsoft.com/office/drawing/2014/main" id="{9CAF1ABE-D1D3-4F6F-A211-7845C1A1054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xdr:col>
      <xdr:colOff>0</xdr:colOff>
      <xdr:row>108</xdr:row>
      <xdr:rowOff>0</xdr:rowOff>
    </xdr:from>
    <xdr:to>
      <xdr:col>15</xdr:col>
      <xdr:colOff>228600</xdr:colOff>
      <xdr:row>130</xdr:row>
      <xdr:rowOff>147639</xdr:rowOff>
    </xdr:to>
    <xdr:graphicFrame macro="">
      <xdr:nvGraphicFramePr>
        <xdr:cNvPr id="8" name="Chart 7">
          <a:extLst>
            <a:ext uri="{FF2B5EF4-FFF2-40B4-BE49-F238E27FC236}">
              <a16:creationId xmlns:a16="http://schemas.microsoft.com/office/drawing/2014/main" id="{63DFC39F-5416-45C7-A38B-D987DBFD43D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xdr:col>
      <xdr:colOff>0</xdr:colOff>
      <xdr:row>134</xdr:row>
      <xdr:rowOff>0</xdr:rowOff>
    </xdr:from>
    <xdr:to>
      <xdr:col>15</xdr:col>
      <xdr:colOff>228600</xdr:colOff>
      <xdr:row>156</xdr:row>
      <xdr:rowOff>147639</xdr:rowOff>
    </xdr:to>
    <xdr:graphicFrame macro="">
      <xdr:nvGraphicFramePr>
        <xdr:cNvPr id="9" name="Chart 8">
          <a:extLst>
            <a:ext uri="{FF2B5EF4-FFF2-40B4-BE49-F238E27FC236}">
              <a16:creationId xmlns:a16="http://schemas.microsoft.com/office/drawing/2014/main" id="{55A023FB-4498-4F43-9B03-889F8CEC98E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xdr:col>
      <xdr:colOff>0</xdr:colOff>
      <xdr:row>160</xdr:row>
      <xdr:rowOff>0</xdr:rowOff>
    </xdr:from>
    <xdr:to>
      <xdr:col>15</xdr:col>
      <xdr:colOff>228600</xdr:colOff>
      <xdr:row>182</xdr:row>
      <xdr:rowOff>147639</xdr:rowOff>
    </xdr:to>
    <xdr:graphicFrame macro="">
      <xdr:nvGraphicFramePr>
        <xdr:cNvPr id="10" name="Chart 9">
          <a:extLst>
            <a:ext uri="{FF2B5EF4-FFF2-40B4-BE49-F238E27FC236}">
              <a16:creationId xmlns:a16="http://schemas.microsoft.com/office/drawing/2014/main" id="{5344AA2D-E891-4AD0-A234-4F5A404FE2D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xdr:col>
      <xdr:colOff>0</xdr:colOff>
      <xdr:row>186</xdr:row>
      <xdr:rowOff>0</xdr:rowOff>
    </xdr:from>
    <xdr:to>
      <xdr:col>15</xdr:col>
      <xdr:colOff>228600</xdr:colOff>
      <xdr:row>208</xdr:row>
      <xdr:rowOff>147639</xdr:rowOff>
    </xdr:to>
    <xdr:graphicFrame macro="">
      <xdr:nvGraphicFramePr>
        <xdr:cNvPr id="12" name="Chart 11">
          <a:extLst>
            <a:ext uri="{FF2B5EF4-FFF2-40B4-BE49-F238E27FC236}">
              <a16:creationId xmlns:a16="http://schemas.microsoft.com/office/drawing/2014/main" id="{FAADF644-2669-4BF5-B185-F16C311E26E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xdr:col>
      <xdr:colOff>0</xdr:colOff>
      <xdr:row>212</xdr:row>
      <xdr:rowOff>0</xdr:rowOff>
    </xdr:from>
    <xdr:to>
      <xdr:col>15</xdr:col>
      <xdr:colOff>228600</xdr:colOff>
      <xdr:row>234</xdr:row>
      <xdr:rowOff>147639</xdr:rowOff>
    </xdr:to>
    <xdr:graphicFrame macro="">
      <xdr:nvGraphicFramePr>
        <xdr:cNvPr id="13" name="Chart 12">
          <a:extLst>
            <a:ext uri="{FF2B5EF4-FFF2-40B4-BE49-F238E27FC236}">
              <a16:creationId xmlns:a16="http://schemas.microsoft.com/office/drawing/2014/main" id="{3869FD9E-3C2A-45D5-BC94-FF8F53A3FD6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xdr:col>
      <xdr:colOff>0</xdr:colOff>
      <xdr:row>238</xdr:row>
      <xdr:rowOff>0</xdr:rowOff>
    </xdr:from>
    <xdr:to>
      <xdr:col>15</xdr:col>
      <xdr:colOff>228600</xdr:colOff>
      <xdr:row>260</xdr:row>
      <xdr:rowOff>147639</xdr:rowOff>
    </xdr:to>
    <xdr:graphicFrame macro="">
      <xdr:nvGraphicFramePr>
        <xdr:cNvPr id="14" name="Chart 13">
          <a:extLst>
            <a:ext uri="{FF2B5EF4-FFF2-40B4-BE49-F238E27FC236}">
              <a16:creationId xmlns:a16="http://schemas.microsoft.com/office/drawing/2014/main" id="{B2F1DB50-FE5B-48A9-9D10-D8ECD3EFB8B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xdr:col>
      <xdr:colOff>0</xdr:colOff>
      <xdr:row>271</xdr:row>
      <xdr:rowOff>179295</xdr:rowOff>
    </xdr:from>
    <xdr:to>
      <xdr:col>15</xdr:col>
      <xdr:colOff>228600</xdr:colOff>
      <xdr:row>286</xdr:row>
      <xdr:rowOff>147639</xdr:rowOff>
    </xdr:to>
    <xdr:graphicFrame macro="">
      <xdr:nvGraphicFramePr>
        <xdr:cNvPr id="15" name="Chart 14">
          <a:extLst>
            <a:ext uri="{FF2B5EF4-FFF2-40B4-BE49-F238E27FC236}">
              <a16:creationId xmlns:a16="http://schemas.microsoft.com/office/drawing/2014/main" id="{0C1D254E-F0FD-4C14-85C1-71C33B8C7AC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17</xdr:col>
      <xdr:colOff>0</xdr:colOff>
      <xdr:row>4</xdr:row>
      <xdr:rowOff>0</xdr:rowOff>
    </xdr:from>
    <xdr:to>
      <xdr:col>31</xdr:col>
      <xdr:colOff>228600</xdr:colOff>
      <xdr:row>26</xdr:row>
      <xdr:rowOff>147639</xdr:rowOff>
    </xdr:to>
    <xdr:graphicFrame macro="">
      <xdr:nvGraphicFramePr>
        <xdr:cNvPr id="16" name="Chart 15">
          <a:extLst>
            <a:ext uri="{FF2B5EF4-FFF2-40B4-BE49-F238E27FC236}">
              <a16:creationId xmlns:a16="http://schemas.microsoft.com/office/drawing/2014/main" id="{EBD06D26-CE18-4038-8CA5-73CBCFE3F65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1</xdr:col>
      <xdr:colOff>0</xdr:colOff>
      <xdr:row>30</xdr:row>
      <xdr:rowOff>0</xdr:rowOff>
    </xdr:from>
    <xdr:to>
      <xdr:col>15</xdr:col>
      <xdr:colOff>228600</xdr:colOff>
      <xdr:row>52</xdr:row>
      <xdr:rowOff>147639</xdr:rowOff>
    </xdr:to>
    <xdr:graphicFrame macro="">
      <xdr:nvGraphicFramePr>
        <xdr:cNvPr id="17" name="Chart 16">
          <a:extLst>
            <a:ext uri="{FF2B5EF4-FFF2-40B4-BE49-F238E27FC236}">
              <a16:creationId xmlns:a16="http://schemas.microsoft.com/office/drawing/2014/main" id="{DC4043C9-93BF-4AD8-88D4-942A356151F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16</xdr:col>
      <xdr:colOff>0</xdr:colOff>
      <xdr:row>33</xdr:row>
      <xdr:rowOff>0</xdr:rowOff>
    </xdr:from>
    <xdr:to>
      <xdr:col>30</xdr:col>
      <xdr:colOff>228600</xdr:colOff>
      <xdr:row>55</xdr:row>
      <xdr:rowOff>147639</xdr:rowOff>
    </xdr:to>
    <xdr:graphicFrame macro="">
      <xdr:nvGraphicFramePr>
        <xdr:cNvPr id="3" name="Chart 2">
          <a:extLst>
            <a:ext uri="{FF2B5EF4-FFF2-40B4-BE49-F238E27FC236}">
              <a16:creationId xmlns:a16="http://schemas.microsoft.com/office/drawing/2014/main" id="{E781DA5E-31EC-40D3-8B72-D816D097C1C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0</xdr:colOff>
      <xdr:row>4</xdr:row>
      <xdr:rowOff>0</xdr:rowOff>
    </xdr:from>
    <xdr:to>
      <xdr:col>15</xdr:col>
      <xdr:colOff>31750</xdr:colOff>
      <xdr:row>25</xdr:row>
      <xdr:rowOff>174625</xdr:rowOff>
    </xdr:to>
    <xdr:graphicFrame macro="">
      <xdr:nvGraphicFramePr>
        <xdr:cNvPr id="5" name="Chart 4">
          <a:extLst>
            <a:ext uri="{FF2B5EF4-FFF2-40B4-BE49-F238E27FC236}">
              <a16:creationId xmlns:a16="http://schemas.microsoft.com/office/drawing/2014/main" id="{D423C1F2-908B-418B-A936-82E403F0411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0</xdr:colOff>
      <xdr:row>33</xdr:row>
      <xdr:rowOff>0</xdr:rowOff>
    </xdr:from>
    <xdr:to>
      <xdr:col>15</xdr:col>
      <xdr:colOff>228600</xdr:colOff>
      <xdr:row>55</xdr:row>
      <xdr:rowOff>147639</xdr:rowOff>
    </xdr:to>
    <xdr:graphicFrame macro="">
      <xdr:nvGraphicFramePr>
        <xdr:cNvPr id="8" name="Chart 7">
          <a:extLst>
            <a:ext uri="{FF2B5EF4-FFF2-40B4-BE49-F238E27FC236}">
              <a16:creationId xmlns:a16="http://schemas.microsoft.com/office/drawing/2014/main" id="{EEC75692-5B99-42B3-8E08-D81E7F9CC5D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xdr:col>
      <xdr:colOff>0</xdr:colOff>
      <xdr:row>65</xdr:row>
      <xdr:rowOff>0</xdr:rowOff>
    </xdr:from>
    <xdr:to>
      <xdr:col>15</xdr:col>
      <xdr:colOff>228600</xdr:colOff>
      <xdr:row>86</xdr:row>
      <xdr:rowOff>147639</xdr:rowOff>
    </xdr:to>
    <xdr:graphicFrame macro="">
      <xdr:nvGraphicFramePr>
        <xdr:cNvPr id="12" name="Chart 11">
          <a:extLst>
            <a:ext uri="{FF2B5EF4-FFF2-40B4-BE49-F238E27FC236}">
              <a16:creationId xmlns:a16="http://schemas.microsoft.com/office/drawing/2014/main" id="{24179BF4-16CD-495E-BD33-AC3C14F8CA2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16</xdr:col>
      <xdr:colOff>0</xdr:colOff>
      <xdr:row>3</xdr:row>
      <xdr:rowOff>174171</xdr:rowOff>
    </xdr:from>
    <xdr:to>
      <xdr:col>30</xdr:col>
      <xdr:colOff>228600</xdr:colOff>
      <xdr:row>26</xdr:row>
      <xdr:rowOff>10886</xdr:rowOff>
    </xdr:to>
    <xdr:graphicFrame macro="">
      <xdr:nvGraphicFramePr>
        <xdr:cNvPr id="14" name="Chart 13">
          <a:extLst>
            <a:ext uri="{FF2B5EF4-FFF2-40B4-BE49-F238E27FC236}">
              <a16:creationId xmlns:a16="http://schemas.microsoft.com/office/drawing/2014/main" id="{4920B2F1-2C5E-4D03-AC5E-BBECA490C31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4</xdr:col>
      <xdr:colOff>170872</xdr:colOff>
      <xdr:row>3</xdr:row>
      <xdr:rowOff>11545</xdr:rowOff>
    </xdr:from>
    <xdr:to>
      <xdr:col>9</xdr:col>
      <xdr:colOff>170872</xdr:colOff>
      <xdr:row>19</xdr:row>
      <xdr:rowOff>53138</xdr:rowOff>
    </xdr:to>
    <xdr:graphicFrame macro="">
      <xdr:nvGraphicFramePr>
        <xdr:cNvPr id="2" name="Chart 1">
          <a:extLst>
            <a:ext uri="{FF2B5EF4-FFF2-40B4-BE49-F238E27FC236}">
              <a16:creationId xmlns:a16="http://schemas.microsoft.com/office/drawing/2014/main" id="{71652C7B-4182-414D-A256-8899D097B7B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14287</xdr:colOff>
      <xdr:row>20</xdr:row>
      <xdr:rowOff>38099</xdr:rowOff>
    </xdr:from>
    <xdr:to>
      <xdr:col>7</xdr:col>
      <xdr:colOff>200025</xdr:colOff>
      <xdr:row>29</xdr:row>
      <xdr:rowOff>138111</xdr:rowOff>
    </xdr:to>
    <xdr:graphicFrame macro="">
      <xdr:nvGraphicFramePr>
        <xdr:cNvPr id="3" name="Chart 2">
          <a:extLst>
            <a:ext uri="{FF2B5EF4-FFF2-40B4-BE49-F238E27FC236}">
              <a16:creationId xmlns:a16="http://schemas.microsoft.com/office/drawing/2014/main" id="{0A256F16-96AF-41E3-9030-D6A87DDA05D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10</xdr:col>
      <xdr:colOff>606592</xdr:colOff>
      <xdr:row>2</xdr:row>
      <xdr:rowOff>193998</xdr:rowOff>
    </xdr:from>
    <xdr:to>
      <xdr:col>18</xdr:col>
      <xdr:colOff>46182</xdr:colOff>
      <xdr:row>38</xdr:row>
      <xdr:rowOff>28171</xdr:rowOff>
    </xdr:to>
    <xdr:graphicFrame macro="">
      <xdr:nvGraphicFramePr>
        <xdr:cNvPr id="4" name="Chart 3">
          <a:extLst>
            <a:ext uri="{FF2B5EF4-FFF2-40B4-BE49-F238E27FC236}">
              <a16:creationId xmlns:a16="http://schemas.microsoft.com/office/drawing/2014/main" id="{92B2BC8C-6983-4C63-A178-E6234638BB6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edgor/AppData/Local/Temp/Tech%20Solutions%20Matrix_3.12.2019.xlsm"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L:\Prueba.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
      <sheetName val="1. Repository"/>
      <sheetName val="2. RAN"/>
      <sheetName val="3. MW Backhaul"/>
      <sheetName val="4. POWER &amp; SOLAR"/>
      <sheetName val="5. OpenRAN"/>
      <sheetName val="6. NIB"/>
      <sheetName val="7. HeNB Gateway"/>
      <sheetName val="Parameter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illing"/>
      <sheetName val="LMOE"/>
      <sheetName val="LMOA"/>
      <sheetName val="SCOE"/>
      <sheetName val="SCOA"/>
      <sheetName val="IF"/>
      <sheetName val="IF2"/>
      <sheetName val="IOE"/>
      <sheetName val="IOE2"/>
      <sheetName val="IMI"/>
      <sheetName val="VOE"/>
      <sheetName val="VOA"/>
      <sheetName val="MDOC"/>
      <sheetName val="MDSE"/>
      <sheetName val="MDST"/>
      <sheetName val="MDSA"/>
      <sheetName val="CE"/>
      <sheetName val="MRST"/>
      <sheetName val="AE"/>
      <sheetName val="RCS"/>
      <sheetName val="Datos"/>
      <sheetName val="RF01"/>
      <sheetName val="RF06R"/>
      <sheetName val="RF06A"/>
      <sheetName val="RF07"/>
      <sheetName val="DIA01"/>
      <sheetName val="DIA02"/>
      <sheetName val="DIA03-48"/>
      <sheetName val="DIA03+24"/>
      <sheetName val="DIA04"/>
      <sheetName val="REI"/>
      <sheetName val="RFotos"/>
      <sheetName val="RFotosMA"/>
      <sheetName val="ROE"/>
      <sheetName val="CACEP"/>
      <sheetName val="Portada"/>
      <sheetName val="PF"/>
      <sheetName val="LomoN"/>
      <sheetName val="BM"/>
      <sheetName val="RMF"/>
      <sheetName val="EC"/>
      <sheetName val="LVS"/>
      <sheetName val="CD"/>
      <sheetName val="SC"/>
      <sheetName val="LomoE"/>
      <sheetName val="RF06"/>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refreshError="1"/>
    </sheetDataSet>
  </externalBook>
</externalLink>
</file>

<file path=xl/persons/person.xml><?xml version="1.0" encoding="utf-8"?>
<personList xmlns="http://schemas.microsoft.com/office/spreadsheetml/2018/threadedcomments" xmlns:x="http://schemas.openxmlformats.org/spreadsheetml/2006/main">
  <person displayName="emmanuel quetzalcoatl duarte reynoso" id="{E642C3C9-22A3-4C69-8334-DCE799A2FE58}" userId="emmanuel quetzalcoatl duarte reynoso" providerId="None"/>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8C61AD5-63B7-40A8-9159-DD692FA7E152}" name="Table_Parametric_Estimates" displayName="Table_Parametric_Estimates" ref="B8:G15" totalsRowShown="0">
  <autoFilter ref="B8:G15" xr:uid="{8FAA8CED-8E69-41F6-A090-6B6329D31A22}"/>
  <tableColumns count="6">
    <tableColumn id="1" xr3:uid="{081E5B91-AD60-4CC4-ADAF-0E3D7C1F6C3C}" name="ID" dataDxfId="261"/>
    <tableColumn id="2" xr3:uid="{C6E4B8EA-E5D8-4FA4-A4C1-B682724F5464}" name="Effort Hours" dataDxfId="260"/>
    <tableColumn id="3" xr3:uid="{21459845-093A-4EC7-8AFF-0804CA9644BC}" name="Resource Quantity" dataDxfId="259"/>
    <tableColumn id="4" xr3:uid="{38E72DE1-A4B0-47BF-9D13-7EAA67F571C0}" name="% Available" dataDxfId="258"/>
    <tableColumn id="5" xr3:uid="{23CF0725-B32D-4BB2-AEC8-9E14A0B4BE6D}" name="Performance Factor" dataDxfId="257"/>
    <tableColumn id="6" xr3:uid="{536C645D-D63D-4B69-B414-83EB8A0E117E}" name="Duration Estimate" dataDxfId="256">
      <calculatedColumnFormula>IFERROR(Table_Parametric_Estimates[[#This Row],[Effort Hours]]/Table_Parametric_Estimates[[#This Row],[Resource Quantity]]/Table_Parametric_Estimates[[#This Row],[% Available]]/Table_Parametric_Estimates[[#This Row],[Performance Factor]],"")</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B75B3B9-6312-41D3-B71C-B65EF7984DAF}" name="Table_Analogous_Estimating" displayName="Table_Analogous_Estimating" ref="B18:G25" totalsRowShown="0">
  <autoFilter ref="B18:G25" xr:uid="{3523A359-8B1B-45B1-A602-A54A21A395E3}"/>
  <tableColumns count="6">
    <tableColumn id="1" xr3:uid="{3CE475B6-D53D-4381-B8EB-D2EE01506DB2}" name="ID" dataDxfId="255"/>
    <tableColumn id="2" xr3:uid="{823699AC-9A28-4F40-9835-B938C953E27D}" name="Previous Task" dataDxfId="254"/>
    <tableColumn id="3" xr3:uid="{32F72636-C15E-48EA-A985-D810F9FAE383}" name="Previous Duration" dataDxfId="253"/>
    <tableColumn id="4" xr3:uid="{E751F152-D6E8-4C2E-9D02-495E771AE0BA}" name="Current Task" dataDxfId="252"/>
    <tableColumn id="5" xr3:uid="{6349953D-FE0E-4F42-B00E-F6E1C454FDE2}" name="Multiplier" dataDxfId="251"/>
    <tableColumn id="6" xr3:uid="{579E1E77-2240-4392-8BE0-0D0A513959FC}" name="Duration Estimate" dataDxfId="250">
      <calculatedColumnFormula>Table_Analogous_Estimating[[#This Row],[Previous Duration]]*Table_Analogous_Estimating[[#This Row],[Multiplier]]</calculatedColumnFormula>
    </tableColumn>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39CF94E-B0EF-4519-82EA-EE2796558224}" name="Table_ThreePoint_Estimates" displayName="Table_ThreePoint_Estimates" ref="B28:G39" totalsRowShown="0">
  <autoFilter ref="B28:G39" xr:uid="{5DF9C419-FDF9-411C-9468-210481AD086C}"/>
  <tableColumns count="6">
    <tableColumn id="1" xr3:uid="{0D3FFEAF-9492-416F-8B7F-F43D499ECDB9}" name="ID" dataDxfId="249"/>
    <tableColumn id="2" xr3:uid="{59F5BECC-EAD7-4457-BF52-5F9D8484E902}" name="Optimistic Duration" dataDxfId="248"/>
    <tableColumn id="3" xr3:uid="{BFCDB7A8-31F3-457A-A0D4-9A3FB3DE71DB}" name="Most Likely Duration" dataDxfId="247"/>
    <tableColumn id="4" xr3:uid="{967FC3C9-BD32-4515-8BE2-36A6725E01A2}" name="Pessimistic Duration" dataDxfId="246"/>
    <tableColumn id="5" xr3:uid="{B010B73F-D392-425C-91FB-DEDE7DF9683F}" name="Weighting Equation" dataDxfId="245"/>
    <tableColumn id="6" xr3:uid="{599A7482-CC94-42BC-A47C-1A7C57194C63}" name="Expected Duration Estimate" dataDxfId="244">
      <calculatedColumnFormula>(Table_ThreePoint_Estimates[[#This Row],[Optimistic Duration]]+4*Table_ThreePoint_Estimates[[#This Row],[Most Likely Duration]]+Table_ThreePoint_Estimates[[#This Row],[Pessimistic Duration]])/6</calculatedColumnFormula>
    </tableColumn>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4E718946-C950-4A65-B726-B6288EC3BAD5}" name="Table_CostParametric" displayName="Table_CostParametric" ref="B8:F18" totalsRowShown="0">
  <autoFilter ref="B8:F18" xr:uid="{8FAA8CED-8E69-41F6-A090-6B6329D31A22}"/>
  <tableColumns count="5">
    <tableColumn id="1" xr3:uid="{5FA1D4EF-BDE2-4AFF-AF90-6D1B89685894}" name="ID" dataDxfId="243"/>
    <tableColumn id="2" xr3:uid="{9A3538E4-75E6-4426-8F8B-1DAE763B3167}" name="Cost Variable" dataDxfId="242"/>
    <tableColumn id="3" xr3:uid="{28E473C5-7F25-4E04-A4CB-6C4D59B85558}" name="Cost per Unit" dataDxfId="241"/>
    <tableColumn id="4" xr3:uid="{052A129B-EC31-4A7B-BD05-A254613BADFB}" name="Number of Units" dataDxfId="240"/>
    <tableColumn id="5" xr3:uid="{06708505-B9CC-46B5-BCB2-31A3BB9F0B0D}" name="Cost Estimate" dataDxfId="239">
      <calculatedColumnFormula>Table_CostParametric[[#This Row],[Cost per Unit]]*Table_CostParametric[[#This Row],[Number of Units]]</calculatedColumnFormula>
    </tableColumn>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2F7C57E4-67AF-43A5-8B76-DF891F17EF90}" name="Table_Analogous_Estimating6" displayName="Table_Analogous_Estimating6" ref="B21:G28" totalsRowShown="0">
  <autoFilter ref="B21:G28" xr:uid="{3523A359-8B1B-45B1-A602-A54A21A395E3}"/>
  <tableColumns count="6">
    <tableColumn id="1" xr3:uid="{8B597222-DD59-462D-B4B2-23692367E34E}" name="ID" dataDxfId="238"/>
    <tableColumn id="2" xr3:uid="{3BA1A73D-C10A-4584-A0F8-4912BBD01997}" name="Previous Activity" dataDxfId="237"/>
    <tableColumn id="3" xr3:uid="{4770E044-EF6A-4B3E-A88E-E09FFDDBDDBC}" name="Previous Cost" dataDxfId="236"/>
    <tableColumn id="4" xr3:uid="{7F5FBDA5-6E6B-459E-84B4-CC079BF19CE9}" name="Current Activity" dataDxfId="235"/>
    <tableColumn id="5" xr3:uid="{F581688F-5759-44E6-ADE7-23C12B0E58F2}" name="Multiplier" dataDxfId="234"/>
    <tableColumn id="6" xr3:uid="{40BE72FA-9C66-4812-ADA1-BAEA3E222116}" name="Cost Estimate" dataDxfId="233">
      <calculatedColumnFormula>Table_Analogous_Estimating6[[#This Row],[Previous Cost]]*Table_Analogous_Estimating6[[#This Row],[Multiplier]]</calculatedColumnFormula>
    </tableColumn>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15CFC66D-F9A4-4F28-9E2C-CD9F09C53033}" name="Table_CostThreePoint_Estimates" displayName="Table_CostThreePoint_Estimates" ref="B31:G42">
  <autoFilter ref="B31:G42" xr:uid="{5DF9C419-FDF9-411C-9468-210481AD086C}"/>
  <tableColumns count="6">
    <tableColumn id="1" xr3:uid="{0F0D1544-6511-41C2-8DE9-06505BFEB16A}" name="ID" dataDxfId="232" totalsRowDxfId="231"/>
    <tableColumn id="2" xr3:uid="{9F537AA2-C574-4BE1-BDE4-7B79557A763E}" name="Optimistic_Cost" dataDxfId="230" totalsRowDxfId="229"/>
    <tableColumn id="3" xr3:uid="{A04E7CF8-FA56-43BE-B2CE-8027CB022AF0}" name="Most_Likely_Cost" dataDxfId="228" totalsRowDxfId="227"/>
    <tableColumn id="4" xr3:uid="{95AB45E6-F7CA-4593-A7E2-91606EBD10CC}" name="Pessimistic_Cost" dataDxfId="226" totalsRowDxfId="225"/>
    <tableColumn id="5" xr3:uid="{808D78F5-A045-4256-8473-05578F606019}" name="Weighting_Equation" dataDxfId="224" totalsRowDxfId="223"/>
    <tableColumn id="6" xr3:uid="{38FFADAD-0E67-4395-A143-41241D192749}" name="Expected_Cost_Estimate" totalsRowFunction="sum" dataDxfId="222" totalsRowDxfId="221">
      <calculatedColumnFormula>(Table_CostThreePoint_Estimates[[#This Row],[Optimistic_Cost]]+4*Table_CostThreePoint_Estimates[[#This Row],[Most_Likely_Cost]]+Table_CostThreePoint_Estimates[[#This Row],[Pessimistic_Cost]])/6</calculatedColumnFormula>
    </tableColumn>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00E2A97A-F3E0-4132-A6AE-F4D912ECD8DC}" name="Table_LLDTrackingSheet" displayName="Table_LLDTrackingSheet" ref="A3:I107" totalsRowShown="0" headerRowDxfId="220" tableBorderDxfId="219">
  <autoFilter ref="A3:I107" xr:uid="{87E415C0-A8FA-42CA-B028-97D3D3B09E21}"/>
  <tableColumns count="9">
    <tableColumn id="1" xr3:uid="{241AD304-9820-4804-95F2-765B8226D2A9}" name="SiteID" dataDxfId="218"/>
    <tableColumn id="2" xr3:uid="{7F140BFA-1005-487C-BC45-5DDCD41C4106}" name="Region" dataDxfId="217"/>
    <tableColumn id="3" xr3:uid="{220CE061-C878-4AA8-A6C4-075F63CF679E}" name="District" dataDxfId="216"/>
    <tableColumn id="4" xr3:uid="{D5582A90-E53C-4DA6-AA66-146B46D72BBD}" name="SiteConfig" dataDxfId="215"/>
    <tableColumn id="5" xr3:uid="{C0AEB0F2-90B4-4090-8D28-CF537D413DE9}" name="LLDIterationNum" dataDxfId="214"/>
    <tableColumn id="9" xr3:uid="{5ECCC060-2754-415C-974B-F815127BEAE1}" name="LLD_ID">
      <calculatedColumnFormula>Table_LLDTrackingSheet[[#This Row],[SiteID]]&amp;"_"&amp;Table_LLDTrackingSheet[[#This Row],[LLDIterationNum]]</calculatedColumnFormula>
    </tableColumn>
    <tableColumn id="6" xr3:uid="{D262BD1C-0E65-4FB2-B6C5-0778B3F1BF79}" name="LLDIterationEndDate" dataDxfId="213"/>
    <tableColumn id="7" xr3:uid="{8246AC54-5040-4F81-89B6-DC46E8572672}" name="Change" dataDxfId="212"/>
    <tableColumn id="8" xr3:uid="{686DC886-CAE9-4DD5-AC59-A8A95A55A82A}" name="Remark" dataDxfId="211"/>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1F32E73A-F87E-4D44-8C6C-E45920DBD163}" name="Table_LLDTrackingSummary" displayName="Table_LLDTrackingSummary" ref="A4:I104" totalsRowShown="0">
  <autoFilter ref="A4:I104" xr:uid="{8E5092DF-E1EC-4121-A016-0BD45A5E6042}"/>
  <tableColumns count="9">
    <tableColumn id="1" xr3:uid="{6C7AE415-C9FD-490B-8C5E-1AEBDDA2C205}" name="SiteID" dataDxfId="210"/>
    <tableColumn id="2" xr3:uid="{160140ED-9C1C-4194-84A2-DF5B03C5211E}" name="Region" dataDxfId="209"/>
    <tableColumn id="3" xr3:uid="{72684928-3270-46B6-AB00-17CDAF0C8CD8}" name="District" dataDxfId="208"/>
    <tableColumn id="4" xr3:uid="{4A8F2BAF-35F4-4C34-BB7F-7670B0A99E9C}" name="SiteConfig" dataDxfId="207"/>
    <tableColumn id="9" xr3:uid="{34CEC455-BF8E-40CC-8061-2082C5D842CB}" name="SiteDesignStarted_AC" dataDxfId="206">
      <calculatedColumnFormula>INDEX(Table_SiteMilestoneTracking[SiteDesignStarted_AC],MATCH(Table_LLDTrackingSummary[[#This Row],[SiteID]],Table_SiteMilestoneTracking[SiteID],0))</calculatedColumnFormula>
    </tableColumn>
    <tableColumn id="5" xr3:uid="{6BF1351E-A97D-4A49-8016-D965083B851A}" name="SumLLDIterations" dataDxfId="205">
      <calculatedColumnFormula>COUNTIF(Table_LLDTrackingSheet[SiteID],Table_LLDTrackingSummary[[#This Row],[SiteID]])</calculatedColumnFormula>
    </tableColumn>
    <tableColumn id="8" xr3:uid="{0D16C4A4-8B0E-43E6-87E5-E6FB8F404D8E}" name="LatestLLD_ID" dataDxfId="204">
      <calculatedColumnFormula>Table_LLDTrackingSummary[[#This Row],[SiteID]]&amp;"_"&amp;Table_LLDTrackingSummary[[#This Row],[SumLLDIterations]]</calculatedColumnFormula>
    </tableColumn>
    <tableColumn id="7" xr3:uid="{66A89655-1A78-4E99-BDB0-3D21DBC329C8}" name="LatestLLDIterationEndDate" dataDxfId="203">
      <calculatedColumnFormula>INDEX(Table_LLDTrackingSheet[LLDIterationEndDate],MATCH(Table_LLDTrackingSummary[[#This Row],[LatestLLD_ID]],Table_LLDTrackingSheet[LLD_ID],0))</calculatedColumnFormula>
    </tableColumn>
    <tableColumn id="10" xr3:uid="{B3D0FFE5-1184-457B-A296-4980C29D8542}" name="LLD_TotalDays" dataDxfId="202">
      <calculatedColumnFormula>IFERROR(Table_LLDTrackingSummary[[#This Row],[LatestLLDIterationEndDate]]-Table_LLDTrackingSummary[[#This Row],[SiteDesignStarted_AC]],"-")</calculatedColumnFormula>
    </tableColumn>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6DD236F9-D10C-401B-837A-B6D07B48EB09}" name="Table_SiteMilestoneTracking" displayName="Table_SiteMilestoneTracking" ref="A3:CB103" totalsRowShown="0">
  <autoFilter ref="A3:CB103" xr:uid="{2DB6B564-80CA-4683-9026-E4463C218CA3}"/>
  <tableColumns count="80">
    <tableColumn id="1" xr3:uid="{255421E9-90A6-4EF9-91D9-773C061A63DD}" name="SiteID" dataDxfId="201">
      <calculatedColumnFormula>'4. Design Tracking Summary'!A5</calculatedColumnFormula>
    </tableColumn>
    <tableColumn id="2" xr3:uid="{CC6D173F-8231-4EDC-BDB5-AEF2B1BD37DD}" name="Region" dataDxfId="0">
      <calculatedColumnFormula>'4. Design Tracking Summary'!B5</calculatedColumnFormula>
    </tableColumn>
    <tableColumn id="3" xr3:uid="{06014F5D-F808-4F07-95F4-C99D92699A97}" name="District" dataDxfId="200">
      <calculatedColumnFormula>'4. Design Tracking Summary'!C5</calculatedColumnFormula>
    </tableColumn>
    <tableColumn id="4" xr3:uid="{7A1CE1C5-A85B-43D2-AA10-C075E8504983}" name="SiteConfig" dataDxfId="199">
      <calculatedColumnFormula>'4. Design Tracking Summary'!D5</calculatedColumnFormula>
    </tableColumn>
    <tableColumn id="5" xr3:uid="{E7824360-2EBD-4857-A91C-52221E2209C0}" name="TowerCo" dataDxfId="198"/>
    <tableColumn id="6" xr3:uid="{E8995449-792F-41B6-B0F6-562FA02D32C8}" name="TowerID" dataDxfId="197"/>
    <tableColumn id="32" xr3:uid="{C07574AA-776C-49D4-BAC9-4EC626077C50}" name="CurrentSiteMilestone" dataDxfId="196">
      <calculatedColumnFormula>IFERROR(INDEX(Table_SiteMilestonesNames[SiteMilestoneName],COUNTA(Table_SiteMilestoneTracking[[#This Row],[SiteDesignStarted_AC]],Table_SiteMilestoneTracking[[#This Row],[SiteDesignReady_AC]],Table_SiteMilestoneTracking[[#This Row],[SiteSurveyCompleted_AC]],Table_SiteMilestoneTracking[[#This Row],[SiteAcquired_AC]],Table_SiteMilestoneTracking[[#This Row],[SiteReadyForCW_AC]],Table_SiteMilestoneTracking[[#This Row],[SiteReadyForPower_AC]],Table_SiteMilestoneTracking[[#This Row],[TXReady_AC]],Table_SiteMilestoneTracking[[#This Row],[SiteReadyForInstallation_AC]],Table_SiteMilestoneTracking[[#This Row],[SiteReadyForIntegration_AC]],Table_SiteMilestoneTracking[[#This Row],[SiteOnAir_AC]],Table_SiteMilestoneTracking[[#This Row],[SiteAccepted_AC]],Table_SiteMilestoneTracking[[#This Row],[SiteInOperations_AC]])+1),"Invalid Milestone")</calculatedColumnFormula>
    </tableColumn>
    <tableColumn id="55" xr3:uid="{7166A57C-1D07-4E92-A3DB-E09C05CB2CC0}" name="SiteCostBL" dataDxfId="195">
      <calculatedColumnFormula>Table_SiteMilestoneTracking[[#This Row],[c0_SiteDesignCostBL]]+Table_SiteMilestoneTracking[[#This Row],[c1_SiteSurveyCostBL]]+Table_SiteMilestoneTracking[[#This Row],[c2_SiteAcquisitionCostBL]]+Table_SiteMilestoneTracking[[#This Row],[c3_CivilWorksCostBL]]+Table_SiteMilestoneTracking[[#This Row],[c4_PowerInstallCostBL]]+Table_SiteMilestoneTracking[[#This Row],[c5_TxintegrationCostBL]]+Table_SiteMilestoneTracking[[#This Row],[c6_InstallationCostBL]]+Table_SiteMilestoneTracking[[#This Row],[c7_IntegrationCostBL]]+Table_SiteMilestoneTracking[[#This Row],[c8_AcceptanceCostBL]]+Table_SiteMilestoneTracking[[#This Row],[c9_HandoverCostBL]]</calculatedColumnFormula>
    </tableColumn>
    <tableColumn id="54" xr3:uid="{B2F0FF49-FF28-46F0-9E1C-213E9C0C0EC4}" name="SiteCostAC" dataDxfId="194">
      <calculatedColumnFormula>Table_SiteMilestoneTracking[[#This Row],[c0_SiteDesignCostAC]]+Table_SiteMilestoneTracking[[#This Row],[c1_SiteSurveyCostAC]]+Table_SiteMilestoneTracking[[#This Row],[c2_SiteAcquisitionCostAC]]+Table_SiteMilestoneTracking[[#This Row],[c3_CivilWorksCostAC]]+Table_SiteMilestoneTracking[[#This Row],[c4_PowerInstallCostAC]]+Table_SiteMilestoneTracking[[#This Row],[c5_TxintegrationCostAC]]+Table_SiteMilestoneTracking[[#This Row],[c6_InstallationCostAC]]+Table_SiteMilestoneTracking[[#This Row],[c7_IntegrationCostAC]]+Table_SiteMilestoneTracking[[#This Row],[c8_AcceptanceCostAC]]+Table_SiteMilestoneTracking[[#This Row],[c9_HandoverCostAC]]</calculatedColumnFormula>
    </tableColumn>
    <tableColumn id="27" xr3:uid="{436EA3C4-E067-464B-B739-75636CB041B0}" name="SiteDesignStarted_BL" dataDxfId="193"/>
    <tableColumn id="70" xr3:uid="{CB6060F1-F6E8-4C97-875E-75C85C2B2ECE}" name="SiteDesignStarted_AC" dataDxfId="192"/>
    <tableColumn id="7" xr3:uid="{CC52B6C9-E63D-4E0F-BC39-774859DBA111}" name="Delta_SiteDesignStarted_BL_SiteDesignStarted_AC" dataDxfId="191">
      <calculatedColumnFormula>IF(ISBLANK(Table_SiteMilestoneTracking[[#This Row],[SiteDesignStarted_AC]])=FALSE,Table_SiteMilestoneTracking[[#This Row],[SiteDesignStarted_AC]]-Table_SiteMilestoneTracking[[#This Row],[SiteDesignStarted_BL]],"")</calculatedColumnFormula>
    </tableColumn>
    <tableColumn id="75" xr3:uid="{EABC0FAB-6849-4A4E-BFF9-A7903FF08802}" name="c0_SiteDesignCostBL" dataDxfId="190">
      <calculatedColumnFormula>$M$2</calculatedColumnFormula>
    </tableColumn>
    <tableColumn id="76" xr3:uid="{7AF8759D-F6E2-4528-A676-4F70BA4DBA75}" name="c0_SiteDesignCostAC" dataDxfId="189"/>
    <tableColumn id="77" xr3:uid="{F07C680F-756C-44F1-ACFE-0680FCD9190F}" name="SiteDesignReady_BL" dataDxfId="188">
      <calculatedColumnFormula>Table_SiteMilestoneTracking[[#This Row],[SiteDesignStarted_BL]]+t0_SiteDesignDelayBL</calculatedColumnFormula>
    </tableColumn>
    <tableColumn id="26" xr3:uid="{1B0A92E6-7F94-4095-9C13-950B748A206F}" name="SiteDesignReady_AC" dataDxfId="187"/>
    <tableColumn id="25" xr3:uid="{0656CF9C-BDD8-4B65-AB71-34B9E8215B81}" name="Delta_SiteDesignReady_AC_SiteDesignReady_BL" dataDxfId="5" dataCellStyle="Output">
      <calculatedColumnFormula>IF(ISBLANK(Table_SiteMilestoneTracking[[#This Row],[SiteDesignReady_AC]])=FALSE,Table_SiteMilestoneTracking[[#This Row],[SiteDesignReady_AC]]-Table_SiteMilestoneTracking[[#This Row],[SiteDesignReady_BL]],"-")</calculatedColumnFormula>
    </tableColumn>
    <tableColumn id="40" xr3:uid="{971913F4-1883-44BB-A973-34064AA9A2A6}" name="c1_SiteSurveyCostBL" dataDxfId="186">
      <calculatedColumnFormula>$R$2</calculatedColumnFormula>
    </tableColumn>
    <tableColumn id="78" xr3:uid="{CAA4F698-29A2-451E-AF36-5196B4FBF06E}" name="c1_SiteSurveyCostAC" dataDxfId="185"/>
    <tableColumn id="79" xr3:uid="{B6D7C83A-B46E-4069-9354-E291BD84C79F}" name="SiteSurveyCompleted_BL" dataDxfId="184">
      <calculatedColumnFormula>Table_SiteMilestoneTracking[[#This Row],[SiteDesignReady_BL]]+t1_SiteSurveyBL</calculatedColumnFormula>
    </tableColumn>
    <tableColumn id="80" xr3:uid="{166F60CA-406A-41ED-9711-BDF9EA9B99B3}" name="SiteSurveyCompleted_AC" dataDxfId="183"/>
    <tableColumn id="24" xr3:uid="{2B65A11B-C4D6-4BC5-9FF1-6ED3E98D5198}" name="Delta_SiteSurveyCompleted_AC_SiteDesignReady_AC" dataDxfId="182">
      <calculatedColumnFormula>IF(ISBLANK(Table_SiteMilestoneTracking[[#This Row],[SiteSurveyCompleted_AC]])=FALSE,Table_SiteMilestoneTracking[[#This Row],[SiteSurveyCompleted_AC]]-Table_SiteMilestoneTracking[[#This Row],[SiteDesignReady_AC]],"-")</calculatedColumnFormula>
    </tableColumn>
    <tableColumn id="38" xr3:uid="{92BCCA1D-4C2D-40EF-833E-FF93EB914EAE}" name="c2_SiteAcquisitionCostBL" dataDxfId="4">
      <calculatedColumnFormula>$W$2</calculatedColumnFormula>
    </tableColumn>
    <tableColumn id="81" xr3:uid="{118624D1-F990-4F61-B5EA-ED30ED93AFAD}" name="c2_SiteAcquisitionCostAC" dataDxfId="181"/>
    <tableColumn id="82" xr3:uid="{2AFC307B-A19C-4394-BF94-E96155287193}" name="SiteAcquired_BL" dataDxfId="180">
      <calculatedColumnFormula>Table_SiteMilestoneTracking[[#This Row],[SiteSurveyCompleted_BL]]+t2_SiteAcquisitionBL</calculatedColumnFormula>
    </tableColumn>
    <tableColumn id="83" xr3:uid="{D518CF45-6E92-4AB9-B31E-27D79FF19443}" name="SiteAcquired_AC" dataDxfId="179"/>
    <tableColumn id="34" xr3:uid="{1F92E147-CF8D-40D9-AFEB-832E1AB67573}" name="Delta_SiteAcquired_AC_SiteAcquired_BL" dataDxfId="178">
      <calculatedColumnFormula>IF(ISBLANK(Table_SiteMilestoneTracking[[#This Row],[SiteAcquired_AC]])=FALSE,Table_SiteMilestoneTracking[[#This Row],[SiteAcquired_AC]]-Table_SiteMilestoneTracking[[#This Row],[SiteAcquired_BL]],"-")</calculatedColumnFormula>
    </tableColumn>
    <tableColumn id="28" xr3:uid="{AB46CA3A-BA92-4A26-8D6C-6806F0DE1292}" name="Delta_SiteAcquired_AC_SiteSurveyCompleted_AC" dataDxfId="177">
      <calculatedColumnFormula>IF(ISBLANK(Table_SiteMilestoneTracking[[#This Row],[SiteAcquired_AC]])=FALSE,Table_SiteMilestoneTracking[[#This Row],[SiteAcquired_AC]]-Table_SiteMilestoneTracking[[#This Row],[SiteSurveyCompleted_AC]],"-")</calculatedColumnFormula>
    </tableColumn>
    <tableColumn id="68" xr3:uid="{806B6583-A8C5-4232-B9B2-46917AE07940}" name="c2a_SiteCWReadinessCost_BL" dataDxfId="3">
      <calculatedColumnFormula>$AC$2</calculatedColumnFormula>
    </tableColumn>
    <tableColumn id="84" xr3:uid="{D51170A5-8758-49F0-ADDD-12349A69C310}" name="c2a_SiteCWReadinessCost_AC" dataDxfId="176"/>
    <tableColumn id="85" xr3:uid="{CBD516AD-6B59-4254-BB59-79AA7AF7DF4B}" name="SiteReadyForCW_BL" dataDxfId="175">
      <calculatedColumnFormula>Table_SiteMilestoneTracking[[#This Row],[SiteAcquired_BL]]+t2a_SiteCWReadinessBL</calculatedColumnFormula>
    </tableColumn>
    <tableColumn id="86" xr3:uid="{12ED06C8-C95E-4166-B4C7-D066BC648ABE}" name="SiteReadyForCW_AC" dataDxfId="174"/>
    <tableColumn id="87" xr3:uid="{BEAE7FD0-EE60-4807-B305-604B6AE0DC76}" name="Delta_SiRdyCW_BL_SiRdyCW_AC" dataDxfId="173">
      <calculatedColumnFormula>IF(ISBLANK(Table_SiteMilestoneTracking[[#This Row],[SiteReadyForCW_AC]])=FALSE,Table_SiteMilestoneTracking[[#This Row],[SiteReadyForCW_AC]]-Table_SiteMilestoneTracking[[#This Row],[SiteReadyForCW_BL]],"-")</calculatedColumnFormula>
    </tableColumn>
    <tableColumn id="10" xr3:uid="{C9BCEC93-6EB2-4766-B3A2-BD9C23E17FBF}" name="Delta_ReadyFor_CW_SiteDesign_Ready" dataDxfId="172">
      <calculatedColumnFormula>IF(ISBLANK(Table_SiteMilestoneTracking[[#This Row],[SiteReadyForCW_AC]])=FALSE,Table_SiteMilestoneTracking[[#This Row],[SiteReadyForCW_AC]]-Table_SiteMilestoneTracking[[#This Row],[SiteDesignReady_AC]],"-")</calculatedColumnFormula>
    </tableColumn>
    <tableColumn id="67" xr3:uid="{E1B288B1-1C4D-4440-93AF-D20BB30F56DD}" name="c3_CivilWorksCostBL" dataDxfId="2">
      <calculatedColumnFormula>$AI$2</calculatedColumnFormula>
    </tableColumn>
    <tableColumn id="9" xr3:uid="{C848A3A4-FB34-4561-9E80-AE360A48FFE1}" name="c3_CivilWorksCostAC" dataDxfId="171"/>
    <tableColumn id="11" xr3:uid="{46B4CE56-1E14-4D20-AD1E-3D7E71D823E3}" name="SiteReadyForPower_BL" dataDxfId="170">
      <calculatedColumnFormula>Table_SiteMilestoneTracking[[#This Row],[SiteReadyForCW_BL]]+t3_CivilWorksBL</calculatedColumnFormula>
    </tableColumn>
    <tableColumn id="92" xr3:uid="{8A074EFC-4518-4013-8720-D324F9429A9B}" name="SiteReadyForPower_AC" dataDxfId="169"/>
    <tableColumn id="93" xr3:uid="{DFB93AD0-94E9-4857-9B44-8370D2092EBE}" name="Delta_SiRdyPwr_AC_SiRdyPwr_BL" dataDxfId="168">
      <calculatedColumnFormula>IF(ISBLANK(Table_SiteMilestoneTracking[[#This Row],[SiteReadyForPower_AC]])=FALSE,Table_SiteMilestoneTracking[[#This Row],[SiteReadyForPower_AC]]-Table_SiteMilestoneTracking[[#This Row],[SiteReadyForPower_BL]],"-")</calculatedColumnFormula>
    </tableColumn>
    <tableColumn id="12" xr3:uid="{16D815CD-189B-4942-A32C-53EB4B7A0EBC}" name="Delta_SiteReadyForPower_AC_SiteReadyForCW_AC" dataDxfId="167">
      <calculatedColumnFormula>IF(ISBLANK(Table_SiteMilestoneTracking[[#This Row],[SiteReadyForPower_AC]])=FALSE,Table_SiteMilestoneTracking[[#This Row],[SiteReadyForPower_AC]]-Table_SiteMilestoneTracking[[#This Row],[SiteReadyForCW_AC]],"-")</calculatedColumnFormula>
    </tableColumn>
    <tableColumn id="94" xr3:uid="{E873E433-192F-43B3-8217-36C6BAB1DC84}" name="c4_PowerInstallCostBL" dataDxfId="1">
      <calculatedColumnFormula>$AO$2</calculatedColumnFormula>
    </tableColumn>
    <tableColumn id="88" xr3:uid="{B38DB747-30A7-4A5F-BF8A-56E1FC0B7B93}" name="c4_PowerInstallCostAC" dataDxfId="166"/>
    <tableColumn id="15" xr3:uid="{99217BD4-CD6E-4A4E-9213-A93F9FB18F25}" name="TXReady_BL" dataDxfId="165">
      <calculatedColumnFormula>Table_SiteMilestoneTracking[[#This Row],[SiteReadyForPower_BL]]+t4_PowerInstallBL</calculatedColumnFormula>
    </tableColumn>
    <tableColumn id="95" xr3:uid="{B96DBDAF-5799-425B-9C0F-2EC8D7687AFE}" name="TXReady_AC" dataDxfId="164"/>
    <tableColumn id="96" xr3:uid="{E225095A-359C-4660-8017-F7B8E4D5DCD5}" name="Delta_TXRdy_AC_TXRdy_BL" dataDxfId="163">
      <calculatedColumnFormula>IF(ISBLANK(Table_SiteMilestoneTracking[[#This Row],[TXReady_AC]])=FALSE,Table_SiteMilestoneTracking[[#This Row],[TXReady_AC]]-Table_SiteMilestoneTracking[[#This Row],[TXReady_BL]],"-")</calculatedColumnFormula>
    </tableColumn>
    <tableColumn id="18" xr3:uid="{EC5CA2B5-5D70-4924-81FC-677645B43FAD}" name="Delta_TXRdy_AC_SiteReadyForPower_AC" dataDxfId="162">
      <calculatedColumnFormula>IF(ISBLANK(Table_SiteMilestoneTracking[[#This Row],[TXReady_AC]])=FALSE,Table_SiteMilestoneTracking[[#This Row],[TXReady_AC]]-Table_SiteMilestoneTracking[[#This Row],[SiteReadyForPower_AC]],"-")</calculatedColumnFormula>
    </tableColumn>
    <tableColumn id="97" xr3:uid="{C085EE47-6FA4-43FE-BBD1-FC9719954C1E}" name="c5_TxintegrationCostBL" dataDxfId="161">
      <calculatedColumnFormula>$AU$2</calculatedColumnFormula>
    </tableColumn>
    <tableColumn id="16" xr3:uid="{56F0F299-C7FA-47C8-B21A-6E408692BEE8}" name="c5_TxintegrationCostAC" dataDxfId="160"/>
    <tableColumn id="13" xr3:uid="{30428BA3-A91D-4E76-8909-EB35B95A4B9D}" name="SiteReadyForInstallation_BL" dataDxfId="159">
      <calculatedColumnFormula>Table_SiteMilestoneTracking[[#This Row],[TXReady_BL]]+t5_TxintegrationBL</calculatedColumnFormula>
    </tableColumn>
    <tableColumn id="100" xr3:uid="{3E6BB0DD-BA55-4E12-8D92-690D2798EE62}" name="SiteReadyForInstallation_AC" dataDxfId="158"/>
    <tableColumn id="99" xr3:uid="{23174854-C07B-4178-8ED6-B7C75E66E6B9}" name="Delta_SiteReadyForInstallation_AC_SiteRdyFrInstall_BL" dataDxfId="157">
      <calculatedColumnFormula>IF(ISBLANK(Table_SiteMilestoneTracking[[#This Row],[SiteReadyForInstallation_AC]])=FALSE,Table_SiteMilestoneTracking[[#This Row],[SiteReadyForInstallation_AC]]-Table_SiteMilestoneTracking[[#This Row],[SiteReadyForInstallation_BL]],"-")</calculatedColumnFormula>
    </tableColumn>
    <tableColumn id="19" xr3:uid="{199ABFA7-5735-4385-9AF9-9A2EDFDFA99F}" name="Delta_SiteReadyForInstallation_AC_TXReady_AC" dataDxfId="156">
      <calculatedColumnFormula>IF(ISBLANK(Table_SiteMilestoneTracking[[#This Row],[SiteReadyForInstallation_AC]])=FALSE,Table_SiteMilestoneTracking[[#This Row],[SiteReadyForInstallation_AC]]-Table_SiteMilestoneTracking[[#This Row],[TXReady_AC]],"-")</calculatedColumnFormula>
    </tableColumn>
    <tableColumn id="98" xr3:uid="{D5CD3DEF-3AA0-454E-BAEF-90ED9DED3423}" name="c6_InstallationCostBL" dataDxfId="155">
      <calculatedColumnFormula>$BA$2</calculatedColumnFormula>
    </tableColumn>
    <tableColumn id="14" xr3:uid="{2203B5D9-33A1-41B3-8AA0-6E527862090A}" name="c6_InstallationCostAC" dataDxfId="154"/>
    <tableColumn id="17" xr3:uid="{D541D912-76F8-46BB-834A-6591E21BBDD6}" name="SiteReadyForIntegration_BL" dataDxfId="153">
      <calculatedColumnFormula>Table_SiteMilestoneTracking[[#This Row],[SiteReadyForInstallation_BL]]+t6_InstallationBL</calculatedColumnFormula>
    </tableColumn>
    <tableColumn id="107" xr3:uid="{5D96E9F9-D5F7-4BCB-803D-650E882B147D}" name="SiteReadyForIntegration_AC" dataDxfId="152"/>
    <tableColumn id="108" xr3:uid="{612A6041-1B9F-49EF-96CC-724955A0B77D}" name="Delta_SiteReadyForIntegration_AC_SiRdyInteg_BL" dataDxfId="151">
      <calculatedColumnFormula>IF(ISBLANK(Table_SiteMilestoneTracking[[#This Row],[SiteReadyForIntegration_AC]])=FALSE,Table_SiteMilestoneTracking[[#This Row],[SiteReadyForIntegration_AC]]-Table_SiteMilestoneTracking[[#This Row],[SiteReadyForIntegration_BL]],"-")</calculatedColumnFormula>
    </tableColumn>
    <tableColumn id="20" xr3:uid="{C8AA35A0-0DA2-4EF3-A2FA-25AF538E56FD}" name="Delta_SiteReadyForIntegration_AC_SiteReadyForInstallation_AC" dataDxfId="150">
      <calculatedColumnFormula>IF(ISBLANK(Table_SiteMilestoneTracking[[#This Row],[SiteReadyForIntegration_AC]])=FALSE,Table_SiteMilestoneTracking[[#This Row],[SiteReadyForIntegration_AC]]-Table_SiteMilestoneTracking[[#This Row],[SiteReadyForInstallation_AC]],"-")</calculatedColumnFormula>
    </tableColumn>
    <tableColumn id="109" xr3:uid="{CB0389F0-8A08-41EF-920E-508EF6418277}" name="c7_IntegrationCostBL" dataDxfId="149">
      <calculatedColumnFormula>$BG$2</calculatedColumnFormula>
    </tableColumn>
    <tableColumn id="110" xr3:uid="{E80BD61B-A32A-4E14-856A-5CAFE3EE0F2C}" name="c7_IntegrationCostAC" dataDxfId="148"/>
    <tableColumn id="111" xr3:uid="{F2250A2C-8B5D-40B1-A36E-03A1D190B9C6}" name="SiteOnAir_BL" dataDxfId="147">
      <calculatedColumnFormula>Table_SiteMilestoneTracking[[#This Row],[SiteReadyForIntegration_BL]]+t7_IntegrationBL</calculatedColumnFormula>
    </tableColumn>
    <tableColumn id="101" xr3:uid="{32F04879-B192-48B5-8C4F-EBA6237D7A8E}" name="SiteOnAir_AC" dataDxfId="146"/>
    <tableColumn id="102" xr3:uid="{F0991874-6FE0-407A-9146-511546790DEB}" name="Delta_SiteOnAir_AC_SiteOnAir_BL" dataDxfId="145">
      <calculatedColumnFormula>IF(ISBLANK(Table_SiteMilestoneTracking[[#This Row],[SiteOnAir_AC]])=FALSE,Table_SiteMilestoneTracking[[#This Row],[SiteOnAir_AC]]-Table_SiteMilestoneTracking[[#This Row],[SiteOnAir_BL]],"-")</calculatedColumnFormula>
    </tableColumn>
    <tableColumn id="21" xr3:uid="{2A28C35E-ECA9-4973-A9E9-F53C68BD049F}" name="Delta_SiteOnAir_AC_SiteReadyForIntegration_AC" dataDxfId="144">
      <calculatedColumnFormula>IF(ISBLANK(Table_SiteMilestoneTracking[[#This Row],[SiteOnAir_AC]])=FALSE,Table_SiteMilestoneTracking[[#This Row],[SiteOnAir_AC]]-Table_SiteMilestoneTracking[[#This Row],[SiteReadyForIntegration_AC]],"-")</calculatedColumnFormula>
    </tableColumn>
    <tableColumn id="49" xr3:uid="{74CA37F4-903B-4005-B279-D018B856B02A}" name="c8_AcceptanceCostBL" dataDxfId="143">
      <calculatedColumnFormula>$BM$2</calculatedColumnFormula>
    </tableColumn>
    <tableColumn id="112" xr3:uid="{5D863195-F7E9-4D15-96D3-BA552A6B7CA6}" name="c8_AcceptanceCostAC" dataDxfId="142"/>
    <tableColumn id="113" xr3:uid="{6D06FC6D-D800-49AA-939D-917878441A55}" name="SiteAccepted_BL" dataDxfId="141">
      <calculatedColumnFormula>Table_SiteMilestoneTracking[[#This Row],[SiteOnAir_BL]]+t8_AcceptanceBL</calculatedColumnFormula>
    </tableColumn>
    <tableColumn id="114" xr3:uid="{D245F2EF-AAAF-47CA-AD0F-8FF4D35E7554}" name="SiteAccepted_AC" dataDxfId="140"/>
    <tableColumn id="50" xr3:uid="{1D84C252-A56D-4F16-801C-3404D9040BF1}" name="Delta_SiteAccepted_AC_SiAccept_BL" dataDxfId="139">
      <calculatedColumnFormula>IF(ISBLANK(Table_SiteMilestoneTracking[[#This Row],[SiteAccepted_AC]])=FALSE,Table_SiteMilestoneTracking[[#This Row],[SiteAccepted_AC]]-Table_SiteMilestoneTracking[[#This Row],[SiteAccepted_BL]],"-")</calculatedColumnFormula>
    </tableColumn>
    <tableColumn id="22" xr3:uid="{D39511E5-D890-43DF-8848-31BA2C15068E}" name="Delta_SiteAccepted_AC_SiteOnAir_AC" dataDxfId="138">
      <calculatedColumnFormula>IF(ISBLANK(Table_SiteMilestoneTracking[[#This Row],[SiteAccepted_AC]])=FALSE,Table_SiteMilestoneTracking[[#This Row],[SiteAccepted_AC]]-Table_SiteMilestoneTracking[[#This Row],[SiteOnAir_AC]],"-")</calculatedColumnFormula>
    </tableColumn>
    <tableColumn id="51" xr3:uid="{88D84AAB-15DF-4E3A-A5B7-B9395ABE2C6D}" name="c9_HandoverCostBL" dataDxfId="137">
      <calculatedColumnFormula>$BS$2</calculatedColumnFormula>
    </tableColumn>
    <tableColumn id="115" xr3:uid="{66548C24-AC0B-40E7-95ED-0E146079846D}" name="c9_HandoverCostAC" dataDxfId="136"/>
    <tableColumn id="116" xr3:uid="{E65B1F8D-A6EC-4DC5-B0B5-6EFD067720BB}" name="SiteInOperations_BL" dataDxfId="135">
      <calculatedColumnFormula>Table_SiteMilestoneTracking[[#This Row],[SiteAccepted_BL]]+t9_HandoverBL</calculatedColumnFormula>
    </tableColumn>
    <tableColumn id="117" xr3:uid="{F1D23331-A807-400D-A5F7-BE5B693C5F36}" name="SiteInOperations_AC" dataDxfId="134"/>
    <tableColumn id="8" xr3:uid="{7670FF45-2DB7-4184-93A0-93AE1C25AA0D}" name="Delta_SiteInOperations_AC_SiteInOperations_BL" dataDxfId="133">
      <calculatedColumnFormula>IF(ISBLANK(Table_SiteMilestoneTracking[[#This Row],[SiteInOperations_AC]])=FALSE,Table_SiteMilestoneTracking[[#This Row],[SiteInOperations_AC]]-Table_SiteMilestoneTracking[[#This Row],[SiteInOperations_BL]],"-")</calculatedColumnFormula>
    </tableColumn>
    <tableColumn id="52" xr3:uid="{EEB4B5E9-B2E1-4F02-BA52-4350935CA137}" name="E2E_Site_BL" dataDxfId="132">
      <calculatedColumnFormula>Table_SiteMilestoneTracking[[#This Row],[SiteInOperations_BL]]-Table_SiteMilestoneTracking[[#This Row],[SiteDesignReady_BL]]</calculatedColumnFormula>
    </tableColumn>
    <tableColumn id="36" xr3:uid="{A3924110-BAE3-4C12-ADDF-1363764D05E7}" name="E2E_Site_AC" dataDxfId="131">
      <calculatedColumnFormula>IF(Table_SiteMilestoneTracking[[#This Row],[CurrentSiteMilestone]]="SiteInOperations",Table_SiteMilestoneTracking[[#This Row],[SiteInOperations_AC]]-Table_SiteMilestoneTracking[[#This Row],[SiteDesignReady_AC]],"")</calculatedColumnFormula>
    </tableColumn>
    <tableColumn id="37" xr3:uid="{64072D73-1197-493B-AFF7-F8B8C144AB2F}" name="E2E_Site_deltaT" dataDxfId="130">
      <calculatedColumnFormula>IFERROR(Table_SiteMilestoneTracking[[#This Row],[E2E_Site_AC]]-Table_SiteMilestoneTracking[[#This Row],[E2E_Site_BL]],"")</calculatedColumnFormula>
    </tableColumn>
    <tableColumn id="33" xr3:uid="{86B63DB6-2D0A-4BFF-AC16-4D4CD2CA6D03}" name="DeltaDays_SiteAccepted_SiteInOperations" dataDxfId="129">
      <calculatedColumnFormula>IF(Table_SiteMilestoneTracking[[#This Row],[CurrentSiteMilestone]]="SiteInOperations",Table_SiteMilestoneTracking[[#This Row],[SiteInOperations_AC]]-Table_SiteMilestoneTracking[[#This Row],[SiteAccepted_AC]],"")</calculatedColumnFormula>
    </tableColumn>
    <tableColumn id="23" xr3:uid="{4491E556-2F64-4865-903A-070243FC1664}" name="Remark" dataDxfId="128"/>
  </tableColumns>
  <tableStyleInfo name="TableStyleMedium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B0D3BB7A-652C-4F08-9352-75E0C4A53564}" name="Table_SiteMilestoneTrackingSummary" displayName="Table_SiteMilestoneTrackingSummary" ref="A3:DU43" totalsRowShown="0">
  <autoFilter ref="A3:DU43" xr:uid="{52C35267-4CC8-43B0-A8A8-1220D72B8DC2}"/>
  <tableColumns count="125">
    <tableColumn id="1" xr3:uid="{EEE49138-73DD-4EEE-9755-3C8C80EE19C0}" name="Year" dataDxfId="127"/>
    <tableColumn id="2" xr3:uid="{C7AEFE95-4962-4FC7-8243-82C2F382C1F5}" name="Week" dataDxfId="126"/>
    <tableColumn id="3" xr3:uid="{597DE3FC-3176-4A13-BEBD-64FF7791522E}" name="StartDate" dataDxfId="125">
      <calculatedColumnFormula>DATE(Table_SiteMilestoneTrackingSummary[[#This Row],[Year]],1,-2)-WEEKDAY(DATE(Table_SiteMilestoneTrackingSummary[[#This Row],[Year]],1,3))+Table_SiteMilestoneTrackingSummary[[#This Row],[Week]]*7</calculatedColumnFormula>
    </tableColumn>
    <tableColumn id="4" xr3:uid="{4F1FEEF1-7AE5-4288-A353-1615472DB870}" name="EndDate" dataDxfId="124">
      <calculatedColumnFormula>Table_SiteMilestoneTrackingSummary[[#This Row],[StartDate]]+6</calculatedColumnFormula>
    </tableColumn>
    <tableColumn id="44" xr3:uid="{B8FB00E6-2D07-4E65-AE26-65B7EA9D76E4}" name="SiteDesignStarted_BL" dataDxfId="123">
      <calculatedColumnFormula>COUNTIFS(Table_SiteMilestoneTracking[SiteDesignStarted_BL],"&gt;#"&amp;Table_SiteMilestoneTrackingSummary[[#This Row],[StartDate]:[StartDate]],Table_SiteMilestoneTracking[SiteDesignStarted_BL],"&lt;"&amp;Table_SiteMilestoneTrackingSummary[[#This Row],[EndDate]:[EndDate]]+1)</calculatedColumnFormula>
    </tableColumn>
    <tableColumn id="43" xr3:uid="{39015E09-A371-4877-89BE-FD7FBA104B00}" name="SiteDesignStarted_BL(SUM)" dataDxfId="122">
      <calculatedColumnFormula>0+Table_SiteMilestoneTrackingSummary[[#This Row],[SiteDesignStarted_BL]]</calculatedColumnFormula>
    </tableColumn>
    <tableColumn id="42" xr3:uid="{429ED1E1-8A9C-434F-B818-274210E1D522}" name="SiteDesignStarted_AC" dataDxfId="121">
      <calculatedColumnFormula>COUNTIFS(Table_SiteMilestoneTracking[SiteDesignStarted_AC],"&gt;="&amp;Table_SiteMilestoneTrackingSummary[[#This Row],[StartDate]:[StartDate]],Table_SiteMilestoneTracking[SiteDesignStarted_AC],"&lt;"&amp;Table_SiteMilestoneTrackingSummary[[#This Row],[EndDate]:[EndDate]]+1)</calculatedColumnFormula>
    </tableColumn>
    <tableColumn id="41" xr3:uid="{70DFFED6-D674-4979-821D-FDBD9550E949}" name="SiteDesignStarted_AC(SUM)" dataDxfId="120">
      <calculatedColumnFormula>0+Table_SiteMilestoneTrackingSummary[[#This Row],[SiteDesignStarted_AC]]</calculatedColumnFormula>
    </tableColumn>
    <tableColumn id="92" xr3:uid="{73EC5635-E903-4FCF-AEDD-33B830CF6DB4}" name="c0_SiteDesignEV" dataDxfId="119">
      <calculatedColumnFormula>Table_SiteMilestoneTrackingSummary[[#This Row],[SiteDesignReady_AC]]*$I$2</calculatedColumnFormula>
    </tableColumn>
    <tableColumn id="93" xr3:uid="{60F90C5A-F160-4D68-8E4F-0AA72B93C126}" name="c0_SiteDesignEV(SUM)" dataDxfId="118">
      <calculatedColumnFormula>0+Table_SiteMilestoneTrackingSummary[[#This Row],[c0_SiteDesignEV]]</calculatedColumnFormula>
    </tableColumn>
    <tableColumn id="47" xr3:uid="{DED61168-2C1E-4443-86DC-1C766175FA7C}" name="c0_SiteDesignCostBL" dataDxfId="117">
      <calculatedColumnFormula>SUMIFS(Table_SiteMilestoneTracking[c0_SiteDesignCostBL],
Table_SiteMilestoneTracking[SiteDesignReady_BL],"&gt;="&amp;Table_SiteMilestoneTrackingSummary[[#This Row],[StartDate]:[StartDate]],
Table_SiteMilestoneTracking[SiteDesignReady_BL],"&lt;"&amp;Table_SiteMilestoneTrackingSummary[[#This Row],[EndDate]:[EndDate]]+1)</calculatedColumnFormula>
    </tableColumn>
    <tableColumn id="48" xr3:uid="{AEBF3B14-8BF8-4FCD-8750-B88B51D1F3A7}" name="c0_SiteDesignCostBL(SUM)" dataDxfId="116">
      <calculatedColumnFormula>0+Table_SiteMilestoneTrackingSummary[[#This Row],[c0_SiteDesignCostBL]]</calculatedColumnFormula>
    </tableColumn>
    <tableColumn id="46" xr3:uid="{C2A22BBD-8891-42E0-A5BB-BA71BE5C093E}" name="c0_SiteDesignCostAC" dataDxfId="115">
      <calculatedColumnFormula>SUMIFS(Table_SiteMilestoneTracking[c0_SiteDesignCostAC],
Table_SiteMilestoneTracking[SiteDesignReady_AC],"&gt;="&amp;Table_SiteMilestoneTrackingSummary[[#This Row],[StartDate]:[StartDate]],
Table_SiteMilestoneTracking[SiteDesignReady_AC],"&lt;"&amp;Table_SiteMilestoneTrackingSummary[[#This Row],[EndDate]:[EndDate]]+1)</calculatedColumnFormula>
    </tableColumn>
    <tableColumn id="45" xr3:uid="{813B85AF-9D73-400D-9350-88F3F6836377}" name="c0_SiteDesignCostAC(SUM)" dataDxfId="114">
      <calculatedColumnFormula>0+Table_SiteMilestoneTrackingSummary[[#This Row],[c0_SiteDesignCostAC]]</calculatedColumnFormula>
    </tableColumn>
    <tableColumn id="5" xr3:uid="{E2FDA870-4A37-405F-8116-C7F086A5BB33}" name="SiteDesignReady_BL" dataDxfId="113">
      <calculatedColumnFormula>COUNTIFS(Table_SiteMilestoneTracking[SiteDesignReady_BL],"&gt;="&amp;Table_SiteMilestoneTrackingSummary[[#This Row],[StartDate]:[StartDate]],
Table_SiteMilestoneTracking[SiteDesignReady_BL],"&lt;"&amp;Table_SiteMilestoneTrackingSummary[[#This Row],[EndDate]:[EndDate]]+1)</calculatedColumnFormula>
    </tableColumn>
    <tableColumn id="22" xr3:uid="{E5A6B318-92E0-4175-929A-822A15A927F8}" name="SiteDesignReady_BL(SUM)" dataDxfId="112">
      <calculatedColumnFormula>Table_SiteMilestoneTrackingSummary[[#This Row],[SiteDesignReady_BL]]+0</calculatedColumnFormula>
    </tableColumn>
    <tableColumn id="6" xr3:uid="{8F7F71EC-DDFF-49D0-A8AE-89DD60B85A4C}" name="SiteDesignReady_AC" dataDxfId="111">
      <calculatedColumnFormula>COUNTIFS(Table_SiteMilestoneTracking[SiteDesignReady_AC],"&gt;="&amp;Table_SiteMilestoneTrackingSummary[[#This Row],[StartDate]:[StartDate]],
Table_SiteMilestoneTracking[SiteDesignReady_AC],"&lt;"&amp;Table_SiteMilestoneTrackingSummary[[#This Row],[EndDate]:[EndDate]]+1)</calculatedColumnFormula>
    </tableColumn>
    <tableColumn id="23" xr3:uid="{E265BC05-563F-4E35-8571-2E4A2A58ED88}" name="SiteDesignReady_AC(SUM)" dataDxfId="110">
      <calculatedColumnFormula>0+Table_SiteMilestoneTrackingSummary[[#This Row],[SiteDesignReady_AC]]</calculatedColumnFormula>
    </tableColumn>
    <tableColumn id="94" xr3:uid="{4EDCE455-4F56-4788-A0CD-858273EA790C}" name="c1_SiteSurveyEV" dataDxfId="109">
      <calculatedColumnFormula>Table_SiteMilestoneTrackingSummary[[#This Row],[ReadyForCW_AC]]*$S$2</calculatedColumnFormula>
    </tableColumn>
    <tableColumn id="95" xr3:uid="{DE823C17-D5AD-42D7-985E-A2EE86F2CA13}" name="c1_SiteSurveyEV(SUM)" dataDxfId="108">
      <calculatedColumnFormula>0+Table_SiteMilestoneTrackingSummary[[#This Row],[c1_SiteSurveyEV]]</calculatedColumnFormula>
    </tableColumn>
    <tableColumn id="49" xr3:uid="{A6F7A5D3-CA8A-41A7-A7F5-4EE9256D33CC}" name="c1_SiteSurveyCostBL" dataDxfId="107">
      <calculatedColumnFormula>SUMIFS(Table_SiteMilestoneTracking[c1_SiteSurveyCostBL],
Table_SiteMilestoneTracking[SiteSurveyCompleted_BL],"&gt;="&amp;Table_SiteMilestoneTrackingSummary[[#This Row],[StartDate]:[StartDate]],
Table_SiteMilestoneTracking[SiteSurveyCompleted_BL],"&lt;"&amp;Table_SiteMilestoneTrackingSummary[[#This Row],[EndDate]:[EndDate]]+1)</calculatedColumnFormula>
    </tableColumn>
    <tableColumn id="51" xr3:uid="{1CA6017E-580F-419D-8A6A-52F68F7C927D}" name="c1_SiteSurveyCostBL(SUM)" dataDxfId="106">
      <calculatedColumnFormula>0+Table_SiteMilestoneTrackingSummary[[#This Row],[c1_SiteSurveyCostBL]]</calculatedColumnFormula>
    </tableColumn>
    <tableColumn id="50" xr3:uid="{5AAC009B-7568-40D6-B1C6-6A3EA6EBD24A}" name="c1_SiteSurveyCostAC" dataDxfId="105">
      <calculatedColumnFormula>SUMIFS(Table_SiteMilestoneTracking[c1_SiteSurveyCostAC],
Table_SiteMilestoneTracking[SiteSurveyCompleted_AC],"&gt;="&amp;Table_SiteMilestoneTrackingSummary[[#This Row],[StartDate]:[StartDate]],
Table_SiteMilestoneTracking[SiteSurveyCompleted_AC],"&lt;"&amp;Table_SiteMilestoneTrackingSummary[[#This Row],[EndDate]:[EndDate]]+1)</calculatedColumnFormula>
    </tableColumn>
    <tableColumn id="52" xr3:uid="{C276C49E-C360-4B37-9416-2A97FCA0DAA6}" name="c1_SiteSurveyCostAC(SUM)" dataDxfId="104">
      <calculatedColumnFormula>0+Table_SiteMilestoneTrackingSummary[[#This Row],[c1_SiteSurveyCostAC]]</calculatedColumnFormula>
    </tableColumn>
    <tableColumn id="53" xr3:uid="{4C246ED1-376A-440D-88FC-589B3DE6608F}" name="SiteSurveyCompleted_BL" dataDxfId="103">
      <calculatedColumnFormula>COUNTIFS(Table_SiteMilestoneTracking[SiteSurveyCompleted_BL],"&gt;="&amp;Table_SiteMilestoneTrackingSummary[[#This Row],[StartDate]:[StartDate]],
Table_SiteMilestoneTracking[SiteSurveyCompleted_BL],"&lt;"&amp;Table_SiteMilestoneTrackingSummary[[#This Row],[EndDate]:[EndDate]]+1)</calculatedColumnFormula>
    </tableColumn>
    <tableColumn id="54" xr3:uid="{D6B3AC85-B095-4410-A364-1CBD99DAF37F}" name="SiteSurveyCompleted_BL(SUM)" dataDxfId="102">
      <calculatedColumnFormula>0+Table_SiteMilestoneTrackingSummary[[#This Row],[SiteSurveyCompleted_BL]]</calculatedColumnFormula>
    </tableColumn>
    <tableColumn id="55" xr3:uid="{2702C17C-787B-4519-95B7-C71EA8BC21AB}" name="SiteSurveyCompleted_AC" dataDxfId="101">
      <calculatedColumnFormula>COUNTIFS(Table_SiteMilestoneTracking[SiteSurveyCompleted_AC],"&gt;="&amp;Table_SiteMilestoneTrackingSummary[[#This Row],[StartDate]:[StartDate]],
Table_SiteMilestoneTracking[SiteSurveyCompleted_AC],"&lt;"&amp;Table_SiteMilestoneTrackingSummary[[#This Row],[EndDate]:[EndDate]]+1)</calculatedColumnFormula>
    </tableColumn>
    <tableColumn id="120" xr3:uid="{91DD81B7-5E87-4226-BF96-28A79F383119}" name="SiteSurveyCompleted_AC(SUM)" dataDxfId="100">
      <calculatedColumnFormula>0+Table_SiteMilestoneTrackingSummary[[#This Row],[SiteSurveyCompleted_AC]]</calculatedColumnFormula>
    </tableColumn>
    <tableColumn id="96" xr3:uid="{61B7CCC6-6294-4277-99DD-9E5D7CD787A7}" name="c2_SiteAcquisitionEV" dataDxfId="99">
      <calculatedColumnFormula>$AC$2*Table_SiteMilestoneTrackingSummary[[#This Row],[SiteAcquired_AC]]</calculatedColumnFormula>
    </tableColumn>
    <tableColumn id="97" xr3:uid="{19DD7783-E093-427A-8A2D-0160753D0B9B}" name="c2_SiteAcquisitionEV(SUM)" dataDxfId="98">
      <calculatedColumnFormula>0+Table_SiteMilestoneTrackingSummary[[#This Row],[c2_SiteAcquisitionEV]]</calculatedColumnFormula>
    </tableColumn>
    <tableColumn id="60" xr3:uid="{61075663-C391-4E8C-B432-2F47AE87F2A1}" name="c2_SiteAcquisitionCostBL" dataDxfId="97">
      <calculatedColumnFormula>SUMIFS(Table_SiteMilestoneTracking[c2_SiteAcquisitionCostBL],
Table_SiteMilestoneTracking[SiteAcquired_BL],"&gt;="&amp;Table_SiteMilestoneTrackingSummary[[#This Row],[StartDate]:[StartDate]],
Table_SiteMilestoneTracking[SiteAcquired_BL],"&lt;"&amp;Table_SiteMilestoneTrackingSummary[[#This Row],[EndDate]:[EndDate]]+1)</calculatedColumnFormula>
    </tableColumn>
    <tableColumn id="61" xr3:uid="{E26F9241-5289-4A69-9E81-23DA6FDAC780}" name="c2_SiteAcquisitionCostBL(SUM)" dataDxfId="96">
      <calculatedColumnFormula>0+Table_SiteMilestoneTrackingSummary[[#This Row],[c2_SiteAcquisitionCostBL]]</calculatedColumnFormula>
    </tableColumn>
    <tableColumn id="62" xr3:uid="{54AC628A-AEA5-4709-A69F-C44BF21EE7BC}" name="c2_SiteAcquisitionCostAC" dataDxfId="95">
      <calculatedColumnFormula>SUMIFS(Table_SiteMilestoneTracking[c2_SiteAcquisitionCostAC],
Table_SiteMilestoneTracking[SiteAcquired_AC],"&gt;="&amp;Table_SiteMilestoneTrackingSummary[[#This Row],[StartDate]:[StartDate]],
Table_SiteMilestoneTracking[SiteAcquired_AC],"&lt;"&amp;Table_SiteMilestoneTrackingSummary[[#This Row],[EndDate]:[EndDate]]+1)</calculatedColumnFormula>
    </tableColumn>
    <tableColumn id="63" xr3:uid="{B3C43C39-7BFD-4976-B6C7-FA23118C1610}" name="c2_SiteAcquisitionCostAC(SUM)" dataDxfId="94">
      <calculatedColumnFormula>0+Table_SiteMilestoneTrackingSummary[[#This Row],[c2_SiteAcquisitionCostAC]]</calculatedColumnFormula>
    </tableColumn>
    <tableColumn id="125" xr3:uid="{310EF084-7065-4BDB-BC9E-2734DEB6C273}" name="SiteAcquired_BL" dataDxfId="93">
      <calculatedColumnFormula>COUNTIFS(Table_SiteMilestoneTracking[SiteAcquired_BL],"&gt;="&amp;Table_SiteMilestoneTrackingSummary[[#This Row],[StartDate]:[StartDate]],
Table_SiteMilestoneTracking[SiteAcquired_BL],"&lt;"&amp;Table_SiteMilestoneTrackingSummary[[#This Row],[EndDate]:[EndDate]]+1)</calculatedColumnFormula>
    </tableColumn>
    <tableColumn id="126" xr3:uid="{580DA88F-2969-4A38-B006-F96B5A8E387D}" name="SiteAcquired_BL(SUM)" dataDxfId="92">
      <calculatedColumnFormula>0+Table_SiteMilestoneTrackingSummary[[#This Row],[SiteAcquired_BL]]</calculatedColumnFormula>
    </tableColumn>
    <tableColumn id="124" xr3:uid="{574D9674-C810-4D5B-A3EC-1ACCF4FE6FD7}" name="SiteAcquired_AC" dataDxfId="91">
      <calculatedColumnFormula>COUNTIFS(Table_SiteMilestoneTracking[SiteAcquired_AC],"&gt;="&amp;Table_SiteMilestoneTrackingSummary[[#This Row],[StartDate]:[StartDate]],
Table_SiteMilestoneTracking[SiteAcquired_AC],"&lt;"&amp;Table_SiteMilestoneTrackingSummary[[#This Row],[EndDate]:[EndDate]]+1)</calculatedColumnFormula>
    </tableColumn>
    <tableColumn id="123" xr3:uid="{AF2513C7-91B7-4C09-9C28-B71552332344}" name="SiteAcquired_AC(SUM)" dataDxfId="90">
      <calculatedColumnFormula>0+Table_SiteMilestoneTrackingSummary[[#This Row],[SiteAcquired_AC]]</calculatedColumnFormula>
    </tableColumn>
    <tableColumn id="131" xr3:uid="{09F82DD1-9F43-4A96-80B7-584D5B2BEBC0}" name="c2a_SiteCWReadinessEV" dataDxfId="89">
      <calculatedColumnFormula>Table_SiteMilestoneTrackingSummary[[#This Row],[ReadyForCW_AC]]*$AM$2</calculatedColumnFormula>
    </tableColumn>
    <tableColumn id="132" xr3:uid="{F2F06BBE-048C-44EC-9AAF-905258A05753}" name="c2a_SiteCWReadinessEV(SUM)" dataDxfId="88">
      <calculatedColumnFormula>0+Table_SiteMilestoneTrackingSummary[[#This Row],[c2a_SiteCWReadinessEV]]</calculatedColumnFormula>
    </tableColumn>
    <tableColumn id="127" xr3:uid="{7EAE7E6B-A549-42AD-83E3-C751907DA28B}" name="c2a_SiteCWReadinessCostBL" dataDxfId="87">
      <calculatedColumnFormula>SUMIFS(Table_SiteMilestoneTracking[c2a_SiteCWReadinessCost_BL],
Table_SiteMilestoneTracking[SiteReadyForCW_BL],"&gt;="&amp;Table_SiteMilestoneTrackingSummary[[#This Row],[StartDate]:[StartDate]],
Table_SiteMilestoneTracking[SiteReadyForCW_BL],"&lt;"&amp;Table_SiteMilestoneTrackingSummary[[#This Row],[EndDate]:[EndDate]]+1)</calculatedColumnFormula>
    </tableColumn>
    <tableColumn id="128" xr3:uid="{D8A81613-4812-4E8F-B85F-7875C5BFACF3}" name="c2a_SiteCWReadinessCostBL(SUM)" dataDxfId="86">
      <calculatedColumnFormula>0+Table_SiteMilestoneTrackingSummary[[#This Row],[c2a_SiteCWReadinessCostBL]]</calculatedColumnFormula>
    </tableColumn>
    <tableColumn id="129" xr3:uid="{907246A2-D83C-4171-8704-2FBE8842F4FA}" name="c2a_SiteCWReadinessCostAC" dataDxfId="85">
      <calculatedColumnFormula>SUMIFS(Table_SiteMilestoneTracking[c2a_SiteCWReadinessCost_AC],
Table_SiteMilestoneTracking[SiteReadyForCW_AC],"&gt;="&amp;Table_SiteMilestoneTrackingSummary[[#This Row],[StartDate]:[StartDate]],
Table_SiteMilestoneTracking[SiteReadyForCW_AC],"&lt;"&amp;Table_SiteMilestoneTrackingSummary[[#This Row],[EndDate]:[EndDate]]+1)</calculatedColumnFormula>
    </tableColumn>
    <tableColumn id="130" xr3:uid="{035D0DD5-57FA-4B44-AA5D-9CC494878963}" name="c2a_SiteCWReadinessCostAC(SUM)" dataDxfId="84">
      <calculatedColumnFormula>0+Table_SiteMilestoneTrackingSummary[[#This Row],[c2a_SiteCWReadinessCostAC]]</calculatedColumnFormula>
    </tableColumn>
    <tableColumn id="7" xr3:uid="{6FE6D290-57B7-4527-94A5-C06FB575841C}" name="ReadyForCW_BL" dataDxfId="83">
      <calculatedColumnFormula>COUNTIFS(Table_SiteMilestoneTracking[SiteReadyForCW_BL],"&gt;="&amp;Table_SiteMilestoneTrackingSummary[[#This Row],[StartDate]:[StartDate]],
Table_SiteMilestoneTracking[SiteReadyForCW_BL],"&lt;"&amp;Table_SiteMilestoneTrackingSummary[[#This Row],[EndDate]:[EndDate]]+1)</calculatedColumnFormula>
    </tableColumn>
    <tableColumn id="21" xr3:uid="{4BED296E-9372-4C92-B56B-52D45A423104}" name="ReadyForCW_BL(SUM)" dataDxfId="82">
      <calculatedColumnFormula>0+Table_SiteMilestoneTrackingSummary[[#This Row],[ReadyForCW_BL]]</calculatedColumnFormula>
    </tableColumn>
    <tableColumn id="8" xr3:uid="{C88AD7AE-25FF-495D-8508-6E41DDFB67C9}" name="ReadyForCW_AC" dataDxfId="81">
      <calculatedColumnFormula>COUNTIFS(Table_SiteMilestoneTracking[SiteReadyForCW_AC],"&gt;="&amp;Table_SiteMilestoneTrackingSummary[[#This Row],[StartDate]:[StartDate]],
Table_SiteMilestoneTracking[SiteReadyForCW_AC],"&lt;"&amp;Table_SiteMilestoneTrackingSummary[[#This Row],[EndDate]:[EndDate]]+1)</calculatedColumnFormula>
    </tableColumn>
    <tableColumn id="24" xr3:uid="{5441D576-880C-43B9-8ED6-5F174B01B2D8}" name="ReadyForCW_AC(SUM)" dataDxfId="80">
      <calculatedColumnFormula>0+Table_SiteMilestoneTrackingSummary[[#This Row],[ReadyForCW_AC]]</calculatedColumnFormula>
    </tableColumn>
    <tableColumn id="98" xr3:uid="{1D6CE837-ECBE-484D-8DB1-FAFA691B5F04}" name="c3_CivilWorksEV" dataDxfId="79">
      <calculatedColumnFormula>$AW$2*Table_SiteMilestoneTrackingSummary[[#This Row],[ReadyForPower_AC]]</calculatedColumnFormula>
    </tableColumn>
    <tableColumn id="99" xr3:uid="{C5159C86-4445-466E-9280-7E64F8B04FC6}" name="c3_CivilWorksEV(SUM)" dataDxfId="78">
      <calculatedColumnFormula>0+Table_SiteMilestoneTrackingSummary[[#This Row],[c3_CivilWorksEV]]</calculatedColumnFormula>
    </tableColumn>
    <tableColumn id="56" xr3:uid="{DB117478-300B-4B33-8B2F-3513671D8D66}" name="c3_CivilWorksCostBL" dataDxfId="77">
      <calculatedColumnFormula>SUMIFS(Table_SiteMilestoneTracking[c3_CivilWorksCostBL],
Table_SiteMilestoneTracking[SiteReadyForPower_BL],"&gt;="&amp;Table_SiteMilestoneTrackingSummary[[#This Row],[StartDate]:[StartDate]],
Table_SiteMilestoneTracking[SiteReadyForPower_BL],"&lt;"&amp;Table_SiteMilestoneTrackingSummary[[#This Row],[EndDate]:[EndDate]]+1)</calculatedColumnFormula>
    </tableColumn>
    <tableColumn id="57" xr3:uid="{2FFB1615-EE1E-42B3-9C16-E8A19BE23675}" name="c3_CivilWorksCostBL(SUM)" dataDxfId="76">
      <calculatedColumnFormula>0+Table_SiteMilestoneTrackingSummary[[#This Row],[c3_CivilWorksCostBL]]</calculatedColumnFormula>
    </tableColumn>
    <tableColumn id="58" xr3:uid="{B18D3E48-07B7-47DA-B54A-F390FA7D8120}" name="c3_CivilWorksCostAC" dataDxfId="75">
      <calculatedColumnFormula>SUMIFS(Table_SiteMilestoneTracking[c3_CivilWorksCostAC],
Table_SiteMilestoneTracking[SiteReadyForPower_AC],"&gt;="&amp;Table_SiteMilestoneTrackingSummary[[#This Row],[StartDate]:[StartDate]],
Table_SiteMilestoneTracking[SiteReadyForPower_AC],"&lt;"&amp;Table_SiteMilestoneTrackingSummary[[#This Row],[EndDate]:[EndDate]]+1)</calculatedColumnFormula>
    </tableColumn>
    <tableColumn id="59" xr3:uid="{1CDC68F3-AFBB-4EC3-AB55-B2210A2F435B}" name="c3_CivilWorksCostAC(SUM)" dataDxfId="74">
      <calculatedColumnFormula>0+Table_SiteMilestoneTrackingSummary[[#This Row],[c3_CivilWorksCostAC]]</calculatedColumnFormula>
    </tableColumn>
    <tableColumn id="9" xr3:uid="{923CA6A8-B4D0-46AB-8BE3-AF978E9E3FBC}" name="ReadyForPower_BL" dataDxfId="73">
      <calculatedColumnFormula>COUNTIFS(Table_SiteMilestoneTracking[SiteReadyForPower_BL],"&gt;="&amp;Table_SiteMilestoneTrackingSummary[[#This Row],[StartDate]:[StartDate]],
Table_SiteMilestoneTracking[SiteReadyForPower_BL],"&lt;"&amp;Table_SiteMilestoneTrackingSummary[[#This Row],[EndDate]:[EndDate]]+1)</calculatedColumnFormula>
    </tableColumn>
    <tableColumn id="25" xr3:uid="{E4A741BD-4E99-4E27-ADEE-621DF760C9A9}" name="ReadyForPower_BL(SUM)" dataDxfId="72">
      <calculatedColumnFormula>0+Table_SiteMilestoneTrackingSummary[[#This Row],[ReadyForPower_BL]]</calculatedColumnFormula>
    </tableColumn>
    <tableColumn id="10" xr3:uid="{2AFEC817-78CD-460A-9621-9264DE502379}" name="ReadyForPower_AC" dataDxfId="71">
      <calculatedColumnFormula>COUNTIFS(Table_SiteMilestoneTracking[SiteReadyForPower_AC],"&gt;="&amp;Table_SiteMilestoneTrackingSummary[[#This Row],[StartDate]:[StartDate]],
Table_SiteMilestoneTracking[SiteReadyForPower_AC],"&lt;"&amp;Table_SiteMilestoneTrackingSummary[[#This Row],[EndDate]:[EndDate]]+1)</calculatedColumnFormula>
    </tableColumn>
    <tableColumn id="26" xr3:uid="{8F55DBE0-72B8-46D4-886E-B060E1C8EBF4}" name="ReadyForPower_AC(SUM)" dataDxfId="70">
      <calculatedColumnFormula>0+Table_SiteMilestoneTrackingSummary[[#This Row],[ReadyForPower_AC]]</calculatedColumnFormula>
    </tableColumn>
    <tableColumn id="100" xr3:uid="{F530365D-50F8-4469-AA0B-FC5BF7C6E72E}" name="c4_PowerInstallEV" dataDxfId="69">
      <calculatedColumnFormula>$BG$2*Table_SiteMilestoneTrackingSummary[[#This Row],[TXReady_AC]]</calculatedColumnFormula>
    </tableColumn>
    <tableColumn id="101" xr3:uid="{550E7985-4937-4DC6-95E0-F7A1628257D7}" name="c4_PowerInstallEV(SUM)" dataDxfId="68">
      <calculatedColumnFormula>0+Table_SiteMilestoneTrackingSummary[[#This Row],[c4_PowerInstallEV]]</calculatedColumnFormula>
    </tableColumn>
    <tableColumn id="64" xr3:uid="{06822E8E-52B7-44AA-AB2A-EC06F2A7C14D}" name="c4_PowerInstallCostBL" dataDxfId="67">
      <calculatedColumnFormula>SUMIFS(Table_SiteMilestoneTracking[c4_PowerInstallCostBL],
Table_SiteMilestoneTracking[TXReady_BL],"&gt;="&amp;Table_SiteMilestoneTrackingSummary[[#This Row],[StartDate]:[StartDate]],
Table_SiteMilestoneTracking[TXReady_BL],"&lt;"&amp;Table_SiteMilestoneTrackingSummary[[#This Row],[EndDate]:[EndDate]]+1)</calculatedColumnFormula>
    </tableColumn>
    <tableColumn id="65" xr3:uid="{0BC735F3-BDA1-4CD6-804C-15E194EF25EE}" name="c4_PowerInstallCostBL(SUM)" dataDxfId="66">
      <calculatedColumnFormula>0+Table_SiteMilestoneTrackingSummary[[#This Row],[c4_PowerInstallCostBL]]</calculatedColumnFormula>
    </tableColumn>
    <tableColumn id="66" xr3:uid="{270E5D79-513A-4A50-8764-3275CC33C3E9}" name="c4_PowerInstallCostAC" dataDxfId="65">
      <calculatedColumnFormula>SUMIFS(Table_SiteMilestoneTracking[c4_PowerInstallCostAC],
Table_SiteMilestoneTracking[TXReady_AC],"&gt;="&amp;Table_SiteMilestoneTrackingSummary[[#This Row],[StartDate]:[StartDate]],
Table_SiteMilestoneTracking[TXReady_AC],"&lt;"&amp;Table_SiteMilestoneTrackingSummary[[#This Row],[EndDate]:[EndDate]]+1)</calculatedColumnFormula>
    </tableColumn>
    <tableColumn id="67" xr3:uid="{1B72B6D4-0B88-4BE6-968C-1DC57874D8DF}" name="c4_PowerInstallCostAC(SUM)" dataDxfId="64">
      <calculatedColumnFormula>0+Table_SiteMilestoneTrackingSummary[[#This Row],[c4_PowerInstallCostAC]]</calculatedColumnFormula>
    </tableColumn>
    <tableColumn id="13" xr3:uid="{66CA51AC-5438-4BA8-83D6-D4743FFBA752}" name="TXReady_BL" dataDxfId="63">
      <calculatedColumnFormula>COUNTIFS(Table_SiteMilestoneTracking[TXReady_BL],"&gt;="&amp;Table_SiteMilestoneTrackingSummary[[#This Row],[StartDate]:[StartDate]],
Table_SiteMilestoneTracking[TXReady_BL],"&lt;"&amp;Table_SiteMilestoneTrackingSummary[[#This Row],[EndDate]:[EndDate]]+1)</calculatedColumnFormula>
    </tableColumn>
    <tableColumn id="27" xr3:uid="{1BBDFC6A-D74E-41C3-90BC-3557B4CFF549}" name="TXReady_BL(SUM)" dataDxfId="62">
      <calculatedColumnFormula>0+Table_SiteMilestoneTrackingSummary[[#This Row],[TXReady_BL]]</calculatedColumnFormula>
    </tableColumn>
    <tableColumn id="14" xr3:uid="{6A4418FC-EB61-46C6-817C-EE703597E85F}" name="TXReady_AC" dataDxfId="61">
      <calculatedColumnFormula>COUNTIFS(Table_SiteMilestoneTracking[TXReady_AC],"&gt;="&amp;Table_SiteMilestoneTrackingSummary[[#This Row],[StartDate]:[StartDate]],
Table_SiteMilestoneTracking[TXReady_AC],"&lt;"&amp;Table_SiteMilestoneTrackingSummary[[#This Row],[EndDate]:[EndDate]]+1)</calculatedColumnFormula>
    </tableColumn>
    <tableColumn id="28" xr3:uid="{3C082214-04AB-4939-B825-F1749D8CFB36}" name="TXReady_AC(SUM)" dataDxfId="60">
      <calculatedColumnFormula>0+Table_SiteMilestoneTrackingSummary[[#This Row],[TXReady_AC]]</calculatedColumnFormula>
    </tableColumn>
    <tableColumn id="102" xr3:uid="{C6862DC2-2D66-448A-A15C-A812FD9CC979}" name="c5_TxIntegrationEV" dataDxfId="59">
      <calculatedColumnFormula>$BQ$2*Table_SiteMilestoneTrackingSummary[[#This Row],[ReadyForInstallation_AC]]</calculatedColumnFormula>
    </tableColumn>
    <tableColumn id="103" xr3:uid="{47CADE85-B5FF-4BE6-B05B-3E797BAD1AD1}" name="c5_TxIntegrationEV(SUM)" dataDxfId="58">
      <calculatedColumnFormula>0+Table_SiteMilestoneTrackingSummary[[#This Row],[c5_TxIntegrationEV]]</calculatedColumnFormula>
    </tableColumn>
    <tableColumn id="68" xr3:uid="{CCF00042-3954-4F5F-A71C-AB1B26566858}" name="c5_TxIntegrationCostBL" dataDxfId="57">
      <calculatedColumnFormula>SUMIFS(Table_SiteMilestoneTracking[c5_TxintegrationCostBL],
Table_SiteMilestoneTracking[SiteReadyForInstallation_BL],"&gt;="&amp;Table_SiteMilestoneTrackingSummary[[#This Row],[StartDate]:[StartDate]],
Table_SiteMilestoneTracking[SiteReadyForInstallation_BL],"&lt;"&amp;Table_SiteMilestoneTrackingSummary[[#This Row],[EndDate]:[EndDate]]+1)</calculatedColumnFormula>
    </tableColumn>
    <tableColumn id="69" xr3:uid="{CEE4AD06-27E4-4080-9767-FD99B0D74B24}" name="c5_TxIntegrationCostBL(SUM)" dataDxfId="56">
      <calculatedColumnFormula>0+Table_SiteMilestoneTrackingSummary[[#This Row],[c5_TxIntegrationCostBL]]</calculatedColumnFormula>
    </tableColumn>
    <tableColumn id="70" xr3:uid="{C350A412-5623-4853-B7AD-FC534E27693B}" name="c5_TxIntegrationCostAC" dataDxfId="55">
      <calculatedColumnFormula>SUMIFS(Table_SiteMilestoneTracking[c5_TxintegrationCostAC],
Table_SiteMilestoneTracking[SiteReadyForInstallation_AC],"&gt;="&amp;Table_SiteMilestoneTrackingSummary[[#This Row],[StartDate]:[StartDate]],
Table_SiteMilestoneTracking[SiteReadyForInstallation_AC],"&lt;"&amp;Table_SiteMilestoneTrackingSummary[[#This Row],[EndDate]:[EndDate]]+1)</calculatedColumnFormula>
    </tableColumn>
    <tableColumn id="71" xr3:uid="{7D7B3D58-4B3A-447F-87E1-03CE874B5423}" name="c5_TxIntegrationCostAC(SUM)" dataDxfId="54">
      <calculatedColumnFormula>0+Table_SiteMilestoneTrackingSummary[[#This Row],[c5_TxIntegrationCostAC]]</calculatedColumnFormula>
    </tableColumn>
    <tableColumn id="11" xr3:uid="{E62547F3-8DBA-4C3C-8989-FC11846BF4F1}" name="ReadyForInstallation_BL" dataDxfId="53">
      <calculatedColumnFormula>COUNTIFS(Table_SiteMilestoneTracking[SiteReadyForInstallation_BL],"&gt;="&amp;Table_SiteMilestoneTrackingSummary[[#This Row],[StartDate]:[StartDate]],
Table_SiteMilestoneTracking[SiteReadyForInstallation_BL],"&lt;"&amp;Table_SiteMilestoneTrackingSummary[[#This Row],[EndDate]:[EndDate]]+1)</calculatedColumnFormula>
    </tableColumn>
    <tableColumn id="29" xr3:uid="{A8A07198-9708-486D-BB69-06B2CAE8EB06}" name="ReadyForInstallation_BL(SUM)" dataDxfId="52">
      <calculatedColumnFormula>0+Table_SiteMilestoneTrackingSummary[[#This Row],[ReadyForInstallation_BL]]</calculatedColumnFormula>
    </tableColumn>
    <tableColumn id="12" xr3:uid="{95261E23-EDFD-45A5-BEA2-90139A9498F6}" name="ReadyForInstallation_AC" dataDxfId="51">
      <calculatedColumnFormula>COUNTIFS(Table_SiteMilestoneTracking[SiteReadyForInstallation_AC],"&gt;="&amp;Table_SiteMilestoneTrackingSummary[[#This Row],[StartDate]:[StartDate]],
Table_SiteMilestoneTracking[SiteReadyForInstallation_AC],"&lt;"&amp;Table_SiteMilestoneTrackingSummary[[#This Row],[EndDate]:[EndDate]]+1)</calculatedColumnFormula>
    </tableColumn>
    <tableColumn id="30" xr3:uid="{88EC1BE5-426A-454A-B55B-DB391EAA983C}" name="ReadyForInstallation_AC(SUM)" dataDxfId="50">
      <calculatedColumnFormula>0+Table_SiteMilestoneTrackingSummary[[#This Row],[ReadyForInstallation_AC]]</calculatedColumnFormula>
    </tableColumn>
    <tableColumn id="104" xr3:uid="{6468908A-4497-4B91-BDBC-DBBDB5F1A081}" name="c6_InstallationEV" dataDxfId="49">
      <calculatedColumnFormula>$CA$2*Table_SiteMilestoneTrackingSummary[[#This Row],[ReadyForIntegration_AC]]</calculatedColumnFormula>
    </tableColumn>
    <tableColumn id="105" xr3:uid="{7DD3CAAD-1778-4AEF-8CB5-97E84DE1D5CB}" name="c6_InstallationEV(SUM)" dataDxfId="48">
      <calculatedColumnFormula>0+Table_SiteMilestoneTrackingSummary[[#This Row],[c6_InstallationEV]]</calculatedColumnFormula>
    </tableColumn>
    <tableColumn id="72" xr3:uid="{CD863A5A-1B68-4F05-AE77-E8295DA09649}" name="c6_InstallationCostBL" dataDxfId="47">
      <calculatedColumnFormula>SUMIFS(Table_SiteMilestoneTracking[c6_InstallationCostBL],
Table_SiteMilestoneTracking[SiteReadyForIntegration_BL],"&gt;="&amp;Table_SiteMilestoneTrackingSummary[[#This Row],[StartDate]:[StartDate]],
Table_SiteMilestoneTracking[SiteReadyForIntegration_BL],"&lt;"&amp;Table_SiteMilestoneTrackingSummary[[#This Row],[EndDate]:[EndDate]]+1)</calculatedColumnFormula>
    </tableColumn>
    <tableColumn id="73" xr3:uid="{95524A43-0B7B-4F3E-BF7F-1B2AFE7A92E2}" name="c6_InstallationCostBL(SUM)" dataDxfId="46">
      <calculatedColumnFormula>0+Table_SiteMilestoneTrackingSummary[[#This Row],[c6_InstallationCostBL]]</calculatedColumnFormula>
    </tableColumn>
    <tableColumn id="74" xr3:uid="{9221BA24-749D-421C-AD28-E77037A0F87E}" name="c6_InstallationCostAC" dataDxfId="45">
      <calculatedColumnFormula>SUMIFS(Table_SiteMilestoneTracking[c6_InstallationCostAC],
Table_SiteMilestoneTracking[SiteReadyForIntegration_AC],"&gt;="&amp;Table_SiteMilestoneTrackingSummary[[#This Row],[StartDate]:[StartDate]],
Table_SiteMilestoneTracking[SiteReadyForIntegration_AC],"&lt;"&amp;Table_SiteMilestoneTrackingSummary[[#This Row],[EndDate]:[EndDate]]+1)</calculatedColumnFormula>
    </tableColumn>
    <tableColumn id="75" xr3:uid="{2EF2D78D-C1BE-4525-9B19-93248DE02250}" name="c6_InstallationCostAC(SUM)" dataDxfId="44">
      <calculatedColumnFormula>0+Table_SiteMilestoneTrackingSummary[[#This Row],[c6_InstallationCostAC]]</calculatedColumnFormula>
    </tableColumn>
    <tableColumn id="15" xr3:uid="{BF3FE624-3D75-48FD-8785-60077F56EA11}" name="ReadyForIntegration_BL" dataDxfId="43">
      <calculatedColumnFormula>COUNTIFS(Table_SiteMilestoneTracking[SiteReadyForIntegration_BL],"&gt;="&amp;Table_SiteMilestoneTrackingSummary[[#This Row],[StartDate]:[StartDate]],
Table_SiteMilestoneTracking[SiteReadyForIntegration_BL],"&lt;"&amp;Table_SiteMilestoneTrackingSummary[[#This Row],[EndDate]:[EndDate]]+1)</calculatedColumnFormula>
    </tableColumn>
    <tableColumn id="31" xr3:uid="{21A2AC3F-5D7E-4418-BF01-D224673BF128}" name="ReadyForIntegration_BL(SUM)" dataDxfId="42">
      <calculatedColumnFormula>0+Table_SiteMilestoneTrackingSummary[[#This Row],[ReadyForIntegration_BL]]</calculatedColumnFormula>
    </tableColumn>
    <tableColumn id="16" xr3:uid="{14BF4FB4-53F1-498A-A9E5-10D37373CC81}" name="ReadyForIntegration_AC" dataDxfId="41">
      <calculatedColumnFormula>COUNTIFS(Table_SiteMilestoneTracking[SiteReadyForIntegration_AC],"&gt;="&amp;Table_SiteMilestoneTrackingSummary[[#This Row],[StartDate]:[StartDate]],
Table_SiteMilestoneTracking[SiteReadyForIntegration_AC],"&lt;"&amp;Table_SiteMilestoneTrackingSummary[[#This Row],[EndDate]:[EndDate]]+1)</calculatedColumnFormula>
    </tableColumn>
    <tableColumn id="32" xr3:uid="{84A244A9-F37B-48ED-B479-E7FCDBED619F}" name="ReadyForIntegration_AC(SUM)" dataDxfId="40">
      <calculatedColumnFormula>0+Table_SiteMilestoneTrackingSummary[[#This Row],[ReadyForIntegration_AC]]</calculatedColumnFormula>
    </tableColumn>
    <tableColumn id="106" xr3:uid="{8354F326-3DA8-4821-8F1D-043D26681C54}" name="c7_IntegrationEV" dataDxfId="39">
      <calculatedColumnFormula>$CK$2*Table_SiteMilestoneTrackingSummary[[#This Row],[SiteOnAir_AC]]</calculatedColumnFormula>
    </tableColumn>
    <tableColumn id="107" xr3:uid="{AE95F550-EFE7-44E1-B166-3DC29EA27193}" name="c7_IntegrationEV(SUM)" dataDxfId="38">
      <calculatedColumnFormula>0+Table_SiteMilestoneTrackingSummary[[#This Row],[c7_IntegrationEV]]</calculatedColumnFormula>
    </tableColumn>
    <tableColumn id="76" xr3:uid="{126AA6C7-CE74-4A82-AC10-59CF61A86403}" name="c7_IntegrationCostBL" dataDxfId="37">
      <calculatedColumnFormula>SUMIFS(Table_SiteMilestoneTracking[c7_IntegrationCostBL],
Table_SiteMilestoneTracking[SiteOnAir_BL],"&gt;="&amp;Table_SiteMilestoneTrackingSummary[[#This Row],[StartDate]:[StartDate]],
Table_SiteMilestoneTracking[SiteOnAir_BL],"&lt;"&amp;Table_SiteMilestoneTrackingSummary[[#This Row],[EndDate]:[EndDate]]+1)</calculatedColumnFormula>
    </tableColumn>
    <tableColumn id="77" xr3:uid="{A01D69BF-82DD-4FBA-9910-9CA8DFE24BD9}" name="c7_IntegrationCostBL(SUM)" dataDxfId="36">
      <calculatedColumnFormula>0+Table_SiteMilestoneTrackingSummary[[#This Row],[c7_IntegrationCostBL]]</calculatedColumnFormula>
    </tableColumn>
    <tableColumn id="78" xr3:uid="{039B65B9-1FFD-4146-9C93-90D29C747884}" name="c7_IntegrationCostAC" dataDxfId="35">
      <calculatedColumnFormula>SUMIFS(Table_SiteMilestoneTracking[c7_IntegrationCostAC],
Table_SiteMilestoneTracking[SiteOnAir_AC],"&gt;="&amp;Table_SiteMilestoneTrackingSummary[[#This Row],[StartDate]:[StartDate]],
Table_SiteMilestoneTracking[SiteOnAir_AC],"&lt;"&amp;Table_SiteMilestoneTrackingSummary[[#This Row],[EndDate]:[EndDate]]+1)</calculatedColumnFormula>
    </tableColumn>
    <tableColumn id="79" xr3:uid="{A4F59508-E165-42E7-8041-EA12D2CB98C6}" name="c7_IntegrationCostAC(SUM)" dataDxfId="34">
      <calculatedColumnFormula>0+Table_SiteMilestoneTrackingSummary[[#This Row],[c7_IntegrationCostAC]]</calculatedColumnFormula>
    </tableColumn>
    <tableColumn id="17" xr3:uid="{059F2D39-C8C7-450E-B984-25A4538A4FA6}" name="SiteOnAir_BL" dataDxfId="33">
      <calculatedColumnFormula>COUNTIFS(Table_SiteMilestoneTracking[SiteOnAir_BL],"&gt;="&amp;Table_SiteMilestoneTrackingSummary[[#This Row],[StartDate]:[StartDate]],
Table_SiteMilestoneTracking[SiteOnAir_BL],"&lt;"&amp;Table_SiteMilestoneTrackingSummary[[#This Row],[EndDate]:[EndDate]]+1)</calculatedColumnFormula>
    </tableColumn>
    <tableColumn id="33" xr3:uid="{817CBA13-75D5-4F33-9C33-81AAA4F3B393}" name="SiteOnAir_BL(SUM)" dataDxfId="32">
      <calculatedColumnFormula>0+Table_SiteMilestoneTrackingSummary[[#This Row],[SiteOnAir_BL]]</calculatedColumnFormula>
    </tableColumn>
    <tableColumn id="18" xr3:uid="{5A666141-08D5-41B0-B92E-AB89903A9849}" name="SiteOnAir_AC" dataDxfId="31">
      <calculatedColumnFormula>COUNTIFS(Table_SiteMilestoneTracking[SiteOnAir_AC],"&gt;="&amp;Table_SiteMilestoneTrackingSummary[[#This Row],[StartDate]:[StartDate]],
Table_SiteMilestoneTracking[SiteOnAir_AC],"&lt;"&amp;Table_SiteMilestoneTrackingSummary[[#This Row],[EndDate]:[EndDate]]+1)</calculatedColumnFormula>
    </tableColumn>
    <tableColumn id="34" xr3:uid="{DC51D2CA-2BE4-4FDA-944C-E8F1181E2609}" name="SiteOnAir_AC(SUM)" dataDxfId="30">
      <calculatedColumnFormula>0+Table_SiteMilestoneTrackingSummary[[#This Row],[SiteOnAir_AC]]</calculatedColumnFormula>
    </tableColumn>
    <tableColumn id="108" xr3:uid="{EB8B2CF4-7192-43AC-9BEF-CCCE631EF0DC}" name="c8_AcceptanceEV" dataDxfId="29">
      <calculatedColumnFormula>$CU$2*Table_SiteMilestoneTrackingSummary[[#This Row],[SiteAccepted_AC]]</calculatedColumnFormula>
    </tableColumn>
    <tableColumn id="109" xr3:uid="{42AF02EF-8F70-4F24-9136-F7C403FBD53C}" name="c8_AcceptanceEV(SUM)" dataDxfId="28">
      <calculatedColumnFormula>0+Table_SiteMilestoneTrackingSummary[[#This Row],[c8_AcceptanceEV]]</calculatedColumnFormula>
    </tableColumn>
    <tableColumn id="80" xr3:uid="{2EF6BFBD-6FDB-47CF-B095-9905D6D7DD82}" name="c8_AcceptanceCostBL" dataDxfId="27">
      <calculatedColumnFormula>SUMIFS(Table_SiteMilestoneTracking[c8_AcceptanceCostBL],
Table_SiteMilestoneTracking[SiteAccepted_BL],"&gt;="&amp;Table_SiteMilestoneTrackingSummary[[#This Row],[StartDate]:[StartDate]],
Table_SiteMilestoneTracking[SiteAccepted_BL],"&lt;"&amp;Table_SiteMilestoneTrackingSummary[[#This Row],[EndDate]:[EndDate]]+1)</calculatedColumnFormula>
    </tableColumn>
    <tableColumn id="81" xr3:uid="{C79373CD-FB65-4F75-A21F-86D131AD5776}" name="c8_AcceptanceCostBL(SUM)" dataDxfId="26">
      <calculatedColumnFormula>0+Table_SiteMilestoneTrackingSummary[[#This Row],[c8_AcceptanceCostBL]]</calculatedColumnFormula>
    </tableColumn>
    <tableColumn id="82" xr3:uid="{C09E9FBC-314E-455A-B411-95E50F61C957}" name="c8_AcceptanceCostAC" dataDxfId="25">
      <calculatedColumnFormula>SUMIFS(Table_SiteMilestoneTracking[c8_AcceptanceCostAC],
Table_SiteMilestoneTracking[SiteAccepted_AC],"&gt;="&amp;Table_SiteMilestoneTrackingSummary[[#This Row],[StartDate]:[StartDate]],
Table_SiteMilestoneTracking[SiteAccepted_AC],"&lt;"&amp;Table_SiteMilestoneTrackingSummary[[#This Row],[EndDate]:[EndDate]]+1)</calculatedColumnFormula>
    </tableColumn>
    <tableColumn id="83" xr3:uid="{AFA86020-A54B-44EC-8E98-7F95B6281B99}" name="c8_AcceptanceCostAC(SUM)" dataDxfId="24">
      <calculatedColumnFormula>0+Table_SiteMilestoneTrackingSummary[[#This Row],[c8_AcceptanceCostAC]]</calculatedColumnFormula>
    </tableColumn>
    <tableColumn id="19" xr3:uid="{D933E27B-F7C1-4DD2-8E8C-08D423D126C5}" name="SiteAccepted_BL" dataDxfId="23">
      <calculatedColumnFormula>COUNTIFS(Table_SiteMilestoneTracking[SiteAccepted_BL],"&gt;="&amp;Table_SiteMilestoneTrackingSummary[[#This Row],[StartDate]:[StartDate]],
Table_SiteMilestoneTracking[SiteAccepted_BL],"&lt;"&amp;Table_SiteMilestoneTrackingSummary[[#This Row],[EndDate]:[EndDate]]+1)</calculatedColumnFormula>
    </tableColumn>
    <tableColumn id="35" xr3:uid="{ECFAA915-BCC4-4FD3-92C8-AB3EBCFD29A8}" name="SiteAccepted_BL(SUM)" dataDxfId="22">
      <calculatedColumnFormula>0+Table_SiteMilestoneTrackingSummary[[#This Row],[SiteAccepted_BL]]</calculatedColumnFormula>
    </tableColumn>
    <tableColumn id="20" xr3:uid="{ED95F77C-B65A-4065-AAB5-12F186F965C7}" name="SiteAccepted_AC" dataDxfId="21">
      <calculatedColumnFormula>COUNTIFS(Table_SiteMilestoneTracking[SiteAccepted_AC],"&gt;="&amp;Table_SiteMilestoneTrackingSummary[[#This Row],[StartDate]:[StartDate]],
Table_SiteMilestoneTracking[SiteAccepted_AC],"&lt;"&amp;Table_SiteMilestoneTrackingSummary[[#This Row],[EndDate]:[EndDate]]+1)</calculatedColumnFormula>
    </tableColumn>
    <tableColumn id="36" xr3:uid="{5276E006-7C71-44A4-8692-1C47CDAE7F47}" name="SiteAccepted_AC(SUM)">
      <calculatedColumnFormula>0+Table_SiteMilestoneTrackingSummary[[#This Row],[SiteAccepted_AC]]</calculatedColumnFormula>
    </tableColumn>
    <tableColumn id="110" xr3:uid="{0E379891-BE79-430A-8ADD-B3916209C877}" name="c9_HandoverEV" dataDxfId="20">
      <calculatedColumnFormula>$DE$2*Table_SiteMilestoneTrackingSummary[[#This Row],[SiteInOperations_AC]]</calculatedColumnFormula>
    </tableColumn>
    <tableColumn id="111" xr3:uid="{226991AD-89D5-464D-A390-F1900CDDD47E}" name="c9_HandoverEV(SUM)" dataDxfId="19">
      <calculatedColumnFormula>0+Table_SiteMilestoneTrackingSummary[[#This Row],[c9_HandoverEV]]</calculatedColumnFormula>
    </tableColumn>
    <tableColumn id="84" xr3:uid="{00ACE4DC-66D9-4FC7-8D30-C35F4BB4239F}" name="c9_HandoverCostBL2" dataDxfId="18">
      <calculatedColumnFormula>SUMIFS(Table_SiteMilestoneTracking[c9_HandoverCostBL],
Table_SiteMilestoneTracking[SiteInOperations_BL],"&gt;="&amp;Table_SiteMilestoneTrackingSummary[[#This Row],[StartDate]:[StartDate]],
Table_SiteMilestoneTracking[SiteInOperations_BL],"&lt;"&amp;Table_SiteMilestoneTrackingSummary[[#This Row],[EndDate]:[EndDate]]+1)</calculatedColumnFormula>
    </tableColumn>
    <tableColumn id="85" xr3:uid="{CA5DFDD3-0A7F-4F15-BFAF-6A49858FD8CA}" name="c9_HandoverCostBL(SUM)" dataDxfId="17">
      <calculatedColumnFormula>0+Table_SiteMilestoneTrackingSummary[[#This Row],[c9_HandoverCostBL2]]</calculatedColumnFormula>
    </tableColumn>
    <tableColumn id="86" xr3:uid="{E7E2979A-A81A-4293-AACD-06F5ECB1744D}" name="c9_HandoverCostAC" dataDxfId="16">
      <calculatedColumnFormula>SUMIFS(Table_SiteMilestoneTracking[c9_HandoverCostAC],
Table_SiteMilestoneTracking[SiteInOperations_AC],"&gt;="&amp;Table_SiteMilestoneTrackingSummary[[#This Row],[StartDate]:[StartDate]],
Table_SiteMilestoneTracking[SiteInOperations_AC],"&lt;"&amp;Table_SiteMilestoneTrackingSummary[[#This Row],[EndDate]:[EndDate]]+1)</calculatedColumnFormula>
    </tableColumn>
    <tableColumn id="87" xr3:uid="{4D309AD0-A03A-40BD-BA19-66454E53CA88}" name="c9_HandoverCostAC(SUM)" dataDxfId="15">
      <calculatedColumnFormula>0+Table_SiteMilestoneTrackingSummary[[#This Row],[c9_HandoverCostAC]]</calculatedColumnFormula>
    </tableColumn>
    <tableColumn id="37" xr3:uid="{D6EE982A-68E5-4541-BBC7-82198C34A2DB}" name="SiteInOperations_BL" dataDxfId="14">
      <calculatedColumnFormula>COUNTIFS(Table_SiteMilestoneTracking[SiteInOperations_BL],"&gt;="&amp;Table_SiteMilestoneTrackingSummary[[#This Row],[StartDate]:[StartDate]],
Table_SiteMilestoneTracking[SiteInOperations_BL],"&lt;"&amp;Table_SiteMilestoneTrackingSummary[[#This Row],[EndDate]:[EndDate]]+1)</calculatedColumnFormula>
    </tableColumn>
    <tableColumn id="38" xr3:uid="{890E1444-47D9-41FB-804F-26EB36CF59C9}" name="SiteInOperations_BL(SUM)">
      <calculatedColumnFormula>0+Table_SiteMilestoneTrackingSummary[[#This Row],[SiteInOperations_BL]]</calculatedColumnFormula>
    </tableColumn>
    <tableColumn id="39" xr3:uid="{01E38242-BDFF-439E-B287-D3638BA712CD}" name="SiteInOperations_AC" dataDxfId="13">
      <calculatedColumnFormula>COUNTIFS(Table_SiteMilestoneTracking[SiteInOperations_AC],"&gt;="&amp;Table_SiteMilestoneTrackingSummary[[#This Row],[StartDate]:[StartDate]],
Table_SiteMilestoneTracking[SiteInOperations_AC],"&lt;"&amp;Table_SiteMilestoneTrackingSummary[[#This Row],[EndDate]:[EndDate]]+1)</calculatedColumnFormula>
    </tableColumn>
    <tableColumn id="40" xr3:uid="{FBE756A1-67FB-46AB-A461-62438A53AF4C}" name="SiteInOperations_AC(SUM)">
      <calculatedColumnFormula>0+Table_SiteMilestoneTrackingSummary[[#This Row],[SiteInOperations_AC]]</calculatedColumnFormula>
    </tableColumn>
    <tableColumn id="91" xr3:uid="{7D832158-F341-4DE9-8636-99301E2A9A48}" name="AccumulatedEV" dataDxfId="12">
      <calculatedColumnFormula>Table_SiteMilestoneTrackingSummary[[#This Row],[c0_SiteDesignEV(SUM)]]+Table_SiteMilestoneTrackingSummary[[#This Row],[c1_SiteSurveyEV(SUM)]]+Table_SiteMilestoneTrackingSummary[[#This Row],[c2_SiteAcquisitionEV(SUM)]]+Table_SiteMilestoneTrackingSummary[[#This Row],[c2a_SiteCWReadinessEV(SUM)]]+Table_SiteMilestoneTrackingSummary[[#This Row],[c3_CivilWorksEV(SUM)]]+Table_SiteMilestoneTrackingSummary[[#This Row],[c4_PowerInstallEV(SUM)]]+Table_SiteMilestoneTrackingSummary[[#This Row],[c5_TxIntegrationEV(SUM)]]+Table_SiteMilestoneTrackingSummary[[#This Row],[c6_InstallationEV(SUM)]]+Table_SiteMilestoneTrackingSummary[[#This Row],[c7_IntegrationEV(SUM)]]+Table_SiteMilestoneTrackingSummary[[#This Row],[c8_AcceptanceEV(SUM)]]+Table_SiteMilestoneTrackingSummary[[#This Row],[c9_HandoverEV(SUM)]]</calculatedColumnFormula>
    </tableColumn>
    <tableColumn id="88" xr3:uid="{E7F2CE6D-2566-4566-A3E3-B196D38296EC}" name="AccumulatedPV" dataDxfId="11">
      <calculatedColumnFormula>Table_SiteMilestoneTrackingSummary[[#This Row],[c0_SiteDesignCostBL(SUM)]]+Table_SiteMilestoneTrackingSummary[[#This Row],[c1_SiteSurveyCostBL(SUM)]]+Table_SiteMilestoneTrackingSummary[[#This Row],[c2_SiteAcquisitionCostBL(SUM)]]+Table_SiteMilestoneTrackingSummary[[#This Row],[c2a_SiteCWReadinessCostBL(SUM)]]+Table_SiteMilestoneTrackingSummary[[#This Row],[c3_CivilWorksCostBL(SUM)]]+Table_SiteMilestoneTrackingSummary[[#This Row],[c4_PowerInstallCostBL(SUM)]]+Table_SiteMilestoneTrackingSummary[[#This Row],[c5_TxIntegrationCostBL(SUM)]]+Table_SiteMilestoneTrackingSummary[[#This Row],[c6_InstallationCostBL(SUM)]]+Table_SiteMilestoneTrackingSummary[[#This Row],[c7_IntegrationCostBL(SUM)]]+Table_SiteMilestoneTrackingSummary[[#This Row],[c8_AcceptanceCostBL(SUM)]]+Table_SiteMilestoneTrackingSummary[[#This Row],[c9_HandoverCostBL(SUM)]]</calculatedColumnFormula>
    </tableColumn>
    <tableColumn id="89" xr3:uid="{497D35AC-7658-4297-BDFD-BEB855FC67AC}" name="AccumulatedAC" dataDxfId="10">
      <calculatedColumnFormula>Table_SiteMilestoneTrackingSummary[[#This Row],[c0_SiteDesignCostAC(SUM)]]+Table_SiteMilestoneTrackingSummary[[#This Row],[c1_SiteSurveyCostAC(SUM)]]+Table_SiteMilestoneTrackingSummary[[#This Row],[c2_SiteAcquisitionCostAC(SUM)]]+Table_SiteMilestoneTrackingSummary[[#This Row],[c2a_SiteCWReadinessCostAC(SUM)]]+Table_SiteMilestoneTrackingSummary[[#This Row],[c3_CivilWorksCostAC(SUM)]]+Table_SiteMilestoneTrackingSummary[[#This Row],[c4_PowerInstallCostAC(SUM)]]+Table_SiteMilestoneTrackingSummary[[#This Row],[c5_TxIntegrationCostAC(SUM)]]+Table_SiteMilestoneTrackingSummary[[#This Row],[c6_InstallationCostAC(SUM)]]+Table_SiteMilestoneTrackingSummary[[#This Row],[c7_IntegrationCostAC(SUM)]]+Table_SiteMilestoneTrackingSummary[[#This Row],[c8_AcceptanceCostAC(SUM)]]+Table_SiteMilestoneTrackingSummary[[#This Row],[c9_HandoverCostAC(SUM)]]</calculatedColumnFormula>
    </tableColumn>
    <tableColumn id="114" xr3:uid="{465FC35E-DA4D-4B2C-A273-272A7538E305}" name="ScheduleVariance(SV)" dataDxfId="9">
      <calculatedColumnFormula>Table_SiteMilestoneTrackingSummary[[#This Row],[AccumulatedEV]]-Table_SiteMilestoneTrackingSummary[[#This Row],[AccumulatedPV]]</calculatedColumnFormula>
    </tableColumn>
    <tableColumn id="113" xr3:uid="{4809BE3F-B3BF-4457-9348-5E1850DDF2E2}" name="CostVariance(CV)" dataDxfId="8">
      <calculatedColumnFormula>Table_SiteMilestoneTrackingSummary[[#This Row],[AccumulatedEV]]-Table_SiteMilestoneTrackingSummary[[#This Row],[AccumulatedAC]]</calculatedColumnFormula>
    </tableColumn>
    <tableColumn id="112" xr3:uid="{2723353C-7F11-444F-8FA4-6D23F5F0AF6E}" name="SPI" dataDxfId="7">
      <calculatedColumnFormula>IFERROR(Table_SiteMilestoneTrackingSummary[[#This Row],[AccumulatedEV]]/Table_SiteMilestoneTrackingSummary[[#This Row],[AccumulatedPV]],"/")</calculatedColumnFormula>
    </tableColumn>
    <tableColumn id="90" xr3:uid="{56FBC861-6796-4A07-B725-8F4162E6148A}" name="CPI" dataDxfId="6">
      <calculatedColumnFormula>IFERROR(Table_SiteMilestoneTrackingSummary[[#This Row],[AccumulatedEV]]/Table_SiteMilestoneTrackingSummary[[#This Row],[AccumulatedAC]],"/")</calculatedColumnFormula>
    </tableColumn>
  </tableColumns>
  <tableStyleInfo name="TableStyleMedium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F01AB09B-0BAB-4A15-B289-18A236425797}" name="Table_KPIs" displayName="Table_KPIs" ref="B3:I191" totalsRowShown="0">
  <autoFilter ref="B3:I191" xr:uid="{82C18BF3-DBC1-41DD-BCD5-CE10EC3C271E}"/>
  <tableColumns count="8">
    <tableColumn id="6" xr3:uid="{4165CF40-0699-4C81-97C2-C0937E1AE15C}" name="Phase"/>
    <tableColumn id="1" xr3:uid="{332188D0-D4BA-4CE9-BA45-EE2BC9BD21D9}" name="KPI_Name"/>
    <tableColumn id="2" xr3:uid="{E5D2ABEC-8B91-4053-AB68-8F7FE8AAD7D8}" name="KPI_Value"/>
    <tableColumn id="5" xr3:uid="{DD16ADC1-7D10-4D01-AFB9-DE521FC5153C}" name="Type"/>
    <tableColumn id="4" xr3:uid="{16656DF8-56A1-4072-9F55-2D6534F65B46}" name="Remark"/>
    <tableColumn id="3" xr3:uid="{BF751FB7-4164-49D4-8D6A-6353BDB2E743}" name="Column1"/>
    <tableColumn id="7" xr3:uid="{ABD58F63-D4CB-4191-8133-C77CA80BBEC3}" name="Column2"/>
    <tableColumn id="8" xr3:uid="{FE5C2D32-86FD-4637-914A-EA2B13B76B8B}" name="Column3"/>
  </tableColumns>
  <tableStyleInfo name="TableStyleMedium2"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FCF5FADF-B3AC-4A0A-B938-F5DAE19BCAC4}" name="Table_SiteMilestonesNames" displayName="Table_SiteMilestonesNames" ref="A1:B14" totalsRowShown="0">
  <autoFilter ref="A1:B14" xr:uid="{66F43F97-1EDD-4A16-96BA-6602FD44B7B1}"/>
  <tableColumns count="2">
    <tableColumn id="1" xr3:uid="{94397499-BC09-4155-80DA-1570086469A6}" name="SiteMilestoneID">
      <calculatedColumnFormula>ROW()-2</calculatedColumnFormula>
    </tableColumn>
    <tableColumn id="2" xr3:uid="{277ACF41-0D95-4971-B208-B278D612E89D}" name="SiteMilestoneNam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2" dT="2020-05-03T00:47:14.95" personId="{E642C3C9-22A3-4C69-8334-DCE799A2FE58}" id="{677F2D02-5A7C-4D9B-9AEF-C75EA1C5DFE5}">
    <text>What is this</text>
  </threadedComment>
  <threadedComment ref="I2" dT="2020-05-03T00:47:22.33" personId="{E642C3C9-22A3-4C69-8334-DCE799A2FE58}" id="{82A8F5CB-FDA6-43AB-9783-852935FD922A}">
    <text>What is this?</text>
  </threadedComment>
</ThreadedComments>
</file>

<file path=xl/threadedComments/threadedComment2.xml><?xml version="1.0" encoding="utf-8"?>
<ThreadedComments xmlns="http://schemas.microsoft.com/office/spreadsheetml/2018/threadedcomments" xmlns:x="http://schemas.openxmlformats.org/spreadsheetml/2006/main">
  <threadedComment ref="C3" dT="2020-05-03T01:26:59.33" personId="{E642C3C9-22A3-4C69-8334-DCE799A2FE58}" id="{05D86E28-B2C0-42B4-A39E-BB5CF7A59A38}">
    <text>Identify KPIs that are not mentioned in the document. Decide if we keep or delete those which are not mentioned</text>
  </threadedComment>
</ThreadedComments>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printerSettings" Target="../printerSettings/printerSettings2.bin"/><Relationship Id="rId6" Type="http://schemas.openxmlformats.org/officeDocument/2006/relationships/comments" Target="../comments1.xml"/><Relationship Id="rId5" Type="http://schemas.openxmlformats.org/officeDocument/2006/relationships/table" Target="../tables/table3.xml"/><Relationship Id="rId4" Type="http://schemas.openxmlformats.org/officeDocument/2006/relationships/table" Target="../tables/table2.xml"/></Relationships>
</file>

<file path=xl/worksheets/_rels/sheet4.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vmlDrawing" Target="../drawings/vmlDrawing2.vml"/><Relationship Id="rId1" Type="http://schemas.openxmlformats.org/officeDocument/2006/relationships/printerSettings" Target="../printerSettings/printerSettings3.bin"/><Relationship Id="rId6" Type="http://schemas.openxmlformats.org/officeDocument/2006/relationships/comments" Target="../comments2.xml"/><Relationship Id="rId5" Type="http://schemas.openxmlformats.org/officeDocument/2006/relationships/table" Target="../tables/table6.xml"/><Relationship Id="rId4" Type="http://schemas.openxmlformats.org/officeDocument/2006/relationships/table" Target="../tables/table5.xml"/></Relationships>
</file>

<file path=xl/worksheets/_rels/sheet5.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table" Target="../tables/table7.xml"/><Relationship Id="rId1" Type="http://schemas.openxmlformats.org/officeDocument/2006/relationships/vmlDrawing" Target="../drawings/vmlDrawing3.vml"/></Relationships>
</file>

<file path=xl/worksheets/_rels/sheet6.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table" Target="../tables/table8.xml"/><Relationship Id="rId1" Type="http://schemas.openxmlformats.org/officeDocument/2006/relationships/vmlDrawing" Target="../drawings/vmlDrawing4.vml"/><Relationship Id="rId4" Type="http://schemas.microsoft.com/office/2017/10/relationships/threadedComment" Target="../threadedComments/threadedComment1.xml"/></Relationships>
</file>

<file path=xl/worksheets/_rels/sheet7.xml.rels><?xml version="1.0" encoding="UTF-8" standalone="yes"?>
<Relationships xmlns="http://schemas.openxmlformats.org/package/2006/relationships"><Relationship Id="rId3" Type="http://schemas.openxmlformats.org/officeDocument/2006/relationships/table" Target="../tables/table9.xml"/><Relationship Id="rId2" Type="http://schemas.openxmlformats.org/officeDocument/2006/relationships/vmlDrawing" Target="../drawings/vmlDrawing5.vml"/><Relationship Id="rId1" Type="http://schemas.openxmlformats.org/officeDocument/2006/relationships/printerSettings" Target="../printerSettings/printerSettings4.bin"/><Relationship Id="rId4" Type="http://schemas.openxmlformats.org/officeDocument/2006/relationships/comments" Target="../comments5.xml"/></Relationships>
</file>

<file path=xl/worksheets/_rels/sheet8.xml.rels><?xml version="1.0" encoding="UTF-8" standalone="yes"?>
<Relationships xmlns="http://schemas.openxmlformats.org/package/2006/relationships"><Relationship Id="rId3" Type="http://schemas.openxmlformats.org/officeDocument/2006/relationships/table" Target="../tables/table10.xml"/><Relationship Id="rId2" Type="http://schemas.openxmlformats.org/officeDocument/2006/relationships/vmlDrawing" Target="../drawings/vmlDrawing6.vml"/><Relationship Id="rId1" Type="http://schemas.openxmlformats.org/officeDocument/2006/relationships/printerSettings" Target="../printerSettings/printerSettings5.bin"/><Relationship Id="rId4" Type="http://schemas.openxmlformats.org/officeDocument/2006/relationships/comments" Target="../comments6.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11.xml.rels><?xml version="1.0" encoding="UTF-8" standalone="yes"?>
<Relationships xmlns="http://schemas.openxmlformats.org/package/2006/relationships"><Relationship Id="rId3" Type="http://schemas.openxmlformats.org/officeDocument/2006/relationships/table" Target="../tables/table11.xml"/><Relationship Id="rId2" Type="http://schemas.openxmlformats.org/officeDocument/2006/relationships/vmlDrawing" Target="../drawings/vmlDrawing7.vml"/><Relationship Id="rId1" Type="http://schemas.openxmlformats.org/officeDocument/2006/relationships/printerSettings" Target="../printerSettings/printerSettings7.bin"/><Relationship Id="rId5" Type="http://schemas.microsoft.com/office/2017/10/relationships/threadedComment" Target="../threadedComments/threadedComment2.xml"/><Relationship Id="rId4" Type="http://schemas.openxmlformats.org/officeDocument/2006/relationships/comments" Target="../comments7.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13.xml.rels><?xml version="1.0" encoding="UTF-8" standalone="yes"?>
<Relationships xmlns="http://schemas.openxmlformats.org/package/2006/relationships"><Relationship Id="rId1" Type="http://schemas.openxmlformats.org/officeDocument/2006/relationships/table" Target="../tables/table1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89A65B-69A9-467C-9546-A4892F8E84CC}">
  <sheetPr codeName="Hoja3">
    <tabColor theme="4" tint="-0.499984740745262"/>
  </sheetPr>
  <dimension ref="B1:Z52"/>
  <sheetViews>
    <sheetView zoomScale="60" zoomScaleNormal="60" workbookViewId="0">
      <selection activeCell="W17" sqref="W17"/>
    </sheetView>
  </sheetViews>
  <sheetFormatPr defaultColWidth="10" defaultRowHeight="15.6" x14ac:dyDescent="0.3"/>
  <cols>
    <col min="1" max="1" width="2.109375" style="186" customWidth="1"/>
    <col min="2" max="16384" width="10" style="186"/>
  </cols>
  <sheetData>
    <row r="1" spans="2:26" x14ac:dyDescent="0.3">
      <c r="B1" s="212"/>
      <c r="C1" s="213"/>
      <c r="D1" s="213"/>
      <c r="E1" s="213"/>
      <c r="F1" s="213"/>
      <c r="G1" s="213"/>
      <c r="H1" s="213"/>
      <c r="I1" s="213"/>
      <c r="J1" s="213"/>
      <c r="K1" s="213"/>
      <c r="L1" s="213"/>
      <c r="M1" s="213"/>
      <c r="N1" s="213"/>
      <c r="O1" s="213"/>
      <c r="P1" s="213"/>
      <c r="Q1" s="213"/>
      <c r="R1" s="214"/>
      <c r="S1" s="216"/>
      <c r="T1" s="216"/>
      <c r="U1" s="216"/>
      <c r="V1" s="216"/>
      <c r="W1" s="216"/>
      <c r="X1" s="216"/>
      <c r="Y1" s="216"/>
      <c r="Z1" s="216"/>
    </row>
    <row r="2" spans="2:26" x14ac:dyDescent="0.3">
      <c r="B2" s="215"/>
      <c r="C2" s="216"/>
      <c r="D2" s="216"/>
      <c r="E2" s="216"/>
      <c r="F2" s="216"/>
      <c r="G2" s="216"/>
      <c r="H2" s="216"/>
      <c r="I2" s="216"/>
      <c r="J2" s="216"/>
      <c r="K2" s="216"/>
      <c r="L2" s="216"/>
      <c r="M2" s="216"/>
      <c r="N2" s="216"/>
      <c r="O2" s="216"/>
      <c r="P2" s="216"/>
      <c r="Q2" s="216"/>
      <c r="R2" s="217"/>
      <c r="S2" s="218"/>
      <c r="T2" s="218"/>
      <c r="U2" s="218"/>
      <c r="V2" s="218"/>
      <c r="W2" s="218"/>
      <c r="X2" s="218"/>
      <c r="Y2" s="218"/>
      <c r="Z2" s="218"/>
    </row>
    <row r="3" spans="2:26" x14ac:dyDescent="0.3">
      <c r="B3" s="215"/>
      <c r="C3" s="216"/>
      <c r="D3" s="216"/>
      <c r="E3" s="216"/>
      <c r="F3" s="216"/>
      <c r="G3" s="216"/>
      <c r="H3" s="216"/>
      <c r="I3" s="216"/>
      <c r="J3" s="216"/>
      <c r="K3" s="216"/>
      <c r="L3" s="216"/>
      <c r="M3" s="216"/>
      <c r="N3" s="216"/>
      <c r="O3" s="216"/>
      <c r="P3" s="216"/>
      <c r="Q3" s="216"/>
      <c r="R3" s="217"/>
      <c r="S3" s="218"/>
      <c r="T3" s="218"/>
      <c r="U3" s="218"/>
      <c r="V3" s="218"/>
      <c r="W3" s="218"/>
      <c r="X3" s="218"/>
      <c r="Y3" s="218"/>
      <c r="Z3" s="218"/>
    </row>
    <row r="4" spans="2:26" x14ac:dyDescent="0.3">
      <c r="B4" s="215"/>
      <c r="C4" s="216"/>
      <c r="D4" s="216"/>
      <c r="E4" s="216"/>
      <c r="F4" s="216"/>
      <c r="G4" s="216"/>
      <c r="H4" s="216"/>
      <c r="I4" s="216"/>
      <c r="J4" s="216"/>
      <c r="K4" s="216"/>
      <c r="L4" s="216"/>
      <c r="M4" s="216"/>
      <c r="N4" s="216"/>
      <c r="O4" s="216"/>
      <c r="P4" s="216"/>
      <c r="Q4" s="216"/>
      <c r="R4" s="217"/>
      <c r="S4" s="218"/>
      <c r="T4" s="218"/>
      <c r="U4" s="218"/>
      <c r="V4" s="218"/>
      <c r="W4" s="218"/>
      <c r="X4" s="218"/>
      <c r="Y4" s="218"/>
      <c r="Z4" s="218"/>
    </row>
    <row r="5" spans="2:26" x14ac:dyDescent="0.3">
      <c r="B5" s="215"/>
      <c r="C5" s="216"/>
      <c r="D5" s="216"/>
      <c r="E5" s="216"/>
      <c r="F5" s="216"/>
      <c r="G5" s="216"/>
      <c r="H5" s="216"/>
      <c r="I5" s="216"/>
      <c r="J5" s="216"/>
      <c r="K5" s="216"/>
      <c r="L5" s="216"/>
      <c r="M5" s="216"/>
      <c r="N5" s="216"/>
      <c r="O5" s="216"/>
      <c r="P5" s="216"/>
      <c r="Q5" s="216"/>
      <c r="R5" s="217"/>
      <c r="S5" s="218"/>
      <c r="T5" s="218"/>
      <c r="U5" s="218"/>
      <c r="V5" s="218"/>
      <c r="W5" s="218"/>
      <c r="X5" s="218"/>
      <c r="Y5" s="218"/>
      <c r="Z5" s="218"/>
    </row>
    <row r="6" spans="2:26" x14ac:dyDescent="0.3">
      <c r="B6" s="215"/>
      <c r="C6" s="216"/>
      <c r="D6" s="216"/>
      <c r="E6" s="216"/>
      <c r="F6" s="216"/>
      <c r="G6" s="216"/>
      <c r="H6" s="216"/>
      <c r="I6" s="216"/>
      <c r="J6" s="216"/>
      <c r="K6" s="216"/>
      <c r="L6" s="216"/>
      <c r="M6" s="216"/>
      <c r="N6" s="216"/>
      <c r="O6" s="216"/>
      <c r="P6" s="216"/>
      <c r="Q6" s="216"/>
      <c r="R6" s="217"/>
      <c r="S6" s="218"/>
      <c r="T6" s="218"/>
      <c r="U6" s="218"/>
      <c r="V6" s="218"/>
      <c r="W6" s="218"/>
      <c r="X6" s="218"/>
      <c r="Y6" s="218"/>
      <c r="Z6" s="218"/>
    </row>
    <row r="7" spans="2:26" x14ac:dyDescent="0.3">
      <c r="B7" s="215"/>
      <c r="C7" s="216"/>
      <c r="D7" s="216"/>
      <c r="E7" s="216"/>
      <c r="F7" s="216"/>
      <c r="G7" s="216"/>
      <c r="H7" s="216"/>
      <c r="I7" s="216"/>
      <c r="J7" s="216"/>
      <c r="K7" s="216"/>
      <c r="L7" s="216"/>
      <c r="M7" s="216"/>
      <c r="N7" s="216"/>
      <c r="O7" s="216"/>
      <c r="P7" s="216"/>
      <c r="Q7" s="216"/>
      <c r="R7" s="217"/>
      <c r="S7" s="218"/>
      <c r="T7" s="218"/>
      <c r="U7" s="218"/>
      <c r="V7" s="218"/>
      <c r="W7" s="218"/>
      <c r="X7" s="218"/>
      <c r="Y7" s="218"/>
      <c r="Z7" s="218"/>
    </row>
    <row r="8" spans="2:26" x14ac:dyDescent="0.3">
      <c r="B8" s="215"/>
      <c r="C8" s="216"/>
      <c r="D8" s="216"/>
      <c r="E8" s="216"/>
      <c r="F8" s="216"/>
      <c r="G8" s="216"/>
      <c r="H8" s="216"/>
      <c r="I8" s="216"/>
      <c r="J8" s="216"/>
      <c r="K8" s="216"/>
      <c r="L8" s="216"/>
      <c r="M8" s="216"/>
      <c r="N8" s="216"/>
      <c r="O8" s="216"/>
      <c r="P8" s="216"/>
      <c r="Q8" s="216"/>
      <c r="R8" s="217"/>
      <c r="S8" s="218"/>
      <c r="T8" s="218"/>
      <c r="U8" s="218"/>
      <c r="V8" s="218"/>
      <c r="W8" s="218"/>
      <c r="X8" s="218"/>
      <c r="Y8" s="218"/>
      <c r="Z8" s="218"/>
    </row>
    <row r="9" spans="2:26" x14ac:dyDescent="0.3">
      <c r="B9" s="215"/>
      <c r="C9" s="216"/>
      <c r="D9" s="216"/>
      <c r="E9" s="216"/>
      <c r="F9" s="216"/>
      <c r="G9" s="216"/>
      <c r="H9" s="216"/>
      <c r="I9" s="216"/>
      <c r="J9" s="216"/>
      <c r="K9" s="216"/>
      <c r="L9" s="216"/>
      <c r="M9" s="216"/>
      <c r="N9" s="216"/>
      <c r="O9" s="216"/>
      <c r="P9" s="216"/>
      <c r="Q9" s="216"/>
      <c r="R9" s="217"/>
      <c r="S9" s="218"/>
      <c r="T9" s="218"/>
      <c r="U9" s="218"/>
      <c r="V9" s="218"/>
      <c r="W9" s="218"/>
      <c r="X9" s="218"/>
      <c r="Y9" s="218"/>
      <c r="Z9" s="218"/>
    </row>
    <row r="10" spans="2:26" x14ac:dyDescent="0.3">
      <c r="B10" s="215"/>
      <c r="C10" s="216"/>
      <c r="D10" s="216"/>
      <c r="E10" s="216"/>
      <c r="F10" s="216"/>
      <c r="G10" s="216"/>
      <c r="H10" s="216"/>
      <c r="I10" s="216"/>
      <c r="J10" s="216"/>
      <c r="K10" s="216"/>
      <c r="L10" s="216"/>
      <c r="M10" s="216"/>
      <c r="N10" s="216"/>
      <c r="O10" s="216"/>
      <c r="P10" s="216"/>
      <c r="Q10" s="216"/>
      <c r="R10" s="217"/>
      <c r="S10" s="218"/>
      <c r="T10" s="218"/>
      <c r="U10" s="218"/>
      <c r="V10" s="218"/>
      <c r="W10" s="218"/>
      <c r="X10" s="218"/>
      <c r="Y10" s="218"/>
      <c r="Z10" s="218"/>
    </row>
    <row r="11" spans="2:26" x14ac:dyDescent="0.3">
      <c r="B11" s="215"/>
      <c r="C11" s="216"/>
      <c r="D11" s="216"/>
      <c r="E11" s="216"/>
      <c r="F11" s="216"/>
      <c r="G11" s="216"/>
      <c r="H11" s="216"/>
      <c r="I11" s="216"/>
      <c r="J11" s="216"/>
      <c r="K11" s="216"/>
      <c r="L11" s="216"/>
      <c r="M11" s="216"/>
      <c r="N11" s="216"/>
      <c r="O11" s="216"/>
      <c r="P11" s="216"/>
      <c r="Q11" s="216"/>
      <c r="R11" s="217"/>
      <c r="S11" s="218"/>
      <c r="T11" s="218"/>
      <c r="U11" s="218"/>
      <c r="V11" s="218"/>
      <c r="W11" s="218"/>
      <c r="X11" s="218"/>
      <c r="Y11" s="218"/>
      <c r="Z11" s="218"/>
    </row>
    <row r="12" spans="2:26" x14ac:dyDescent="0.3">
      <c r="B12" s="215"/>
      <c r="C12" s="216"/>
      <c r="D12" s="216"/>
      <c r="E12" s="216"/>
      <c r="F12" s="216"/>
      <c r="G12" s="216"/>
      <c r="H12" s="216"/>
      <c r="I12" s="216"/>
      <c r="J12" s="216"/>
      <c r="K12" s="216"/>
      <c r="L12" s="216"/>
      <c r="M12" s="216"/>
      <c r="N12" s="216"/>
      <c r="O12" s="216"/>
      <c r="P12" s="216"/>
      <c r="Q12" s="216"/>
      <c r="R12" s="217"/>
      <c r="S12" s="218"/>
      <c r="T12" s="218"/>
      <c r="U12" s="218"/>
      <c r="V12" s="218"/>
      <c r="W12" s="218"/>
      <c r="X12" s="218"/>
      <c r="Y12" s="218"/>
      <c r="Z12" s="218"/>
    </row>
    <row r="13" spans="2:26" x14ac:dyDescent="0.3">
      <c r="B13" s="215"/>
      <c r="C13" s="216"/>
      <c r="D13" s="216"/>
      <c r="E13" s="216"/>
      <c r="F13" s="216"/>
      <c r="G13" s="216"/>
      <c r="H13" s="216"/>
      <c r="I13" s="216"/>
      <c r="J13" s="216"/>
      <c r="K13" s="216"/>
      <c r="L13" s="216"/>
      <c r="M13" s="216"/>
      <c r="N13" s="216"/>
      <c r="O13" s="216"/>
      <c r="P13" s="216"/>
      <c r="Q13" s="216"/>
      <c r="R13" s="217"/>
      <c r="S13" s="218"/>
      <c r="T13" s="218"/>
      <c r="U13" s="218"/>
      <c r="V13" s="218"/>
      <c r="W13" s="218"/>
      <c r="X13" s="218"/>
      <c r="Y13" s="218"/>
      <c r="Z13" s="218"/>
    </row>
    <row r="14" spans="2:26" x14ac:dyDescent="0.3">
      <c r="B14" s="215"/>
      <c r="C14" s="216"/>
      <c r="D14" s="216"/>
      <c r="E14" s="216"/>
      <c r="F14" s="216"/>
      <c r="G14" s="216"/>
      <c r="H14" s="216"/>
      <c r="I14" s="216"/>
      <c r="J14" s="216"/>
      <c r="K14" s="216"/>
      <c r="L14" s="216"/>
      <c r="M14" s="216"/>
      <c r="N14" s="216"/>
      <c r="O14" s="216"/>
      <c r="P14" s="216"/>
      <c r="Q14" s="216"/>
      <c r="R14" s="217"/>
      <c r="S14" s="218"/>
      <c r="T14" s="218"/>
      <c r="U14" s="218"/>
      <c r="V14" s="218"/>
      <c r="W14" s="218"/>
      <c r="X14" s="218"/>
      <c r="Y14" s="218"/>
      <c r="Z14" s="218"/>
    </row>
    <row r="15" spans="2:26" x14ac:dyDescent="0.3">
      <c r="B15" s="215"/>
      <c r="C15" s="216"/>
      <c r="D15" s="216"/>
      <c r="E15" s="216"/>
      <c r="F15" s="216"/>
      <c r="G15" s="216"/>
      <c r="H15" s="216"/>
      <c r="I15" s="216"/>
      <c r="J15" s="216"/>
      <c r="K15" s="216"/>
      <c r="L15" s="216"/>
      <c r="M15" s="216"/>
      <c r="N15" s="216"/>
      <c r="O15" s="216"/>
      <c r="P15" s="216"/>
      <c r="Q15" s="216"/>
      <c r="R15" s="217"/>
      <c r="S15" s="218"/>
      <c r="T15" s="218"/>
      <c r="U15" s="218"/>
      <c r="V15" s="218"/>
      <c r="W15" s="218"/>
      <c r="X15" s="218"/>
      <c r="Y15" s="218"/>
      <c r="Z15" s="218"/>
    </row>
    <row r="16" spans="2:26" x14ac:dyDescent="0.3">
      <c r="B16" s="215"/>
      <c r="C16" s="216"/>
      <c r="D16" s="216"/>
      <c r="E16" s="216"/>
      <c r="F16" s="216"/>
      <c r="G16" s="216"/>
      <c r="H16" s="216"/>
      <c r="I16" s="216"/>
      <c r="J16" s="216"/>
      <c r="K16" s="216"/>
      <c r="L16" s="216"/>
      <c r="M16" s="216"/>
      <c r="N16" s="216"/>
      <c r="O16" s="216"/>
      <c r="P16" s="216"/>
      <c r="Q16" s="216"/>
      <c r="R16" s="217"/>
      <c r="S16" s="218"/>
      <c r="T16" s="218"/>
      <c r="U16" s="218"/>
      <c r="V16" s="218"/>
      <c r="W16" s="218"/>
      <c r="X16" s="218"/>
      <c r="Y16" s="218"/>
      <c r="Z16" s="218"/>
    </row>
    <row r="17" spans="2:26" x14ac:dyDescent="0.3">
      <c r="B17" s="215"/>
      <c r="C17" s="216"/>
      <c r="D17" s="216"/>
      <c r="E17" s="216"/>
      <c r="F17" s="216"/>
      <c r="G17" s="216"/>
      <c r="H17" s="216"/>
      <c r="I17" s="216"/>
      <c r="J17" s="216"/>
      <c r="K17" s="216"/>
      <c r="L17" s="216"/>
      <c r="M17" s="216"/>
      <c r="N17" s="216"/>
      <c r="O17" s="216"/>
      <c r="P17" s="216"/>
      <c r="Q17" s="216"/>
      <c r="R17" s="217"/>
      <c r="S17" s="218"/>
      <c r="T17" s="218"/>
      <c r="U17" s="218"/>
      <c r="V17" s="218"/>
      <c r="W17" s="218"/>
      <c r="X17" s="218"/>
      <c r="Y17" s="218"/>
      <c r="Z17" s="218"/>
    </row>
    <row r="18" spans="2:26" x14ac:dyDescent="0.3">
      <c r="B18" s="215"/>
      <c r="C18" s="216"/>
      <c r="D18" s="216"/>
      <c r="E18" s="216"/>
      <c r="F18" s="216"/>
      <c r="G18" s="216"/>
      <c r="H18" s="216"/>
      <c r="I18" s="216"/>
      <c r="J18" s="216"/>
      <c r="K18" s="216"/>
      <c r="L18" s="216"/>
      <c r="M18" s="216"/>
      <c r="N18" s="216"/>
      <c r="O18" s="216"/>
      <c r="P18" s="216"/>
      <c r="Q18" s="216"/>
      <c r="R18" s="217"/>
      <c r="S18" s="218"/>
      <c r="T18" s="218"/>
      <c r="U18" s="218"/>
      <c r="V18" s="218"/>
      <c r="W18" s="218"/>
      <c r="X18" s="218"/>
      <c r="Y18" s="218"/>
      <c r="Z18" s="218"/>
    </row>
    <row r="19" spans="2:26" x14ac:dyDescent="0.3">
      <c r="B19" s="215"/>
      <c r="C19" s="216"/>
      <c r="D19" s="216"/>
      <c r="E19" s="216"/>
      <c r="F19" s="216"/>
      <c r="G19" s="216"/>
      <c r="H19" s="216"/>
      <c r="I19" s="216"/>
      <c r="J19" s="216"/>
      <c r="K19" s="216"/>
      <c r="L19" s="216"/>
      <c r="M19" s="216"/>
      <c r="N19" s="216"/>
      <c r="O19" s="216"/>
      <c r="P19" s="216"/>
      <c r="Q19" s="216"/>
      <c r="R19" s="217"/>
      <c r="S19" s="218"/>
      <c r="T19" s="218"/>
      <c r="U19" s="218"/>
      <c r="V19" s="218"/>
      <c r="W19" s="218"/>
      <c r="X19" s="218"/>
      <c r="Y19" s="218"/>
      <c r="Z19" s="218"/>
    </row>
    <row r="20" spans="2:26" x14ac:dyDescent="0.3">
      <c r="B20" s="215"/>
      <c r="C20" s="216"/>
      <c r="D20" s="216"/>
      <c r="E20" s="216"/>
      <c r="F20" s="216"/>
      <c r="G20" s="216"/>
      <c r="H20" s="216"/>
      <c r="I20" s="216"/>
      <c r="J20" s="216"/>
      <c r="K20" s="216"/>
      <c r="L20" s="216"/>
      <c r="M20" s="216"/>
      <c r="N20" s="216"/>
      <c r="O20" s="216"/>
      <c r="P20" s="216"/>
      <c r="Q20" s="216"/>
      <c r="R20" s="217"/>
      <c r="S20" s="218"/>
      <c r="T20" s="218"/>
      <c r="U20" s="218"/>
      <c r="V20" s="218"/>
      <c r="W20" s="218"/>
      <c r="X20" s="218"/>
      <c r="Y20" s="218"/>
      <c r="Z20" s="218"/>
    </row>
    <row r="21" spans="2:26" x14ac:dyDescent="0.3">
      <c r="B21" s="215"/>
      <c r="C21" s="216"/>
      <c r="D21" s="216"/>
      <c r="E21" s="216"/>
      <c r="F21" s="216"/>
      <c r="G21" s="216"/>
      <c r="H21" s="216"/>
      <c r="I21" s="216"/>
      <c r="J21" s="216"/>
      <c r="K21" s="216"/>
      <c r="L21" s="216"/>
      <c r="M21" s="216"/>
      <c r="N21" s="216"/>
      <c r="O21" s="216"/>
      <c r="P21" s="216"/>
      <c r="Q21" s="216"/>
      <c r="R21" s="217"/>
      <c r="S21" s="218"/>
      <c r="T21" s="218"/>
      <c r="U21" s="218"/>
      <c r="V21" s="218"/>
      <c r="W21" s="218"/>
      <c r="X21" s="218"/>
      <c r="Y21" s="218"/>
      <c r="Z21" s="218"/>
    </row>
    <row r="22" spans="2:26" x14ac:dyDescent="0.3">
      <c r="B22" s="215"/>
      <c r="C22" s="216"/>
      <c r="D22" s="216"/>
      <c r="E22" s="216"/>
      <c r="F22" s="216"/>
      <c r="G22" s="216"/>
      <c r="H22" s="216"/>
      <c r="I22" s="216"/>
      <c r="J22" s="216"/>
      <c r="K22" s="216"/>
      <c r="L22" s="216"/>
      <c r="M22" s="216"/>
      <c r="N22" s="216"/>
      <c r="O22" s="216"/>
      <c r="P22" s="216"/>
      <c r="Q22" s="216"/>
      <c r="R22" s="217"/>
      <c r="S22" s="218"/>
      <c r="T22" s="218"/>
      <c r="U22" s="218"/>
      <c r="V22" s="218"/>
      <c r="W22" s="218"/>
      <c r="X22" s="218"/>
      <c r="Y22" s="218"/>
      <c r="Z22" s="218"/>
    </row>
    <row r="23" spans="2:26" x14ac:dyDescent="0.3">
      <c r="B23" s="215"/>
      <c r="C23" s="216"/>
      <c r="D23" s="216"/>
      <c r="E23" s="216"/>
      <c r="F23" s="216"/>
      <c r="G23" s="216"/>
      <c r="H23" s="216"/>
      <c r="I23" s="216"/>
      <c r="J23" s="216"/>
      <c r="K23" s="216"/>
      <c r="L23" s="216"/>
      <c r="M23" s="216"/>
      <c r="N23" s="216"/>
      <c r="O23" s="216"/>
      <c r="P23" s="216"/>
      <c r="Q23" s="216"/>
      <c r="R23" s="217"/>
      <c r="S23" s="218"/>
      <c r="T23" s="218"/>
      <c r="U23" s="218"/>
      <c r="V23" s="218"/>
      <c r="W23" s="218"/>
      <c r="X23" s="218"/>
      <c r="Y23" s="218"/>
      <c r="Z23" s="218"/>
    </row>
    <row r="24" spans="2:26" x14ac:dyDescent="0.3">
      <c r="B24" s="215"/>
      <c r="C24" s="216"/>
      <c r="D24" s="216"/>
      <c r="E24" s="216"/>
      <c r="F24" s="216"/>
      <c r="G24" s="216"/>
      <c r="H24" s="216"/>
      <c r="I24" s="216"/>
      <c r="J24" s="216"/>
      <c r="K24" s="216"/>
      <c r="L24" s="216"/>
      <c r="M24" s="216"/>
      <c r="N24" s="216"/>
      <c r="O24" s="216"/>
      <c r="P24" s="216"/>
      <c r="Q24" s="216"/>
      <c r="R24" s="217"/>
      <c r="S24" s="218"/>
      <c r="T24" s="218"/>
      <c r="U24" s="218"/>
      <c r="V24" s="218"/>
      <c r="W24" s="218"/>
      <c r="X24" s="218"/>
      <c r="Y24" s="218"/>
      <c r="Z24" s="218"/>
    </row>
    <row r="25" spans="2:26" x14ac:dyDescent="0.3">
      <c r="B25" s="215"/>
      <c r="C25" s="216"/>
      <c r="D25" s="216"/>
      <c r="E25" s="216"/>
      <c r="F25" s="216"/>
      <c r="G25" s="216"/>
      <c r="H25" s="216"/>
      <c r="I25" s="216"/>
      <c r="J25" s="216"/>
      <c r="K25" s="216"/>
      <c r="L25" s="216"/>
      <c r="M25" s="216"/>
      <c r="N25" s="216"/>
      <c r="O25" s="216"/>
      <c r="P25" s="216"/>
      <c r="Q25" s="216"/>
      <c r="R25" s="217"/>
      <c r="S25" s="218"/>
      <c r="T25" s="218"/>
      <c r="U25" s="218"/>
      <c r="V25" s="218"/>
      <c r="W25" s="218"/>
      <c r="X25" s="218"/>
      <c r="Y25" s="218"/>
      <c r="Z25" s="218"/>
    </row>
    <row r="26" spans="2:26" x14ac:dyDescent="0.3">
      <c r="B26" s="215"/>
      <c r="C26" s="216"/>
      <c r="D26" s="216"/>
      <c r="E26" s="216"/>
      <c r="F26" s="216"/>
      <c r="G26" s="216"/>
      <c r="H26" s="216"/>
      <c r="I26" s="216"/>
      <c r="J26" s="216"/>
      <c r="K26" s="216"/>
      <c r="L26" s="216"/>
      <c r="M26" s="216"/>
      <c r="N26" s="216"/>
      <c r="O26" s="216"/>
      <c r="P26" s="216"/>
      <c r="Q26" s="216"/>
      <c r="R26" s="217"/>
      <c r="S26" s="218"/>
      <c r="T26" s="218"/>
      <c r="U26" s="218"/>
      <c r="V26" s="218"/>
      <c r="W26" s="218"/>
      <c r="X26" s="218"/>
      <c r="Y26" s="218"/>
      <c r="Z26" s="218"/>
    </row>
    <row r="27" spans="2:26" x14ac:dyDescent="0.3">
      <c r="B27" s="215"/>
      <c r="C27" s="216"/>
      <c r="D27" s="216"/>
      <c r="E27" s="216"/>
      <c r="F27" s="216"/>
      <c r="G27" s="216"/>
      <c r="H27" s="216"/>
      <c r="I27" s="216"/>
      <c r="J27" s="216"/>
      <c r="K27" s="216"/>
      <c r="L27" s="216"/>
      <c r="M27" s="216"/>
      <c r="N27" s="216"/>
      <c r="O27" s="216"/>
      <c r="P27" s="216"/>
      <c r="Q27" s="216"/>
      <c r="R27" s="217"/>
      <c r="S27" s="218"/>
      <c r="T27" s="218"/>
      <c r="U27" s="218"/>
      <c r="V27" s="218"/>
      <c r="W27" s="218"/>
      <c r="X27" s="218"/>
      <c r="Y27" s="218"/>
      <c r="Z27" s="218"/>
    </row>
    <row r="28" spans="2:26" x14ac:dyDescent="0.3">
      <c r="B28" s="215"/>
      <c r="C28" s="216"/>
      <c r="D28" s="216"/>
      <c r="E28" s="216"/>
      <c r="F28" s="216"/>
      <c r="G28" s="216"/>
      <c r="H28" s="216"/>
      <c r="I28" s="216"/>
      <c r="J28" s="216"/>
      <c r="K28" s="216"/>
      <c r="L28" s="216"/>
      <c r="M28" s="216"/>
      <c r="N28" s="216"/>
      <c r="O28" s="216"/>
      <c r="P28" s="216"/>
      <c r="Q28" s="216"/>
      <c r="R28" s="217"/>
      <c r="S28" s="218"/>
      <c r="T28" s="218"/>
      <c r="U28" s="218"/>
      <c r="V28" s="218"/>
      <c r="W28" s="218"/>
      <c r="X28" s="218"/>
      <c r="Y28" s="218"/>
      <c r="Z28" s="218"/>
    </row>
    <row r="29" spans="2:26" x14ac:dyDescent="0.3">
      <c r="B29" s="215"/>
      <c r="C29" s="216"/>
      <c r="D29" s="216"/>
      <c r="E29" s="216"/>
      <c r="F29" s="216"/>
      <c r="G29" s="216"/>
      <c r="H29" s="216"/>
      <c r="I29" s="216"/>
      <c r="J29" s="216"/>
      <c r="K29" s="216"/>
      <c r="L29" s="216"/>
      <c r="M29" s="216"/>
      <c r="N29" s="216"/>
      <c r="O29" s="216"/>
      <c r="P29" s="216"/>
      <c r="Q29" s="216"/>
      <c r="R29" s="217"/>
      <c r="S29" s="218"/>
      <c r="T29" s="218"/>
      <c r="U29" s="218"/>
      <c r="V29" s="218"/>
      <c r="W29" s="218"/>
      <c r="X29" s="218"/>
      <c r="Y29" s="218"/>
      <c r="Z29" s="218"/>
    </row>
    <row r="30" spans="2:26" x14ac:dyDescent="0.3">
      <c r="B30" s="215"/>
      <c r="C30" s="216"/>
      <c r="D30" s="216"/>
      <c r="E30" s="216"/>
      <c r="F30" s="216"/>
      <c r="G30" s="216"/>
      <c r="H30" s="216"/>
      <c r="I30" s="216"/>
      <c r="J30" s="216"/>
      <c r="K30" s="216"/>
      <c r="L30" s="216"/>
      <c r="M30" s="216"/>
      <c r="N30" s="216"/>
      <c r="O30" s="216"/>
      <c r="P30" s="216"/>
      <c r="Q30" s="216"/>
      <c r="R30" s="217"/>
      <c r="S30" s="218"/>
      <c r="T30" s="218"/>
      <c r="U30" s="218"/>
      <c r="V30" s="218"/>
      <c r="W30" s="218"/>
      <c r="X30" s="218"/>
      <c r="Y30" s="218"/>
      <c r="Z30" s="218"/>
    </row>
    <row r="31" spans="2:26" x14ac:dyDescent="0.3">
      <c r="B31" s="215"/>
      <c r="C31" s="216"/>
      <c r="D31" s="216"/>
      <c r="E31" s="216"/>
      <c r="F31" s="216"/>
      <c r="G31" s="216"/>
      <c r="H31" s="216"/>
      <c r="I31" s="216"/>
      <c r="J31" s="216"/>
      <c r="K31" s="216"/>
      <c r="L31" s="216"/>
      <c r="M31" s="216"/>
      <c r="N31" s="216"/>
      <c r="O31" s="216"/>
      <c r="P31" s="216"/>
      <c r="Q31" s="216"/>
      <c r="R31" s="217"/>
      <c r="S31" s="218"/>
      <c r="T31" s="218"/>
      <c r="U31" s="218"/>
      <c r="V31" s="218"/>
      <c r="W31" s="218"/>
      <c r="X31" s="218"/>
      <c r="Y31" s="218"/>
      <c r="Z31" s="218"/>
    </row>
    <row r="32" spans="2:26" x14ac:dyDescent="0.3">
      <c r="B32" s="215"/>
      <c r="C32" s="216"/>
      <c r="D32" s="216"/>
      <c r="E32" s="216"/>
      <c r="F32" s="216"/>
      <c r="G32" s="216"/>
      <c r="H32" s="216"/>
      <c r="I32" s="216"/>
      <c r="J32" s="216"/>
      <c r="K32" s="216"/>
      <c r="L32" s="216"/>
      <c r="M32" s="216"/>
      <c r="N32" s="216"/>
      <c r="O32" s="216"/>
      <c r="P32" s="216"/>
      <c r="Q32" s="216"/>
      <c r="R32" s="217"/>
      <c r="S32" s="218"/>
      <c r="T32" s="218"/>
      <c r="U32" s="218"/>
      <c r="V32" s="218"/>
      <c r="W32" s="218"/>
      <c r="X32" s="218"/>
      <c r="Y32" s="218"/>
      <c r="Z32" s="218"/>
    </row>
    <row r="33" spans="2:26" x14ac:dyDescent="0.3">
      <c r="B33" s="215"/>
      <c r="C33" s="216"/>
      <c r="D33" s="216"/>
      <c r="E33" s="216"/>
      <c r="F33" s="216"/>
      <c r="G33" s="216"/>
      <c r="H33" s="216"/>
      <c r="I33" s="216"/>
      <c r="J33" s="216"/>
      <c r="K33" s="216"/>
      <c r="L33" s="216"/>
      <c r="M33" s="216"/>
      <c r="N33" s="216"/>
      <c r="O33" s="216"/>
      <c r="P33" s="216"/>
      <c r="Q33" s="216"/>
      <c r="R33" s="217"/>
      <c r="S33" s="218"/>
      <c r="T33" s="218"/>
      <c r="U33" s="218"/>
      <c r="V33" s="218"/>
      <c r="W33" s="218"/>
      <c r="X33" s="218"/>
      <c r="Y33" s="218"/>
      <c r="Z33" s="218"/>
    </row>
    <row r="34" spans="2:26" x14ac:dyDescent="0.3">
      <c r="B34" s="215"/>
      <c r="C34" s="216"/>
      <c r="D34" s="216"/>
      <c r="E34" s="216"/>
      <c r="F34" s="216"/>
      <c r="G34" s="216"/>
      <c r="H34" s="216"/>
      <c r="I34" s="216"/>
      <c r="J34" s="216"/>
      <c r="K34" s="216"/>
      <c r="L34" s="216"/>
      <c r="M34" s="216"/>
      <c r="N34" s="216"/>
      <c r="O34" s="216"/>
      <c r="P34" s="216"/>
      <c r="Q34" s="216"/>
      <c r="R34" s="217"/>
      <c r="S34" s="218"/>
      <c r="T34" s="218"/>
      <c r="U34" s="218"/>
      <c r="V34" s="218"/>
      <c r="W34" s="218"/>
      <c r="X34" s="218"/>
      <c r="Y34" s="218"/>
      <c r="Z34" s="218"/>
    </row>
    <row r="35" spans="2:26" x14ac:dyDescent="0.3">
      <c r="B35" s="215"/>
      <c r="C35" s="216"/>
      <c r="D35" s="216"/>
      <c r="E35" s="216"/>
      <c r="F35" s="216"/>
      <c r="G35" s="216"/>
      <c r="H35" s="216"/>
      <c r="I35" s="216"/>
      <c r="J35" s="216"/>
      <c r="K35" s="216"/>
      <c r="L35" s="216"/>
      <c r="M35" s="216"/>
      <c r="N35" s="216"/>
      <c r="O35" s="216"/>
      <c r="P35" s="216"/>
      <c r="Q35" s="216"/>
      <c r="R35" s="217"/>
      <c r="S35" s="218"/>
      <c r="T35" s="218"/>
      <c r="U35" s="218"/>
      <c r="V35" s="218"/>
      <c r="W35" s="218"/>
      <c r="X35" s="218"/>
      <c r="Y35" s="218"/>
      <c r="Z35" s="218"/>
    </row>
    <row r="36" spans="2:26" x14ac:dyDescent="0.3">
      <c r="B36" s="215"/>
      <c r="C36" s="216"/>
      <c r="D36" s="216"/>
      <c r="E36" s="216"/>
      <c r="F36" s="216"/>
      <c r="G36" s="216"/>
      <c r="H36" s="216"/>
      <c r="I36" s="216"/>
      <c r="J36" s="216"/>
      <c r="K36" s="216"/>
      <c r="L36" s="216"/>
      <c r="M36" s="216"/>
      <c r="N36" s="216"/>
      <c r="O36" s="216"/>
      <c r="P36" s="216"/>
      <c r="Q36" s="216"/>
      <c r="R36" s="217"/>
      <c r="S36" s="218"/>
      <c r="T36" s="218"/>
      <c r="U36" s="218"/>
      <c r="V36" s="218"/>
      <c r="W36" s="218"/>
      <c r="X36" s="218"/>
      <c r="Y36" s="218"/>
      <c r="Z36" s="218"/>
    </row>
    <row r="37" spans="2:26" x14ac:dyDescent="0.3">
      <c r="B37" s="215"/>
      <c r="C37" s="216"/>
      <c r="D37" s="216"/>
      <c r="E37" s="216"/>
      <c r="F37" s="216"/>
      <c r="G37" s="216"/>
      <c r="H37" s="216"/>
      <c r="I37" s="216"/>
      <c r="J37" s="216"/>
      <c r="K37" s="216"/>
      <c r="L37" s="216"/>
      <c r="M37" s="216"/>
      <c r="N37" s="216"/>
      <c r="O37" s="216"/>
      <c r="P37" s="216"/>
      <c r="Q37" s="216"/>
      <c r="R37" s="217"/>
      <c r="S37" s="218"/>
      <c r="T37" s="218"/>
      <c r="U37" s="218"/>
      <c r="V37" s="218"/>
      <c r="W37" s="218"/>
      <c r="X37" s="218"/>
      <c r="Y37" s="218"/>
      <c r="Z37" s="218"/>
    </row>
    <row r="38" spans="2:26" x14ac:dyDescent="0.3">
      <c r="B38" s="215"/>
      <c r="C38" s="216"/>
      <c r="D38" s="216"/>
      <c r="E38" s="216"/>
      <c r="F38" s="216"/>
      <c r="G38" s="216"/>
      <c r="H38" s="216"/>
      <c r="I38" s="216"/>
      <c r="J38" s="216"/>
      <c r="K38" s="216"/>
      <c r="L38" s="216"/>
      <c r="M38" s="216"/>
      <c r="N38" s="216"/>
      <c r="O38" s="216"/>
      <c r="P38" s="216"/>
      <c r="Q38" s="216"/>
      <c r="R38" s="217"/>
      <c r="S38" s="218"/>
      <c r="T38" s="218"/>
      <c r="U38" s="218"/>
      <c r="V38" s="218"/>
      <c r="W38" s="218"/>
      <c r="X38" s="218"/>
      <c r="Y38" s="218"/>
      <c r="Z38" s="218"/>
    </row>
    <row r="39" spans="2:26" x14ac:dyDescent="0.3">
      <c r="B39" s="215"/>
      <c r="C39" s="216"/>
      <c r="D39" s="216"/>
      <c r="E39" s="216"/>
      <c r="F39" s="216"/>
      <c r="G39" s="216"/>
      <c r="H39" s="216"/>
      <c r="I39" s="216"/>
      <c r="J39" s="216"/>
      <c r="K39" s="216"/>
      <c r="L39" s="216"/>
      <c r="M39" s="216"/>
      <c r="N39" s="216"/>
      <c r="O39" s="216"/>
      <c r="P39" s="216"/>
      <c r="Q39" s="216"/>
      <c r="R39" s="217"/>
      <c r="S39" s="218"/>
      <c r="T39" s="218"/>
      <c r="U39" s="218"/>
      <c r="V39" s="218"/>
      <c r="W39" s="218"/>
      <c r="X39" s="218"/>
      <c r="Y39" s="218"/>
      <c r="Z39" s="218"/>
    </row>
    <row r="40" spans="2:26" x14ac:dyDescent="0.3">
      <c r="B40" s="215"/>
      <c r="C40" s="216"/>
      <c r="D40" s="216"/>
      <c r="E40" s="216"/>
      <c r="F40" s="216"/>
      <c r="G40" s="216"/>
      <c r="H40" s="216"/>
      <c r="I40" s="216"/>
      <c r="J40" s="216"/>
      <c r="K40" s="216"/>
      <c r="L40" s="216"/>
      <c r="M40" s="216"/>
      <c r="N40" s="216"/>
      <c r="O40" s="216"/>
      <c r="P40" s="216"/>
      <c r="Q40" s="216"/>
      <c r="R40" s="217"/>
      <c r="S40" s="218"/>
      <c r="T40" s="218"/>
      <c r="U40" s="218"/>
      <c r="V40" s="218"/>
      <c r="W40" s="218"/>
      <c r="X40" s="218"/>
      <c r="Y40" s="218"/>
      <c r="Z40" s="218"/>
    </row>
    <row r="41" spans="2:26" x14ac:dyDescent="0.3">
      <c r="B41" s="215"/>
      <c r="C41" s="216"/>
      <c r="D41" s="216"/>
      <c r="E41" s="216"/>
      <c r="F41" s="216"/>
      <c r="G41" s="216"/>
      <c r="H41" s="216"/>
      <c r="I41" s="216"/>
      <c r="J41" s="216"/>
      <c r="K41" s="216"/>
      <c r="L41" s="216"/>
      <c r="M41" s="216"/>
      <c r="N41" s="216"/>
      <c r="O41" s="216"/>
      <c r="P41" s="216"/>
      <c r="Q41" s="216"/>
      <c r="R41" s="217"/>
      <c r="S41" s="218"/>
      <c r="T41" s="218"/>
      <c r="U41" s="218"/>
      <c r="V41" s="218"/>
      <c r="W41" s="218"/>
      <c r="X41" s="218"/>
      <c r="Y41" s="218"/>
      <c r="Z41" s="218"/>
    </row>
    <row r="42" spans="2:26" x14ac:dyDescent="0.3">
      <c r="B42" s="215"/>
      <c r="C42" s="216"/>
      <c r="D42" s="216"/>
      <c r="E42" s="216"/>
      <c r="F42" s="216"/>
      <c r="G42" s="216"/>
      <c r="H42" s="216"/>
      <c r="I42" s="216"/>
      <c r="J42" s="216"/>
      <c r="K42" s="216"/>
      <c r="L42" s="216"/>
      <c r="M42" s="216"/>
      <c r="N42" s="216"/>
      <c r="O42" s="216"/>
      <c r="P42" s="216"/>
      <c r="Q42" s="216"/>
      <c r="R42" s="217"/>
      <c r="S42" s="218"/>
      <c r="T42" s="218"/>
      <c r="U42" s="218"/>
      <c r="V42" s="218"/>
      <c r="W42" s="218"/>
      <c r="X42" s="218"/>
      <c r="Y42" s="218"/>
      <c r="Z42" s="218"/>
    </row>
    <row r="43" spans="2:26" x14ac:dyDescent="0.3">
      <c r="B43" s="215"/>
      <c r="C43" s="216"/>
      <c r="D43" s="216"/>
      <c r="E43" s="216"/>
      <c r="F43" s="216"/>
      <c r="G43" s="216"/>
      <c r="H43" s="216"/>
      <c r="I43" s="216"/>
      <c r="J43" s="216"/>
      <c r="K43" s="216"/>
      <c r="L43" s="216"/>
      <c r="M43" s="216"/>
      <c r="N43" s="216"/>
      <c r="O43" s="216"/>
      <c r="P43" s="216"/>
      <c r="Q43" s="216"/>
      <c r="R43" s="217"/>
      <c r="S43" s="218"/>
      <c r="T43" s="218"/>
      <c r="U43" s="218"/>
      <c r="V43" s="218"/>
      <c r="W43" s="218"/>
      <c r="X43" s="218"/>
      <c r="Y43" s="218"/>
      <c r="Z43" s="218"/>
    </row>
    <row r="44" spans="2:26" x14ac:dyDescent="0.3">
      <c r="B44" s="215"/>
      <c r="C44" s="216"/>
      <c r="D44" s="216"/>
      <c r="E44" s="216"/>
      <c r="F44" s="216"/>
      <c r="G44" s="216"/>
      <c r="H44" s="216"/>
      <c r="I44" s="216"/>
      <c r="J44" s="216"/>
      <c r="K44" s="216"/>
      <c r="L44" s="216"/>
      <c r="M44" s="216"/>
      <c r="N44" s="216"/>
      <c r="O44" s="216"/>
      <c r="P44" s="216"/>
      <c r="Q44" s="216"/>
      <c r="R44" s="217"/>
      <c r="S44" s="218"/>
      <c r="T44" s="218"/>
      <c r="U44" s="218"/>
      <c r="V44" s="218"/>
      <c r="W44" s="218"/>
      <c r="X44" s="218"/>
      <c r="Y44" s="218"/>
      <c r="Z44" s="218"/>
    </row>
    <row r="45" spans="2:26" x14ac:dyDescent="0.3">
      <c r="B45" s="215"/>
      <c r="C45" s="216"/>
      <c r="D45" s="216"/>
      <c r="E45" s="216"/>
      <c r="F45" s="216"/>
      <c r="G45" s="216"/>
      <c r="H45" s="216"/>
      <c r="I45" s="216"/>
      <c r="J45" s="216"/>
      <c r="K45" s="216"/>
      <c r="L45" s="216"/>
      <c r="M45" s="216"/>
      <c r="N45" s="216"/>
      <c r="O45" s="216"/>
      <c r="P45" s="216"/>
      <c r="Q45" s="216"/>
      <c r="R45" s="217"/>
      <c r="S45" s="218"/>
      <c r="T45" s="218"/>
      <c r="U45" s="218"/>
      <c r="V45" s="218"/>
      <c r="W45" s="218"/>
      <c r="X45" s="218"/>
      <c r="Y45" s="218"/>
      <c r="Z45" s="218"/>
    </row>
    <row r="46" spans="2:26" x14ac:dyDescent="0.3">
      <c r="B46" s="206"/>
      <c r="C46" s="207"/>
      <c r="D46" s="207"/>
      <c r="E46" s="207"/>
      <c r="F46" s="207"/>
      <c r="G46" s="207"/>
      <c r="H46" s="207"/>
      <c r="I46" s="207"/>
      <c r="J46" s="207"/>
      <c r="K46" s="207"/>
      <c r="L46" s="207"/>
      <c r="M46" s="207"/>
      <c r="N46" s="207"/>
      <c r="O46" s="207"/>
      <c r="P46" s="207"/>
      <c r="Q46" s="207"/>
      <c r="R46" s="208"/>
      <c r="S46" s="219"/>
      <c r="T46" s="219"/>
      <c r="U46" s="219"/>
      <c r="V46" s="219"/>
      <c r="W46" s="219"/>
      <c r="X46" s="219"/>
      <c r="Y46" s="219"/>
      <c r="Z46" s="219"/>
    </row>
    <row r="47" spans="2:26" x14ac:dyDescent="0.3">
      <c r="B47" s="206"/>
      <c r="C47" s="207"/>
      <c r="D47" s="207"/>
      <c r="E47" s="207"/>
      <c r="F47" s="207"/>
      <c r="G47" s="207"/>
      <c r="H47" s="207"/>
      <c r="I47" s="207"/>
      <c r="J47" s="207"/>
      <c r="K47" s="207"/>
      <c r="L47" s="207"/>
      <c r="M47" s="207"/>
      <c r="N47" s="207"/>
      <c r="O47" s="207"/>
      <c r="P47" s="207"/>
      <c r="Q47" s="207"/>
      <c r="R47" s="208"/>
      <c r="S47" s="219"/>
      <c r="T47" s="219"/>
      <c r="U47" s="219"/>
      <c r="V47" s="219"/>
      <c r="W47" s="219"/>
      <c r="X47" s="219"/>
      <c r="Y47" s="219"/>
      <c r="Z47" s="219"/>
    </row>
    <row r="48" spans="2:26" x14ac:dyDescent="0.3">
      <c r="B48" s="206"/>
      <c r="C48" s="207"/>
      <c r="D48" s="207"/>
      <c r="E48" s="207"/>
      <c r="F48" s="207"/>
      <c r="G48" s="207"/>
      <c r="H48" s="207"/>
      <c r="I48" s="207"/>
      <c r="J48" s="207"/>
      <c r="K48" s="207"/>
      <c r="L48" s="207"/>
      <c r="M48" s="207"/>
      <c r="N48" s="207"/>
      <c r="O48" s="207"/>
      <c r="P48" s="207"/>
      <c r="Q48" s="207"/>
      <c r="R48" s="208"/>
      <c r="S48" s="219"/>
      <c r="T48" s="219"/>
      <c r="U48" s="219"/>
      <c r="V48" s="219"/>
      <c r="W48" s="219"/>
      <c r="X48" s="219"/>
      <c r="Y48" s="219"/>
      <c r="Z48" s="219"/>
    </row>
    <row r="49" spans="2:26" x14ac:dyDescent="0.3">
      <c r="B49" s="206"/>
      <c r="C49" s="207"/>
      <c r="D49" s="207"/>
      <c r="E49" s="207"/>
      <c r="F49" s="207"/>
      <c r="G49" s="207"/>
      <c r="H49" s="207"/>
      <c r="I49" s="207"/>
      <c r="J49" s="207"/>
      <c r="K49" s="207"/>
      <c r="L49" s="207"/>
      <c r="M49" s="207"/>
      <c r="N49" s="207"/>
      <c r="O49" s="207"/>
      <c r="P49" s="207"/>
      <c r="Q49" s="207"/>
      <c r="R49" s="208"/>
      <c r="S49" s="219"/>
      <c r="T49" s="219"/>
      <c r="U49" s="219"/>
      <c r="V49" s="219"/>
      <c r="W49" s="219"/>
      <c r="X49" s="219"/>
      <c r="Y49" s="219"/>
      <c r="Z49" s="219"/>
    </row>
    <row r="50" spans="2:26" x14ac:dyDescent="0.3">
      <c r="B50" s="206"/>
      <c r="C50" s="207"/>
      <c r="D50" s="207"/>
      <c r="E50" s="207"/>
      <c r="F50" s="207"/>
      <c r="G50" s="207"/>
      <c r="H50" s="207"/>
      <c r="I50" s="207"/>
      <c r="J50" s="207"/>
      <c r="K50" s="207"/>
      <c r="L50" s="207"/>
      <c r="M50" s="207"/>
      <c r="N50" s="207"/>
      <c r="O50" s="207"/>
      <c r="P50" s="207"/>
      <c r="Q50" s="207"/>
      <c r="R50" s="208"/>
      <c r="S50" s="219"/>
      <c r="T50" s="219"/>
      <c r="U50" s="219"/>
      <c r="V50" s="219"/>
      <c r="W50" s="219"/>
      <c r="X50" s="219"/>
      <c r="Y50" s="219"/>
      <c r="Z50" s="219"/>
    </row>
    <row r="51" spans="2:26" ht="16.2" thickBot="1" x14ac:dyDescent="0.35">
      <c r="B51" s="209"/>
      <c r="C51" s="210"/>
      <c r="D51" s="210"/>
      <c r="E51" s="210"/>
      <c r="F51" s="210"/>
      <c r="G51" s="210"/>
      <c r="H51" s="210"/>
      <c r="I51" s="210"/>
      <c r="J51" s="210"/>
      <c r="K51" s="210"/>
      <c r="L51" s="210"/>
      <c r="M51" s="210"/>
      <c r="N51" s="210"/>
      <c r="O51" s="210"/>
      <c r="P51" s="210"/>
      <c r="Q51" s="210"/>
      <c r="R51" s="211"/>
      <c r="S51" s="219"/>
      <c r="T51" s="219"/>
      <c r="U51" s="219"/>
      <c r="V51" s="219"/>
      <c r="W51" s="219"/>
      <c r="X51" s="219"/>
      <c r="Y51" s="219"/>
      <c r="Z51" s="219"/>
    </row>
    <row r="52" spans="2:26" x14ac:dyDescent="0.3">
      <c r="Z52" s="220"/>
    </row>
  </sheetData>
  <sheetProtection sheet="1" objects="1" scenarios="1"/>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68CFDC-9D00-4333-96E0-FAF20CF1540C}">
  <sheetPr codeName="Sheet1">
    <tabColor theme="4" tint="-0.499984740745262"/>
  </sheetPr>
  <dimension ref="A1:AE125"/>
  <sheetViews>
    <sheetView showGridLines="0" zoomScale="40" zoomScaleNormal="40" workbookViewId="0">
      <selection activeCell="X6" sqref="X6"/>
    </sheetView>
  </sheetViews>
  <sheetFormatPr defaultColWidth="10" defaultRowHeight="29.4" x14ac:dyDescent="0.65"/>
  <cols>
    <col min="1" max="3" width="10" style="190"/>
    <col min="4" max="4" width="44.21875" style="190" customWidth="1"/>
    <col min="5" max="5" width="39.5546875" style="190" customWidth="1"/>
    <col min="6" max="6" width="16.88671875" style="190" customWidth="1"/>
    <col min="7" max="7" width="25" style="190" customWidth="1"/>
    <col min="8" max="10" width="40.21875" style="190" customWidth="1"/>
    <col min="11" max="11" width="15.5546875" style="190" customWidth="1"/>
    <col min="12" max="15" width="10" style="190"/>
    <col min="16" max="16" width="14.44140625" style="190" customWidth="1"/>
    <col min="17" max="17" width="16.109375" style="190" customWidth="1"/>
    <col min="18" max="18" width="175.21875" style="190" customWidth="1"/>
    <col min="19" max="24" width="10" style="190"/>
    <col min="25" max="25" width="14.109375" style="190" customWidth="1"/>
    <col min="26" max="26" width="10" style="190"/>
    <col min="27" max="27" width="98.6640625" style="190" customWidth="1"/>
    <col min="28" max="16384" width="10" style="190"/>
  </cols>
  <sheetData>
    <row r="1" spans="1:31" x14ac:dyDescent="0.65">
      <c r="A1" s="221"/>
      <c r="B1" s="222"/>
      <c r="C1" s="222"/>
      <c r="D1" s="222"/>
      <c r="E1" s="222"/>
      <c r="F1" s="222"/>
      <c r="G1" s="222"/>
      <c r="H1" s="222"/>
      <c r="I1" s="222"/>
      <c r="J1" s="222"/>
      <c r="K1" s="222"/>
      <c r="L1" s="222"/>
      <c r="M1" s="222"/>
      <c r="N1" s="222"/>
      <c r="O1" s="222"/>
      <c r="P1" s="222"/>
      <c r="Q1" s="222"/>
      <c r="R1" s="222"/>
      <c r="S1" s="222"/>
      <c r="T1" s="222"/>
      <c r="U1" s="222"/>
      <c r="V1" s="222"/>
      <c r="W1" s="222"/>
      <c r="X1" s="222"/>
      <c r="Y1" s="222"/>
      <c r="Z1" s="222"/>
      <c r="AA1" s="222"/>
      <c r="AB1" s="222"/>
      <c r="AC1" s="222"/>
      <c r="AD1" s="222"/>
      <c r="AE1" s="223"/>
    </row>
    <row r="2" spans="1:31" ht="15.6" customHeight="1" x14ac:dyDescent="0.65">
      <c r="A2" s="224"/>
      <c r="B2" s="225"/>
      <c r="C2" s="225"/>
      <c r="D2" s="225"/>
      <c r="E2" s="225"/>
      <c r="F2" s="225"/>
      <c r="G2" s="225"/>
      <c r="H2" s="225"/>
      <c r="I2" s="225"/>
      <c r="J2" s="225"/>
      <c r="K2" s="225"/>
      <c r="L2" s="225"/>
      <c r="M2" s="225"/>
      <c r="N2" s="225"/>
      <c r="O2" s="225"/>
      <c r="P2" s="225"/>
      <c r="Q2" s="225"/>
      <c r="R2" s="225"/>
      <c r="S2" s="225"/>
      <c r="T2" s="225"/>
      <c r="U2" s="225"/>
      <c r="V2" s="225"/>
      <c r="W2" s="225"/>
      <c r="X2" s="225"/>
      <c r="Y2" s="225"/>
      <c r="Z2" s="225"/>
      <c r="AA2" s="225"/>
      <c r="AB2" s="225"/>
      <c r="AC2" s="225"/>
      <c r="AD2" s="225"/>
      <c r="AE2" s="226"/>
    </row>
    <row r="3" spans="1:31" ht="16.2" customHeight="1" x14ac:dyDescent="0.65">
      <c r="A3" s="224"/>
      <c r="B3" s="225"/>
      <c r="C3" s="225"/>
      <c r="D3" s="225"/>
      <c r="E3" s="225"/>
      <c r="F3" s="225"/>
      <c r="G3" s="225"/>
      <c r="H3" s="225"/>
      <c r="I3" s="225"/>
      <c r="J3" s="225"/>
      <c r="K3" s="225"/>
      <c r="L3" s="225"/>
      <c r="M3" s="225"/>
      <c r="N3" s="225"/>
      <c r="O3" s="225"/>
      <c r="P3" s="225"/>
      <c r="Q3" s="225"/>
      <c r="R3" s="225"/>
      <c r="S3" s="225"/>
      <c r="T3" s="225"/>
      <c r="U3" s="225"/>
      <c r="V3" s="225"/>
      <c r="W3" s="225"/>
      <c r="X3" s="225"/>
      <c r="Y3" s="225"/>
      <c r="Z3" s="225"/>
      <c r="AA3" s="225"/>
      <c r="AB3" s="225"/>
      <c r="AC3" s="225"/>
      <c r="AD3" s="225"/>
      <c r="AE3" s="226"/>
    </row>
    <row r="4" spans="1:31" x14ac:dyDescent="0.65">
      <c r="A4" s="224"/>
      <c r="B4" s="225"/>
      <c r="C4" s="225"/>
      <c r="D4" s="225"/>
      <c r="E4" s="225"/>
      <c r="F4" s="225"/>
      <c r="G4" s="225"/>
      <c r="H4" s="225"/>
      <c r="I4" s="225"/>
      <c r="J4" s="225"/>
      <c r="K4" s="225"/>
      <c r="L4" s="225"/>
      <c r="M4" s="225"/>
      <c r="N4" s="225"/>
      <c r="O4" s="225"/>
      <c r="P4" s="225"/>
      <c r="Q4" s="225"/>
      <c r="R4" s="225"/>
      <c r="S4" s="225"/>
      <c r="T4" s="225"/>
      <c r="U4" s="225"/>
      <c r="V4" s="225"/>
      <c r="W4" s="225"/>
      <c r="X4" s="225"/>
      <c r="Y4" s="225"/>
      <c r="Z4" s="225"/>
      <c r="AA4" s="225"/>
      <c r="AB4" s="225"/>
      <c r="AC4" s="225"/>
      <c r="AD4" s="225"/>
      <c r="AE4" s="226"/>
    </row>
    <row r="5" spans="1:31" ht="15.6" customHeight="1" x14ac:dyDescent="0.65">
      <c r="A5" s="227"/>
      <c r="B5" s="228"/>
      <c r="C5" s="228"/>
      <c r="D5" s="228"/>
      <c r="E5" s="228"/>
      <c r="F5" s="228"/>
      <c r="G5" s="228"/>
      <c r="H5" s="228"/>
      <c r="I5" s="228"/>
      <c r="J5" s="228"/>
      <c r="K5" s="228"/>
      <c r="L5" s="228"/>
      <c r="M5" s="228"/>
      <c r="N5" s="228"/>
      <c r="O5" s="228"/>
      <c r="P5" s="228"/>
      <c r="Q5" s="228"/>
      <c r="R5" s="228"/>
      <c r="S5" s="228"/>
      <c r="T5" s="228"/>
      <c r="U5" s="228"/>
      <c r="V5" s="228"/>
      <c r="W5" s="228"/>
      <c r="X5" s="228"/>
      <c r="Y5" s="228"/>
      <c r="Z5" s="228"/>
      <c r="AA5" s="228"/>
      <c r="AB5" s="228"/>
      <c r="AC5" s="228"/>
      <c r="AD5" s="228"/>
      <c r="AE5" s="229"/>
    </row>
    <row r="6" spans="1:31" ht="15.6" customHeight="1" x14ac:dyDescent="0.65">
      <c r="A6" s="230"/>
      <c r="B6" s="228"/>
      <c r="C6" s="228"/>
      <c r="D6" s="228"/>
      <c r="E6" s="228"/>
      <c r="F6" s="228"/>
      <c r="G6" s="228"/>
      <c r="H6" s="228"/>
      <c r="I6" s="228"/>
      <c r="J6" s="228"/>
      <c r="K6" s="228"/>
      <c r="L6" s="228"/>
      <c r="M6" s="228"/>
      <c r="N6" s="228"/>
      <c r="O6" s="228"/>
      <c r="P6" s="228"/>
      <c r="Q6" s="228"/>
      <c r="R6" s="228"/>
      <c r="S6" s="228"/>
      <c r="T6" s="228"/>
      <c r="U6" s="228"/>
      <c r="V6" s="228"/>
      <c r="W6" s="228"/>
      <c r="X6" s="228"/>
      <c r="Y6" s="228"/>
      <c r="Z6" s="228"/>
      <c r="AA6" s="228"/>
      <c r="AB6" s="228"/>
      <c r="AC6" s="228"/>
      <c r="AD6" s="228"/>
      <c r="AE6" s="229"/>
    </row>
    <row r="7" spans="1:31" ht="15.6" customHeight="1" x14ac:dyDescent="0.65">
      <c r="A7" s="230"/>
      <c r="B7" s="228"/>
      <c r="C7" s="228"/>
      <c r="D7" s="228"/>
      <c r="E7" s="228"/>
      <c r="F7" s="228"/>
      <c r="G7" s="228"/>
      <c r="H7" s="228"/>
      <c r="I7" s="228"/>
      <c r="J7" s="228"/>
      <c r="K7" s="228"/>
      <c r="L7" s="228"/>
      <c r="M7" s="228"/>
      <c r="N7" s="228"/>
      <c r="O7" s="228"/>
      <c r="P7" s="228"/>
      <c r="Q7" s="228"/>
      <c r="R7" s="228"/>
      <c r="S7" s="228"/>
      <c r="T7" s="228"/>
      <c r="U7" s="228"/>
      <c r="V7" s="228"/>
      <c r="W7" s="228"/>
      <c r="X7" s="228"/>
      <c r="Y7" s="228"/>
      <c r="Z7" s="228"/>
      <c r="AA7" s="228"/>
      <c r="AB7" s="228"/>
      <c r="AC7" s="228"/>
      <c r="AD7" s="228"/>
      <c r="AE7" s="229"/>
    </row>
    <row r="8" spans="1:31" ht="36.6" customHeight="1" x14ac:dyDescent="0.65">
      <c r="A8" s="230"/>
      <c r="B8" s="228"/>
      <c r="C8" s="231" t="s">
        <v>704</v>
      </c>
      <c r="D8" s="228"/>
      <c r="E8" s="228"/>
      <c r="F8" s="228"/>
      <c r="G8" s="228"/>
      <c r="H8" s="228"/>
      <c r="I8" s="228"/>
      <c r="J8" s="228"/>
      <c r="K8" s="228"/>
      <c r="L8" s="228"/>
      <c r="M8" s="228"/>
      <c r="N8" s="228"/>
      <c r="O8" s="228"/>
      <c r="P8" s="228"/>
      <c r="Q8" s="228"/>
      <c r="R8" s="228"/>
      <c r="S8" s="228"/>
      <c r="T8" s="228"/>
      <c r="U8" s="228"/>
      <c r="V8" s="228"/>
      <c r="W8" s="228"/>
      <c r="X8" s="228"/>
      <c r="Y8" s="228"/>
      <c r="Z8" s="228"/>
      <c r="AA8" s="228"/>
      <c r="AB8" s="228"/>
      <c r="AC8" s="228"/>
      <c r="AD8" s="228"/>
      <c r="AE8" s="229"/>
    </row>
    <row r="9" spans="1:31" ht="15.6" customHeight="1" x14ac:dyDescent="0.65">
      <c r="A9" s="230"/>
      <c r="B9" s="228"/>
      <c r="C9" s="228"/>
      <c r="D9" s="228"/>
      <c r="E9" s="228"/>
      <c r="F9" s="228"/>
      <c r="G9" s="228"/>
      <c r="H9" s="228"/>
      <c r="I9" s="228"/>
      <c r="J9" s="228"/>
      <c r="K9" s="228"/>
      <c r="L9" s="228"/>
      <c r="M9" s="228"/>
      <c r="N9" s="228"/>
      <c r="O9" s="228"/>
      <c r="P9" s="228"/>
      <c r="Q9" s="228"/>
      <c r="R9" s="228"/>
      <c r="S9" s="228"/>
      <c r="T9" s="228"/>
      <c r="U9" s="228"/>
      <c r="V9" s="228"/>
      <c r="W9" s="228"/>
      <c r="X9" s="228"/>
      <c r="Y9" s="228"/>
      <c r="Z9" s="228"/>
      <c r="AA9" s="228"/>
      <c r="AB9" s="228"/>
      <c r="AC9" s="228"/>
      <c r="AD9" s="228"/>
      <c r="AE9" s="229"/>
    </row>
    <row r="10" spans="1:31" ht="15.6" customHeight="1" x14ac:dyDescent="0.65">
      <c r="A10" s="230"/>
      <c r="B10" s="228"/>
      <c r="C10" s="228"/>
      <c r="D10" s="228"/>
      <c r="E10" s="228"/>
      <c r="F10" s="228"/>
      <c r="G10" s="228"/>
      <c r="H10" s="228"/>
      <c r="I10" s="228"/>
      <c r="J10" s="228"/>
      <c r="K10" s="228"/>
      <c r="L10" s="228"/>
      <c r="M10" s="228"/>
      <c r="N10" s="228"/>
      <c r="O10" s="228"/>
      <c r="P10" s="228"/>
      <c r="Q10" s="228"/>
      <c r="R10" s="228"/>
      <c r="S10" s="228"/>
      <c r="T10" s="228"/>
      <c r="U10" s="228"/>
      <c r="V10" s="228"/>
      <c r="W10" s="228"/>
      <c r="X10" s="228"/>
      <c r="Y10" s="228"/>
      <c r="Z10" s="228"/>
      <c r="AA10" s="228"/>
      <c r="AB10" s="228"/>
      <c r="AC10" s="228"/>
      <c r="AD10" s="228"/>
      <c r="AE10" s="229"/>
    </row>
    <row r="11" spans="1:31" x14ac:dyDescent="0.65">
      <c r="A11" s="230"/>
      <c r="B11" s="228"/>
      <c r="C11" s="232" t="s">
        <v>735</v>
      </c>
      <c r="D11" s="232"/>
      <c r="E11" s="232"/>
      <c r="F11" s="232"/>
      <c r="G11" s="232"/>
      <c r="H11" s="232"/>
      <c r="I11" s="232"/>
      <c r="J11" s="232"/>
      <c r="K11" s="232"/>
      <c r="L11" s="232"/>
      <c r="M11" s="232"/>
      <c r="N11" s="232"/>
      <c r="O11" s="232"/>
      <c r="P11" s="232"/>
      <c r="Q11" s="232"/>
      <c r="R11" s="232"/>
      <c r="S11" s="228"/>
      <c r="T11" s="228"/>
      <c r="U11" s="228"/>
      <c r="V11" s="228"/>
      <c r="W11" s="228"/>
      <c r="X11" s="228"/>
      <c r="Y11" s="228"/>
      <c r="Z11" s="228"/>
      <c r="AA11" s="228"/>
      <c r="AB11" s="228"/>
      <c r="AC11" s="228"/>
      <c r="AD11" s="228"/>
      <c r="AE11" s="229"/>
    </row>
    <row r="12" spans="1:31" ht="15.6" customHeight="1" x14ac:dyDescent="0.65">
      <c r="A12" s="230"/>
      <c r="B12" s="228"/>
      <c r="C12" s="233"/>
      <c r="D12" s="228"/>
      <c r="E12" s="228"/>
      <c r="F12" s="228"/>
      <c r="G12" s="228"/>
      <c r="H12" s="228"/>
      <c r="I12" s="228"/>
      <c r="J12" s="228"/>
      <c r="K12" s="228"/>
      <c r="L12" s="228"/>
      <c r="M12" s="228"/>
      <c r="N12" s="228"/>
      <c r="O12" s="228"/>
      <c r="P12" s="228"/>
      <c r="Q12" s="228"/>
      <c r="R12" s="228"/>
      <c r="S12" s="228"/>
      <c r="T12" s="228"/>
      <c r="U12" s="228"/>
      <c r="V12" s="228"/>
      <c r="W12" s="228"/>
      <c r="X12" s="228"/>
      <c r="Y12" s="228"/>
      <c r="Z12" s="228"/>
      <c r="AA12" s="228"/>
      <c r="AB12" s="228"/>
      <c r="AC12" s="228"/>
      <c r="AD12" s="228"/>
      <c r="AE12" s="229"/>
    </row>
    <row r="13" spans="1:31" x14ac:dyDescent="0.65">
      <c r="A13" s="230"/>
      <c r="B13" s="228"/>
      <c r="C13" s="233" t="s">
        <v>705</v>
      </c>
      <c r="D13" s="228"/>
      <c r="E13" s="228"/>
      <c r="F13" s="228"/>
      <c r="G13" s="228"/>
      <c r="H13" s="228"/>
      <c r="I13" s="228"/>
      <c r="J13" s="228"/>
      <c r="K13" s="228"/>
      <c r="L13" s="228"/>
      <c r="M13" s="228"/>
      <c r="N13" s="228"/>
      <c r="O13" s="228"/>
      <c r="P13" s="228"/>
      <c r="Q13" s="228"/>
      <c r="R13" s="228"/>
      <c r="S13" s="228"/>
      <c r="T13" s="228"/>
      <c r="U13" s="228"/>
      <c r="V13" s="228"/>
      <c r="W13" s="228"/>
      <c r="X13" s="228"/>
      <c r="Y13" s="228"/>
      <c r="Z13" s="228"/>
      <c r="AA13" s="228"/>
      <c r="AB13" s="228"/>
      <c r="AC13" s="228"/>
      <c r="AD13" s="228"/>
      <c r="AE13" s="229"/>
    </row>
    <row r="14" spans="1:31" ht="15.6" customHeight="1" x14ac:dyDescent="0.65">
      <c r="A14" s="230"/>
      <c r="B14" s="228"/>
      <c r="C14" s="228"/>
      <c r="D14" s="228"/>
      <c r="E14" s="228"/>
      <c r="F14" s="228"/>
      <c r="G14" s="228"/>
      <c r="H14" s="228"/>
      <c r="I14" s="228"/>
      <c r="J14" s="228"/>
      <c r="K14" s="228"/>
      <c r="L14" s="228"/>
      <c r="M14" s="228"/>
      <c r="N14" s="228"/>
      <c r="O14" s="228"/>
      <c r="P14" s="228"/>
      <c r="Q14" s="228"/>
      <c r="R14" s="228"/>
      <c r="S14" s="228"/>
      <c r="T14" s="228"/>
      <c r="U14" s="228"/>
      <c r="V14" s="228"/>
      <c r="W14" s="228"/>
      <c r="X14" s="228"/>
      <c r="Y14" s="228"/>
      <c r="Z14" s="228"/>
      <c r="AA14" s="228"/>
      <c r="AB14" s="228"/>
      <c r="AC14" s="228"/>
      <c r="AD14" s="228"/>
      <c r="AE14" s="229"/>
    </row>
    <row r="15" spans="1:31" x14ac:dyDescent="0.65">
      <c r="A15" s="230"/>
      <c r="B15" s="228"/>
      <c r="C15" s="228"/>
      <c r="D15" s="234" t="s">
        <v>707</v>
      </c>
      <c r="E15" s="228"/>
      <c r="F15" s="228"/>
      <c r="G15" s="228"/>
      <c r="H15" s="228"/>
      <c r="I15" s="228"/>
      <c r="J15" s="228"/>
      <c r="K15" s="228"/>
      <c r="L15" s="228"/>
      <c r="M15" s="228"/>
      <c r="N15" s="228"/>
      <c r="O15" s="228"/>
      <c r="P15" s="228"/>
      <c r="Q15" s="228"/>
      <c r="R15" s="228"/>
      <c r="S15" s="228"/>
      <c r="T15" s="228"/>
      <c r="U15" s="228"/>
      <c r="V15" s="228"/>
      <c r="W15" s="228"/>
      <c r="X15" s="228"/>
      <c r="Y15" s="228"/>
      <c r="Z15" s="228"/>
      <c r="AA15" s="228"/>
      <c r="AB15" s="228"/>
      <c r="AC15" s="228"/>
      <c r="AD15" s="228"/>
      <c r="AE15" s="229"/>
    </row>
    <row r="16" spans="1:31" x14ac:dyDescent="0.65">
      <c r="A16" s="230"/>
      <c r="B16" s="228"/>
      <c r="C16" s="228"/>
      <c r="D16" s="235"/>
      <c r="E16" s="228"/>
      <c r="F16" s="228"/>
      <c r="G16" s="228"/>
      <c r="H16" s="228"/>
      <c r="I16" s="228"/>
      <c r="J16" s="228"/>
      <c r="K16" s="228"/>
      <c r="L16" s="228"/>
      <c r="M16" s="228"/>
      <c r="N16" s="228"/>
      <c r="O16" s="228"/>
      <c r="P16" s="228"/>
      <c r="Q16" s="228"/>
      <c r="R16" s="228"/>
      <c r="S16" s="228"/>
      <c r="T16" s="228"/>
      <c r="U16" s="228"/>
      <c r="V16" s="228"/>
      <c r="W16" s="228"/>
      <c r="X16" s="228"/>
      <c r="Y16" s="228"/>
      <c r="Z16" s="228"/>
      <c r="AA16" s="228"/>
      <c r="AB16" s="228"/>
      <c r="AC16" s="228"/>
      <c r="AD16" s="228"/>
      <c r="AE16" s="229"/>
    </row>
    <row r="17" spans="1:31" x14ac:dyDescent="0.65">
      <c r="A17" s="230"/>
      <c r="B17" s="228"/>
      <c r="C17" s="228"/>
      <c r="D17" s="233"/>
      <c r="E17" s="228"/>
      <c r="F17" s="228"/>
      <c r="G17" s="228"/>
      <c r="H17" s="228"/>
      <c r="I17" s="228"/>
      <c r="J17" s="228"/>
      <c r="K17" s="228"/>
      <c r="L17" s="228"/>
      <c r="M17" s="228"/>
      <c r="N17" s="228"/>
      <c r="O17" s="228"/>
      <c r="P17" s="228"/>
      <c r="Q17" s="228"/>
      <c r="R17" s="228"/>
      <c r="S17" s="228"/>
      <c r="T17" s="228"/>
      <c r="U17" s="228"/>
      <c r="V17" s="228"/>
      <c r="W17" s="228"/>
      <c r="X17" s="228"/>
      <c r="Y17" s="228"/>
      <c r="Z17" s="228"/>
      <c r="AA17" s="228"/>
      <c r="AB17" s="228"/>
      <c r="AC17" s="228"/>
      <c r="AD17" s="228"/>
      <c r="AE17" s="229"/>
    </row>
    <row r="18" spans="1:31" x14ac:dyDescent="0.65">
      <c r="A18" s="230"/>
      <c r="B18" s="228"/>
      <c r="C18" s="228"/>
      <c r="D18" s="234" t="s">
        <v>713</v>
      </c>
      <c r="E18" s="228"/>
      <c r="F18" s="228"/>
      <c r="G18" s="228"/>
      <c r="H18" s="228"/>
      <c r="I18" s="228"/>
      <c r="J18" s="228"/>
      <c r="K18" s="228"/>
      <c r="L18" s="228"/>
      <c r="M18" s="228"/>
      <c r="N18" s="228"/>
      <c r="O18" s="228"/>
      <c r="P18" s="228"/>
      <c r="Q18" s="228"/>
      <c r="R18" s="228"/>
      <c r="S18" s="228"/>
      <c r="T18" s="228"/>
      <c r="U18" s="228"/>
      <c r="V18" s="228"/>
      <c r="W18" s="228"/>
      <c r="X18" s="228"/>
      <c r="Y18" s="228"/>
      <c r="Z18" s="228"/>
      <c r="AA18" s="228"/>
      <c r="AB18" s="228"/>
      <c r="AC18" s="228"/>
      <c r="AD18" s="228"/>
      <c r="AE18" s="229"/>
    </row>
    <row r="19" spans="1:31" x14ac:dyDescent="0.65">
      <c r="A19" s="230"/>
      <c r="B19" s="228"/>
      <c r="C19" s="228"/>
      <c r="D19" s="233"/>
      <c r="E19" s="228"/>
      <c r="F19" s="228"/>
      <c r="G19" s="228"/>
      <c r="H19" s="228"/>
      <c r="I19" s="228"/>
      <c r="J19" s="228"/>
      <c r="K19" s="228"/>
      <c r="L19" s="228"/>
      <c r="M19" s="228"/>
      <c r="N19" s="228"/>
      <c r="O19" s="228"/>
      <c r="P19" s="228"/>
      <c r="Q19" s="228"/>
      <c r="R19" s="228"/>
      <c r="S19" s="228"/>
      <c r="T19" s="228"/>
      <c r="U19" s="228"/>
      <c r="V19" s="228"/>
      <c r="W19" s="228"/>
      <c r="X19" s="228"/>
      <c r="Y19" s="228"/>
      <c r="Z19" s="228"/>
      <c r="AA19" s="228"/>
      <c r="AB19" s="228"/>
      <c r="AC19" s="228"/>
      <c r="AD19" s="228"/>
      <c r="AE19" s="229"/>
    </row>
    <row r="20" spans="1:31" x14ac:dyDescent="0.65">
      <c r="A20" s="230"/>
      <c r="B20" s="228"/>
      <c r="C20" s="228"/>
      <c r="D20" s="233"/>
      <c r="E20" s="228"/>
      <c r="F20" s="228"/>
      <c r="G20" s="228"/>
      <c r="H20" s="228"/>
      <c r="I20" s="228"/>
      <c r="J20" s="228"/>
      <c r="K20" s="228"/>
      <c r="L20" s="228"/>
      <c r="M20" s="228"/>
      <c r="N20" s="228"/>
      <c r="O20" s="228"/>
      <c r="P20" s="228"/>
      <c r="Q20" s="228"/>
      <c r="R20" s="228"/>
      <c r="S20" s="228"/>
      <c r="T20" s="228"/>
      <c r="U20" s="228"/>
      <c r="V20" s="228"/>
      <c r="W20" s="228"/>
      <c r="X20" s="228"/>
      <c r="Y20" s="228"/>
      <c r="Z20" s="228"/>
      <c r="AA20" s="228"/>
      <c r="AB20" s="228"/>
      <c r="AC20" s="228"/>
      <c r="AD20" s="228"/>
      <c r="AE20" s="229"/>
    </row>
    <row r="21" spans="1:31" x14ac:dyDescent="0.65">
      <c r="A21" s="230"/>
      <c r="B21" s="228"/>
      <c r="C21" s="228"/>
      <c r="D21" s="233"/>
      <c r="E21" s="228"/>
      <c r="F21" s="228"/>
      <c r="G21" s="228"/>
      <c r="H21" s="228"/>
      <c r="I21" s="228"/>
      <c r="J21" s="228"/>
      <c r="K21" s="228"/>
      <c r="L21" s="228"/>
      <c r="M21" s="228"/>
      <c r="N21" s="228"/>
      <c r="O21" s="228"/>
      <c r="P21" s="228"/>
      <c r="Q21" s="228"/>
      <c r="R21" s="228"/>
      <c r="S21" s="228"/>
      <c r="T21" s="228"/>
      <c r="U21" s="228"/>
      <c r="V21" s="228"/>
      <c r="W21" s="228"/>
      <c r="X21" s="228"/>
      <c r="Y21" s="228"/>
      <c r="Z21" s="228"/>
      <c r="AA21" s="228"/>
      <c r="AB21" s="228"/>
      <c r="AC21" s="228"/>
      <c r="AD21" s="228"/>
      <c r="AE21" s="229"/>
    </row>
    <row r="22" spans="1:31" ht="52.2" x14ac:dyDescent="0.65">
      <c r="A22" s="230"/>
      <c r="B22" s="228"/>
      <c r="C22" s="236" t="s">
        <v>706</v>
      </c>
      <c r="D22" s="233"/>
      <c r="E22" s="228"/>
      <c r="F22" s="228"/>
      <c r="G22" s="228"/>
      <c r="H22" s="228"/>
      <c r="I22" s="228"/>
      <c r="J22" s="228"/>
      <c r="K22" s="228"/>
      <c r="L22" s="228"/>
      <c r="M22" s="228"/>
      <c r="N22" s="228"/>
      <c r="O22" s="228"/>
      <c r="P22" s="228"/>
      <c r="Q22" s="228"/>
      <c r="R22" s="228"/>
      <c r="S22" s="228"/>
      <c r="T22" s="228"/>
      <c r="U22" s="228"/>
      <c r="V22" s="228"/>
      <c r="W22" s="228"/>
      <c r="X22" s="228"/>
      <c r="Y22" s="228"/>
      <c r="Z22" s="228"/>
      <c r="AA22" s="228"/>
      <c r="AB22" s="228"/>
      <c r="AC22" s="228"/>
      <c r="AD22" s="228"/>
      <c r="AE22" s="229"/>
    </row>
    <row r="23" spans="1:31" ht="15.6" customHeight="1" x14ac:dyDescent="0.65">
      <c r="A23" s="230"/>
      <c r="B23" s="228"/>
      <c r="C23" s="228"/>
      <c r="D23" s="228"/>
      <c r="E23" s="228"/>
      <c r="F23" s="228"/>
      <c r="G23" s="228"/>
      <c r="H23" s="228"/>
      <c r="I23" s="228"/>
      <c r="J23" s="228"/>
      <c r="K23" s="228"/>
      <c r="L23" s="228"/>
      <c r="M23" s="228"/>
      <c r="N23" s="228"/>
      <c r="O23" s="228"/>
      <c r="P23" s="228"/>
      <c r="Q23" s="228"/>
      <c r="R23" s="228"/>
      <c r="S23" s="228"/>
      <c r="T23" s="228"/>
      <c r="U23" s="228"/>
      <c r="V23" s="228"/>
      <c r="W23" s="228"/>
      <c r="X23" s="228"/>
      <c r="Y23" s="228"/>
      <c r="Z23" s="228"/>
      <c r="AA23" s="228"/>
      <c r="AB23" s="228"/>
      <c r="AC23" s="228"/>
      <c r="AD23" s="228"/>
      <c r="AE23" s="229"/>
    </row>
    <row r="24" spans="1:31" ht="21" customHeight="1" x14ac:dyDescent="0.65">
      <c r="A24" s="230"/>
      <c r="B24" s="228"/>
      <c r="C24" s="233" t="s">
        <v>729</v>
      </c>
      <c r="D24" s="228"/>
      <c r="E24" s="228"/>
      <c r="F24" s="228"/>
      <c r="G24" s="228"/>
      <c r="H24" s="228"/>
      <c r="I24" s="228"/>
      <c r="J24" s="228"/>
      <c r="K24" s="228"/>
      <c r="L24" s="228"/>
      <c r="M24" s="228"/>
      <c r="N24" s="228"/>
      <c r="O24" s="228"/>
      <c r="P24" s="228"/>
      <c r="Q24" s="235"/>
      <c r="R24" s="235"/>
      <c r="S24" s="235"/>
      <c r="T24" s="235"/>
      <c r="U24" s="235"/>
      <c r="V24" s="235"/>
      <c r="W24" s="235"/>
      <c r="X24" s="235"/>
      <c r="Y24" s="235"/>
      <c r="Z24" s="235"/>
      <c r="AA24" s="228"/>
      <c r="AB24" s="228"/>
      <c r="AC24" s="228"/>
      <c r="AD24" s="228"/>
      <c r="AE24" s="229"/>
    </row>
    <row r="25" spans="1:31" ht="15.6" customHeight="1" x14ac:dyDescent="0.65">
      <c r="A25" s="230"/>
      <c r="B25" s="228"/>
      <c r="C25" s="228"/>
      <c r="D25" s="228"/>
      <c r="E25" s="228"/>
      <c r="F25" s="228"/>
      <c r="G25" s="228"/>
      <c r="H25" s="228"/>
      <c r="I25" s="228"/>
      <c r="J25" s="228"/>
      <c r="K25" s="228"/>
      <c r="L25" s="228"/>
      <c r="M25" s="228"/>
      <c r="N25" s="228"/>
      <c r="O25" s="228"/>
      <c r="P25" s="228"/>
      <c r="Q25" s="228"/>
      <c r="R25" s="228"/>
      <c r="S25" s="228"/>
      <c r="T25" s="228"/>
      <c r="U25" s="228"/>
      <c r="V25" s="228"/>
      <c r="W25" s="228"/>
      <c r="X25" s="228"/>
      <c r="Y25" s="228"/>
      <c r="Z25" s="228"/>
      <c r="AA25" s="228"/>
      <c r="AB25" s="228"/>
      <c r="AC25" s="228"/>
      <c r="AD25" s="228"/>
      <c r="AE25" s="229"/>
    </row>
    <row r="26" spans="1:31" ht="15.6" customHeight="1" x14ac:dyDescent="0.65">
      <c r="A26" s="230"/>
      <c r="B26" s="228"/>
      <c r="C26" s="228"/>
      <c r="D26" s="228"/>
      <c r="E26" s="228"/>
      <c r="F26" s="228"/>
      <c r="G26" s="228"/>
      <c r="H26" s="228"/>
      <c r="I26" s="228"/>
      <c r="J26" s="228"/>
      <c r="K26" s="228"/>
      <c r="L26" s="228"/>
      <c r="M26" s="228"/>
      <c r="N26" s="228"/>
      <c r="O26" s="228"/>
      <c r="P26" s="228"/>
      <c r="Q26" s="228"/>
      <c r="R26" s="228"/>
      <c r="S26" s="228"/>
      <c r="T26" s="228"/>
      <c r="U26" s="228"/>
      <c r="V26" s="228"/>
      <c r="W26" s="228"/>
      <c r="X26" s="228"/>
      <c r="Y26" s="228"/>
      <c r="Z26" s="228"/>
      <c r="AA26" s="228"/>
      <c r="AB26" s="228"/>
      <c r="AC26" s="228"/>
      <c r="AD26" s="228"/>
      <c r="AE26" s="229"/>
    </row>
    <row r="27" spans="1:31" ht="63.6" customHeight="1" x14ac:dyDescent="0.65">
      <c r="A27" s="230"/>
      <c r="B27" s="228"/>
      <c r="C27" s="228"/>
      <c r="D27" s="232" t="s">
        <v>730</v>
      </c>
      <c r="E27" s="232"/>
      <c r="F27" s="232"/>
      <c r="G27" s="232"/>
      <c r="H27" s="232"/>
      <c r="I27" s="232"/>
      <c r="J27" s="232"/>
      <c r="K27" s="232"/>
      <c r="L27" s="232"/>
      <c r="M27" s="232"/>
      <c r="N27" s="232"/>
      <c r="O27" s="232"/>
      <c r="P27" s="232"/>
      <c r="Q27" s="232"/>
      <c r="R27" s="232"/>
      <c r="S27" s="228"/>
      <c r="T27" s="228"/>
      <c r="U27" s="228"/>
      <c r="V27" s="228"/>
      <c r="W27" s="228"/>
      <c r="X27" s="228"/>
      <c r="Y27" s="228"/>
      <c r="Z27" s="228"/>
      <c r="AA27" s="228"/>
      <c r="AB27" s="228"/>
      <c r="AC27" s="228"/>
      <c r="AD27" s="228"/>
      <c r="AE27" s="229"/>
    </row>
    <row r="28" spans="1:31" ht="37.200000000000003" customHeight="1" x14ac:dyDescent="0.65">
      <c r="A28" s="230"/>
      <c r="B28" s="228"/>
      <c r="C28" s="228"/>
      <c r="D28" s="233" t="s">
        <v>731</v>
      </c>
      <c r="E28" s="228"/>
      <c r="F28" s="228"/>
      <c r="G28" s="228"/>
      <c r="H28" s="228"/>
      <c r="I28" s="228"/>
      <c r="J28" s="228"/>
      <c r="K28" s="228"/>
      <c r="L28" s="228"/>
      <c r="M28" s="228"/>
      <c r="N28" s="228"/>
      <c r="O28" s="228"/>
      <c r="P28" s="228"/>
      <c r="Q28" s="228"/>
      <c r="R28" s="228"/>
      <c r="S28" s="228"/>
      <c r="T28" s="228"/>
      <c r="U28" s="228"/>
      <c r="V28" s="228"/>
      <c r="W28" s="228"/>
      <c r="X28" s="228"/>
      <c r="Y28" s="228"/>
      <c r="Z28" s="228"/>
      <c r="AA28" s="228"/>
      <c r="AB28" s="228"/>
      <c r="AC28" s="228"/>
      <c r="AD28" s="228"/>
      <c r="AE28" s="229"/>
    </row>
    <row r="29" spans="1:31" ht="36.6" customHeight="1" x14ac:dyDescent="0.65">
      <c r="A29" s="230"/>
      <c r="B29" s="228"/>
      <c r="C29" s="228"/>
      <c r="D29" s="233" t="s">
        <v>732</v>
      </c>
      <c r="E29" s="228"/>
      <c r="F29" s="228"/>
      <c r="G29" s="228"/>
      <c r="H29" s="228"/>
      <c r="I29" s="228"/>
      <c r="J29" s="228"/>
      <c r="K29" s="228"/>
      <c r="L29" s="228"/>
      <c r="M29" s="228"/>
      <c r="N29" s="228"/>
      <c r="O29" s="228"/>
      <c r="P29" s="228"/>
      <c r="Q29" s="228"/>
      <c r="R29" s="228"/>
      <c r="S29" s="228"/>
      <c r="T29" s="228"/>
      <c r="U29" s="228"/>
      <c r="V29" s="228"/>
      <c r="W29" s="228"/>
      <c r="X29" s="228"/>
      <c r="Y29" s="228"/>
      <c r="Z29" s="228"/>
      <c r="AA29" s="228"/>
      <c r="AB29" s="228"/>
      <c r="AC29" s="228"/>
      <c r="AD29" s="228"/>
      <c r="AE29" s="229"/>
    </row>
    <row r="30" spans="1:31" ht="22.8" customHeight="1" x14ac:dyDescent="0.65">
      <c r="A30" s="230"/>
      <c r="B30" s="228"/>
      <c r="C30" s="228"/>
      <c r="D30" s="233"/>
      <c r="E30" s="228"/>
      <c r="F30" s="228"/>
      <c r="G30" s="228"/>
      <c r="H30" s="228"/>
      <c r="I30" s="228"/>
      <c r="J30" s="228"/>
      <c r="K30" s="228"/>
      <c r="L30" s="228"/>
      <c r="M30" s="228"/>
      <c r="N30" s="228"/>
      <c r="O30" s="228"/>
      <c r="P30" s="228"/>
      <c r="Q30" s="228"/>
      <c r="R30" s="228"/>
      <c r="S30" s="228"/>
      <c r="T30" s="228"/>
      <c r="U30" s="228"/>
      <c r="V30" s="228"/>
      <c r="W30" s="228"/>
      <c r="X30" s="228"/>
      <c r="Y30" s="228"/>
      <c r="Z30" s="228"/>
      <c r="AA30" s="228"/>
      <c r="AB30" s="228"/>
      <c r="AC30" s="228"/>
      <c r="AD30" s="228"/>
      <c r="AE30" s="229"/>
    </row>
    <row r="31" spans="1:31" ht="15.6" customHeight="1" x14ac:dyDescent="0.65">
      <c r="A31" s="230"/>
      <c r="B31" s="228"/>
      <c r="C31" s="228"/>
      <c r="D31" s="235"/>
      <c r="E31" s="235"/>
      <c r="F31" s="235"/>
      <c r="G31" s="235"/>
      <c r="H31" s="235"/>
      <c r="I31" s="235"/>
      <c r="J31" s="235"/>
      <c r="K31" s="235"/>
      <c r="L31" s="235"/>
      <c r="M31" s="235"/>
      <c r="N31" s="235"/>
      <c r="O31" s="235"/>
      <c r="P31" s="235"/>
      <c r="Q31" s="228"/>
      <c r="R31" s="228"/>
      <c r="S31" s="228"/>
      <c r="T31" s="228"/>
      <c r="U31" s="228"/>
      <c r="V31" s="228"/>
      <c r="W31" s="228"/>
      <c r="X31" s="228"/>
      <c r="Y31" s="228"/>
      <c r="Z31" s="228"/>
      <c r="AA31" s="228"/>
      <c r="AB31" s="228"/>
      <c r="AC31" s="228"/>
      <c r="AD31" s="228"/>
      <c r="AE31" s="229"/>
    </row>
    <row r="32" spans="1:31" ht="15.6" customHeight="1" thickBot="1" x14ac:dyDescent="0.7">
      <c r="A32" s="230"/>
      <c r="B32" s="228"/>
      <c r="C32" s="228"/>
      <c r="D32" s="235"/>
      <c r="E32" s="235"/>
      <c r="F32" s="235"/>
      <c r="G32" s="235"/>
      <c r="H32" s="235"/>
      <c r="I32" s="235"/>
      <c r="J32" s="235"/>
      <c r="K32" s="235"/>
      <c r="L32" s="235"/>
      <c r="M32" s="235"/>
      <c r="N32" s="235"/>
      <c r="O32" s="235"/>
      <c r="P32" s="235"/>
      <c r="Q32" s="228"/>
      <c r="R32" s="228"/>
      <c r="S32" s="228"/>
      <c r="T32" s="228"/>
      <c r="U32" s="228"/>
      <c r="V32" s="228"/>
      <c r="W32" s="228"/>
      <c r="X32" s="228"/>
      <c r="Y32" s="228"/>
      <c r="Z32" s="228"/>
      <c r="AA32" s="228"/>
      <c r="AB32" s="228"/>
      <c r="AC32" s="228"/>
      <c r="AD32" s="228"/>
      <c r="AE32" s="229"/>
    </row>
    <row r="33" spans="1:31" ht="38.4" customHeight="1" thickBot="1" x14ac:dyDescent="0.7">
      <c r="A33" s="230"/>
      <c r="B33" s="228"/>
      <c r="C33" s="228"/>
      <c r="D33" s="233" t="s">
        <v>709</v>
      </c>
      <c r="E33" s="228"/>
      <c r="F33" s="228"/>
      <c r="G33" s="228"/>
      <c r="H33" s="228"/>
      <c r="I33" s="228"/>
      <c r="J33" s="228"/>
      <c r="K33" s="228"/>
      <c r="L33" s="228"/>
      <c r="M33" s="228"/>
      <c r="N33" s="235"/>
      <c r="O33" s="235"/>
      <c r="P33" s="191" t="s">
        <v>708</v>
      </c>
      <c r="Q33" s="228"/>
      <c r="R33" s="233" t="s">
        <v>712</v>
      </c>
      <c r="S33" s="228"/>
      <c r="T33" s="228"/>
      <c r="U33" s="228"/>
      <c r="V33" s="228"/>
      <c r="W33" s="228"/>
      <c r="X33" s="228"/>
      <c r="Y33" s="228"/>
      <c r="Z33" s="228"/>
      <c r="AA33" s="228"/>
      <c r="AB33" s="228"/>
      <c r="AC33" s="228"/>
      <c r="AD33" s="228"/>
      <c r="AE33" s="229"/>
    </row>
    <row r="34" spans="1:31" ht="23.4" customHeight="1" thickBot="1" x14ac:dyDescent="0.7">
      <c r="A34" s="230"/>
      <c r="B34" s="228"/>
      <c r="C34" s="228"/>
      <c r="D34" s="228"/>
      <c r="E34" s="228"/>
      <c r="F34" s="228"/>
      <c r="G34" s="228"/>
      <c r="H34" s="228"/>
      <c r="I34" s="228"/>
      <c r="J34" s="228"/>
      <c r="K34" s="228"/>
      <c r="L34" s="228"/>
      <c r="M34" s="228"/>
      <c r="N34" s="228"/>
      <c r="O34" s="235"/>
      <c r="P34" s="228"/>
      <c r="Q34" s="228"/>
      <c r="R34" s="228"/>
      <c r="S34" s="228"/>
      <c r="T34" s="228"/>
      <c r="U34" s="228"/>
      <c r="V34" s="228"/>
      <c r="W34" s="228"/>
      <c r="X34" s="228"/>
      <c r="Y34" s="228"/>
      <c r="Z34" s="228"/>
      <c r="AA34" s="228"/>
      <c r="AB34" s="228"/>
      <c r="AC34" s="228"/>
      <c r="AD34" s="228"/>
      <c r="AE34" s="229"/>
    </row>
    <row r="35" spans="1:31" ht="39.6" customHeight="1" thickBot="1" x14ac:dyDescent="0.7">
      <c r="A35" s="230"/>
      <c r="B35" s="228"/>
      <c r="C35" s="228"/>
      <c r="D35" s="233" t="s">
        <v>710</v>
      </c>
      <c r="E35" s="228"/>
      <c r="F35" s="228"/>
      <c r="G35" s="228"/>
      <c r="H35" s="228"/>
      <c r="I35" s="228"/>
      <c r="J35" s="228"/>
      <c r="K35" s="228"/>
      <c r="L35" s="228"/>
      <c r="M35" s="228"/>
      <c r="N35" s="228"/>
      <c r="O35" s="235"/>
      <c r="P35" s="192" t="s">
        <v>711</v>
      </c>
      <c r="Q35" s="228"/>
      <c r="R35" s="228"/>
      <c r="S35" s="228"/>
      <c r="T35" s="228"/>
      <c r="U35" s="228"/>
      <c r="V35" s="228"/>
      <c r="W35" s="228"/>
      <c r="X35" s="228"/>
      <c r="Y35" s="228"/>
      <c r="Z35" s="228"/>
      <c r="AA35" s="228"/>
      <c r="AB35" s="228"/>
      <c r="AC35" s="228"/>
      <c r="AD35" s="228"/>
      <c r="AE35" s="229"/>
    </row>
    <row r="36" spans="1:31" ht="15.6" customHeight="1" x14ac:dyDescent="0.65">
      <c r="A36" s="230"/>
      <c r="B36" s="228"/>
      <c r="C36" s="228"/>
      <c r="D36" s="233"/>
      <c r="E36" s="228"/>
      <c r="F36" s="228"/>
      <c r="G36" s="228"/>
      <c r="H36" s="228"/>
      <c r="I36" s="228"/>
      <c r="J36" s="228"/>
      <c r="K36" s="228"/>
      <c r="L36" s="228"/>
      <c r="M36" s="228"/>
      <c r="N36" s="228"/>
      <c r="O36" s="235"/>
      <c r="P36" s="228"/>
      <c r="Q36" s="228"/>
      <c r="R36" s="228"/>
      <c r="S36" s="228"/>
      <c r="T36" s="228"/>
      <c r="U36" s="228"/>
      <c r="V36" s="228"/>
      <c r="W36" s="228"/>
      <c r="X36" s="228"/>
      <c r="Y36" s="228"/>
      <c r="Z36" s="228"/>
      <c r="AA36" s="228"/>
      <c r="AB36" s="228"/>
      <c r="AC36" s="228"/>
      <c r="AD36" s="228"/>
      <c r="AE36" s="229"/>
    </row>
    <row r="37" spans="1:31" ht="15.6" customHeight="1" x14ac:dyDescent="0.65">
      <c r="A37" s="230"/>
      <c r="B37" s="228"/>
      <c r="C37" s="228"/>
      <c r="D37" s="233"/>
      <c r="E37" s="228"/>
      <c r="F37" s="228"/>
      <c r="G37" s="228"/>
      <c r="H37" s="228"/>
      <c r="I37" s="228"/>
      <c r="J37" s="228"/>
      <c r="K37" s="228"/>
      <c r="L37" s="228"/>
      <c r="M37" s="228"/>
      <c r="N37" s="228"/>
      <c r="O37" s="235"/>
      <c r="P37" s="228"/>
      <c r="Q37" s="228"/>
      <c r="R37" s="228"/>
      <c r="S37" s="228"/>
      <c r="T37" s="228"/>
      <c r="U37" s="228"/>
      <c r="V37" s="228"/>
      <c r="W37" s="228"/>
      <c r="X37" s="228"/>
      <c r="Y37" s="228"/>
      <c r="Z37" s="228"/>
      <c r="AA37" s="228"/>
      <c r="AB37" s="228"/>
      <c r="AC37" s="228"/>
      <c r="AD37" s="228"/>
      <c r="AE37" s="229"/>
    </row>
    <row r="38" spans="1:31" ht="15.6" customHeight="1" x14ac:dyDescent="0.65">
      <c r="A38" s="230"/>
      <c r="B38" s="228"/>
      <c r="C38" s="228"/>
      <c r="D38" s="233"/>
      <c r="E38" s="228"/>
      <c r="F38" s="228"/>
      <c r="G38" s="228"/>
      <c r="H38" s="228"/>
      <c r="I38" s="228"/>
      <c r="J38" s="228"/>
      <c r="K38" s="228"/>
      <c r="L38" s="228"/>
      <c r="M38" s="228"/>
      <c r="N38" s="228"/>
      <c r="O38" s="235"/>
      <c r="P38" s="228"/>
      <c r="Q38" s="228"/>
      <c r="R38" s="228"/>
      <c r="S38" s="228"/>
      <c r="T38" s="228"/>
      <c r="U38" s="228"/>
      <c r="V38" s="228"/>
      <c r="W38" s="228"/>
      <c r="X38" s="228"/>
      <c r="Y38" s="228"/>
      <c r="Z38" s="228"/>
      <c r="AA38" s="228"/>
      <c r="AB38" s="228"/>
      <c r="AC38" s="228"/>
      <c r="AD38" s="228"/>
      <c r="AE38" s="229"/>
    </row>
    <row r="39" spans="1:31" ht="35.4" customHeight="1" x14ac:dyDescent="0.65">
      <c r="A39" s="230"/>
      <c r="B39" s="228"/>
      <c r="C39" s="233" t="s">
        <v>736</v>
      </c>
      <c r="D39" s="228"/>
      <c r="E39" s="228"/>
      <c r="F39" s="228"/>
      <c r="G39" s="228"/>
      <c r="H39" s="228"/>
      <c r="I39" s="228"/>
      <c r="J39" s="228"/>
      <c r="K39" s="228"/>
      <c r="L39" s="228"/>
      <c r="M39" s="228"/>
      <c r="N39" s="228"/>
      <c r="O39" s="228"/>
      <c r="P39" s="228"/>
      <c r="Q39" s="235"/>
      <c r="R39" s="235"/>
      <c r="S39" s="235"/>
      <c r="T39" s="235"/>
      <c r="U39" s="235"/>
      <c r="V39" s="235"/>
      <c r="W39" s="235"/>
      <c r="X39" s="235"/>
      <c r="Y39" s="235"/>
      <c r="Z39" s="235"/>
      <c r="AA39" s="228"/>
      <c r="AB39" s="228"/>
      <c r="AC39" s="228"/>
      <c r="AD39" s="228"/>
      <c r="AE39" s="229"/>
    </row>
    <row r="40" spans="1:31" ht="19.2" customHeight="1" x14ac:dyDescent="0.65">
      <c r="A40" s="230"/>
      <c r="B40" s="228"/>
      <c r="C40" s="228"/>
      <c r="D40" s="228"/>
      <c r="E40" s="228"/>
      <c r="F40" s="228"/>
      <c r="G40" s="228"/>
      <c r="H40" s="228"/>
      <c r="I40" s="228"/>
      <c r="J40" s="228"/>
      <c r="K40" s="228"/>
      <c r="L40" s="228"/>
      <c r="M40" s="228"/>
      <c r="N40" s="228"/>
      <c r="O40" s="228"/>
      <c r="P40" s="228"/>
      <c r="Q40" s="228"/>
      <c r="R40" s="228"/>
      <c r="S40" s="228"/>
      <c r="T40" s="228"/>
      <c r="U40" s="228"/>
      <c r="V40" s="228"/>
      <c r="W40" s="228"/>
      <c r="X40" s="228"/>
      <c r="Y40" s="228"/>
      <c r="Z40" s="228"/>
      <c r="AA40" s="228"/>
      <c r="AB40" s="228"/>
      <c r="AC40" s="228"/>
      <c r="AD40" s="228"/>
      <c r="AE40" s="229"/>
    </row>
    <row r="41" spans="1:31" ht="21.6" customHeight="1" x14ac:dyDescent="0.65">
      <c r="A41" s="230"/>
      <c r="B41" s="228"/>
      <c r="C41" s="228"/>
      <c r="D41" s="235"/>
      <c r="E41" s="235"/>
      <c r="F41" s="235"/>
      <c r="G41" s="235"/>
      <c r="H41" s="235"/>
      <c r="I41" s="235"/>
      <c r="J41" s="235"/>
      <c r="K41" s="235"/>
      <c r="L41" s="235"/>
      <c r="M41" s="235"/>
      <c r="N41" s="235"/>
      <c r="O41" s="235"/>
      <c r="P41" s="235"/>
      <c r="Q41" s="235"/>
      <c r="R41" s="235"/>
      <c r="S41" s="228"/>
      <c r="T41" s="228"/>
      <c r="U41" s="228"/>
      <c r="V41" s="228"/>
      <c r="W41" s="228"/>
      <c r="X41" s="228"/>
      <c r="Y41" s="228"/>
      <c r="Z41" s="228"/>
      <c r="AA41" s="228"/>
      <c r="AB41" s="228"/>
      <c r="AC41" s="228"/>
      <c r="AD41" s="228"/>
      <c r="AE41" s="229"/>
    </row>
    <row r="42" spans="1:31" ht="15.6" customHeight="1" thickBot="1" x14ac:dyDescent="0.7">
      <c r="A42" s="230"/>
      <c r="B42" s="228"/>
      <c r="C42" s="228"/>
      <c r="D42" s="235"/>
      <c r="E42" s="235"/>
      <c r="F42" s="235"/>
      <c r="G42" s="235"/>
      <c r="H42" s="235"/>
      <c r="I42" s="235"/>
      <c r="J42" s="235"/>
      <c r="K42" s="235"/>
      <c r="L42" s="235"/>
      <c r="M42" s="235"/>
      <c r="N42" s="235"/>
      <c r="O42" s="235"/>
      <c r="P42" s="235"/>
      <c r="Q42" s="235"/>
      <c r="R42" s="235"/>
      <c r="S42" s="228"/>
      <c r="T42" s="228"/>
      <c r="U42" s="228"/>
      <c r="V42" s="228"/>
      <c r="W42" s="228"/>
      <c r="X42" s="228"/>
      <c r="Y42" s="228"/>
      <c r="Z42" s="228"/>
      <c r="AA42" s="228"/>
      <c r="AB42" s="228"/>
      <c r="AC42" s="228"/>
      <c r="AD42" s="228"/>
      <c r="AE42" s="229"/>
    </row>
    <row r="43" spans="1:31" ht="38.4" customHeight="1" thickBot="1" x14ac:dyDescent="0.7">
      <c r="A43" s="230"/>
      <c r="B43" s="228"/>
      <c r="C43" s="228"/>
      <c r="D43" s="233" t="s">
        <v>709</v>
      </c>
      <c r="E43" s="228"/>
      <c r="F43" s="228"/>
      <c r="G43" s="228"/>
      <c r="H43" s="191" t="s">
        <v>708</v>
      </c>
      <c r="I43" s="228"/>
      <c r="J43" s="233" t="s">
        <v>714</v>
      </c>
      <c r="K43" s="235"/>
      <c r="L43" s="235"/>
      <c r="M43" s="235"/>
      <c r="N43" s="228"/>
      <c r="O43" s="228"/>
      <c r="P43" s="235"/>
      <c r="Q43" s="235"/>
      <c r="R43" s="235"/>
      <c r="S43" s="228"/>
      <c r="T43" s="228"/>
      <c r="U43" s="228"/>
      <c r="V43" s="228"/>
      <c r="W43" s="228"/>
      <c r="X43" s="228"/>
      <c r="Y43" s="228"/>
      <c r="Z43" s="228"/>
      <c r="AA43" s="228"/>
      <c r="AB43" s="228"/>
      <c r="AC43" s="228"/>
      <c r="AD43" s="228"/>
      <c r="AE43" s="229"/>
    </row>
    <row r="44" spans="1:31" ht="15.6" customHeight="1" thickBot="1" x14ac:dyDescent="0.7">
      <c r="A44" s="230"/>
      <c r="B44" s="228"/>
      <c r="C44" s="228"/>
      <c r="D44" s="228"/>
      <c r="E44" s="228"/>
      <c r="F44" s="228"/>
      <c r="G44" s="228"/>
      <c r="H44" s="228"/>
      <c r="I44" s="228"/>
      <c r="J44" s="235"/>
      <c r="K44" s="235"/>
      <c r="L44" s="235"/>
      <c r="M44" s="235"/>
      <c r="N44" s="228"/>
      <c r="O44" s="228"/>
      <c r="P44" s="235"/>
      <c r="Q44" s="235"/>
      <c r="R44" s="235"/>
      <c r="S44" s="228"/>
      <c r="T44" s="228"/>
      <c r="U44" s="228"/>
      <c r="V44" s="228"/>
      <c r="W44" s="228"/>
      <c r="X44" s="228"/>
      <c r="Y44" s="228"/>
      <c r="Z44" s="228"/>
      <c r="AA44" s="228"/>
      <c r="AB44" s="228"/>
      <c r="AC44" s="228"/>
      <c r="AD44" s="228"/>
      <c r="AE44" s="229"/>
    </row>
    <row r="45" spans="1:31" ht="36.6" customHeight="1" thickBot="1" x14ac:dyDescent="0.7">
      <c r="A45" s="230"/>
      <c r="B45" s="228"/>
      <c r="C45" s="228"/>
      <c r="D45" s="233" t="s">
        <v>710</v>
      </c>
      <c r="E45" s="228"/>
      <c r="F45" s="228"/>
      <c r="G45" s="228"/>
      <c r="H45" s="205" t="s">
        <v>711</v>
      </c>
      <c r="I45" s="228"/>
      <c r="J45" s="235"/>
      <c r="K45" s="235"/>
      <c r="L45" s="235"/>
      <c r="M45" s="235"/>
      <c r="N45" s="235"/>
      <c r="O45" s="235"/>
      <c r="P45" s="235"/>
      <c r="Q45" s="235"/>
      <c r="R45" s="235"/>
      <c r="S45" s="228"/>
      <c r="T45" s="228"/>
      <c r="U45" s="228"/>
      <c r="V45" s="228"/>
      <c r="W45" s="228"/>
      <c r="X45" s="228"/>
      <c r="Y45" s="228"/>
      <c r="Z45" s="228"/>
      <c r="AA45" s="228"/>
      <c r="AB45" s="228"/>
      <c r="AC45" s="228"/>
      <c r="AD45" s="228"/>
      <c r="AE45" s="229"/>
    </row>
    <row r="46" spans="1:31" ht="15.6" customHeight="1" x14ac:dyDescent="0.65">
      <c r="A46" s="230"/>
      <c r="B46" s="228"/>
      <c r="C46" s="228"/>
      <c r="D46" s="233"/>
      <c r="E46" s="228"/>
      <c r="F46" s="228"/>
      <c r="G46" s="228"/>
      <c r="H46" s="228"/>
      <c r="I46" s="228"/>
      <c r="J46" s="228"/>
      <c r="K46" s="228"/>
      <c r="L46" s="235"/>
      <c r="M46" s="235"/>
      <c r="N46" s="235"/>
      <c r="O46" s="235"/>
      <c r="P46" s="228"/>
      <c r="Q46" s="228"/>
      <c r="R46" s="228"/>
      <c r="S46" s="228"/>
      <c r="T46" s="228"/>
      <c r="U46" s="228"/>
      <c r="V46" s="228"/>
      <c r="W46" s="228"/>
      <c r="X46" s="228"/>
      <c r="Y46" s="228"/>
      <c r="Z46" s="228"/>
      <c r="AA46" s="228"/>
      <c r="AB46" s="228"/>
      <c r="AC46" s="228"/>
      <c r="AD46" s="228"/>
      <c r="AE46" s="229"/>
    </row>
    <row r="47" spans="1:31" ht="15.6" customHeight="1" x14ac:dyDescent="0.65">
      <c r="A47" s="230"/>
      <c r="B47" s="228"/>
      <c r="C47" s="228"/>
      <c r="D47" s="228"/>
      <c r="E47" s="228"/>
      <c r="F47" s="228"/>
      <c r="G47" s="228"/>
      <c r="H47" s="228"/>
      <c r="I47" s="228"/>
      <c r="J47" s="228"/>
      <c r="K47" s="228"/>
      <c r="L47" s="235"/>
      <c r="M47" s="235"/>
      <c r="N47" s="235"/>
      <c r="O47" s="235"/>
      <c r="P47" s="228"/>
      <c r="Q47" s="228"/>
      <c r="R47" s="228"/>
      <c r="S47" s="228"/>
      <c r="T47" s="228"/>
      <c r="U47" s="228"/>
      <c r="V47" s="228"/>
      <c r="W47" s="228"/>
      <c r="X47" s="228"/>
      <c r="Y47" s="228"/>
      <c r="Z47" s="228"/>
      <c r="AA47" s="228"/>
      <c r="AB47" s="228"/>
      <c r="AC47" s="228"/>
      <c r="AD47" s="228"/>
      <c r="AE47" s="229"/>
    </row>
    <row r="48" spans="1:31" ht="15.6" customHeight="1" x14ac:dyDescent="0.65">
      <c r="A48" s="230"/>
      <c r="B48" s="228"/>
      <c r="C48" s="228"/>
      <c r="D48" s="228"/>
      <c r="E48" s="228"/>
      <c r="F48" s="228"/>
      <c r="G48" s="228"/>
      <c r="H48" s="228"/>
      <c r="I48" s="228"/>
      <c r="J48" s="228"/>
      <c r="K48" s="235"/>
      <c r="L48" s="228"/>
      <c r="M48" s="228"/>
      <c r="N48" s="228"/>
      <c r="O48" s="228"/>
      <c r="P48" s="228"/>
      <c r="Q48" s="228"/>
      <c r="R48" s="228"/>
      <c r="S48" s="228"/>
      <c r="T48" s="228"/>
      <c r="U48" s="228"/>
      <c r="V48" s="228"/>
      <c r="W48" s="228"/>
      <c r="X48" s="228"/>
      <c r="Y48" s="228"/>
      <c r="Z48" s="228"/>
      <c r="AA48" s="228"/>
      <c r="AB48" s="228"/>
      <c r="AC48" s="228"/>
      <c r="AD48" s="228"/>
      <c r="AE48" s="229"/>
    </row>
    <row r="49" spans="1:31" ht="15.6" customHeight="1" x14ac:dyDescent="0.65">
      <c r="A49" s="230"/>
      <c r="B49" s="228"/>
      <c r="C49" s="228"/>
      <c r="D49" s="228"/>
      <c r="E49" s="228"/>
      <c r="F49" s="228"/>
      <c r="G49" s="228"/>
      <c r="H49" s="228"/>
      <c r="I49" s="228"/>
      <c r="J49" s="228"/>
      <c r="K49" s="235"/>
      <c r="L49" s="228"/>
      <c r="M49" s="228"/>
      <c r="N49" s="228"/>
      <c r="O49" s="228"/>
      <c r="P49" s="228"/>
      <c r="Q49" s="228"/>
      <c r="R49" s="228"/>
      <c r="S49" s="228"/>
      <c r="T49" s="228"/>
      <c r="U49" s="228"/>
      <c r="V49" s="228"/>
      <c r="W49" s="228"/>
      <c r="X49" s="228"/>
      <c r="Y49" s="228"/>
      <c r="Z49" s="228"/>
      <c r="AA49" s="228"/>
      <c r="AB49" s="228"/>
      <c r="AC49" s="228"/>
      <c r="AD49" s="228"/>
      <c r="AE49" s="229"/>
    </row>
    <row r="50" spans="1:31" x14ac:dyDescent="0.65">
      <c r="A50" s="227"/>
      <c r="B50" s="235"/>
      <c r="C50" s="233" t="s">
        <v>726</v>
      </c>
      <c r="D50" s="228"/>
      <c r="E50" s="228"/>
      <c r="F50" s="228"/>
      <c r="G50" s="228"/>
      <c r="H50" s="228"/>
      <c r="I50" s="228"/>
      <c r="J50" s="228"/>
      <c r="K50" s="235"/>
      <c r="L50" s="228"/>
      <c r="M50" s="228"/>
      <c r="N50" s="228"/>
      <c r="O50" s="228"/>
      <c r="P50" s="228"/>
      <c r="Q50" s="235"/>
      <c r="R50" s="235"/>
      <c r="S50" s="235"/>
      <c r="T50" s="235"/>
      <c r="U50" s="235"/>
      <c r="V50" s="235"/>
      <c r="W50" s="235"/>
      <c r="X50" s="235"/>
      <c r="Y50" s="235"/>
      <c r="Z50" s="235"/>
      <c r="AA50" s="228"/>
      <c r="AB50" s="228"/>
      <c r="AC50" s="228"/>
      <c r="AD50" s="228"/>
      <c r="AE50" s="229"/>
    </row>
    <row r="51" spans="1:31" x14ac:dyDescent="0.65">
      <c r="A51" s="227"/>
      <c r="B51" s="235"/>
      <c r="C51" s="228"/>
      <c r="D51" s="228"/>
      <c r="E51" s="228"/>
      <c r="F51" s="228"/>
      <c r="G51" s="228"/>
      <c r="H51" s="228"/>
      <c r="I51" s="228"/>
      <c r="J51" s="228"/>
      <c r="K51" s="235"/>
      <c r="L51" s="228"/>
      <c r="M51" s="228"/>
      <c r="N51" s="228"/>
      <c r="O51" s="228"/>
      <c r="P51" s="228"/>
      <c r="Q51" s="228"/>
      <c r="R51" s="228"/>
      <c r="S51" s="228"/>
      <c r="T51" s="228"/>
      <c r="U51" s="228"/>
      <c r="V51" s="228"/>
      <c r="W51" s="228"/>
      <c r="X51" s="228"/>
      <c r="Y51" s="228"/>
      <c r="Z51" s="228"/>
      <c r="AA51" s="228"/>
      <c r="AB51" s="228"/>
      <c r="AC51" s="228"/>
      <c r="AD51" s="228"/>
      <c r="AE51" s="229"/>
    </row>
    <row r="52" spans="1:31" x14ac:dyDescent="0.65">
      <c r="A52" s="227"/>
      <c r="B52" s="235"/>
      <c r="C52" s="228"/>
      <c r="D52" s="235"/>
      <c r="E52" s="235"/>
      <c r="F52" s="235"/>
      <c r="G52" s="235"/>
      <c r="H52" s="235"/>
      <c r="I52" s="235"/>
      <c r="J52" s="235"/>
      <c r="K52" s="235"/>
      <c r="L52" s="235"/>
      <c r="M52" s="235"/>
      <c r="N52" s="235"/>
      <c r="O52" s="235"/>
      <c r="P52" s="235"/>
      <c r="Q52" s="228"/>
      <c r="R52" s="228"/>
      <c r="S52" s="228"/>
      <c r="T52" s="228"/>
      <c r="U52" s="228"/>
      <c r="V52" s="228"/>
      <c r="W52" s="228"/>
      <c r="X52" s="228"/>
      <c r="Y52" s="228"/>
      <c r="Z52" s="228"/>
      <c r="AA52" s="228"/>
      <c r="AB52" s="228"/>
      <c r="AC52" s="228"/>
      <c r="AD52" s="228"/>
      <c r="AE52" s="229"/>
    </row>
    <row r="53" spans="1:31" ht="30" thickBot="1" x14ac:dyDescent="0.7">
      <c r="A53" s="227"/>
      <c r="B53" s="235"/>
      <c r="C53" s="228"/>
      <c r="D53" s="235"/>
      <c r="E53" s="235"/>
      <c r="F53" s="235"/>
      <c r="G53" s="235"/>
      <c r="H53" s="235"/>
      <c r="I53" s="235"/>
      <c r="J53" s="233" t="s">
        <v>714</v>
      </c>
      <c r="K53" s="235"/>
      <c r="L53" s="235"/>
      <c r="M53" s="228"/>
      <c r="N53" s="228"/>
      <c r="O53" s="235"/>
      <c r="P53" s="235"/>
      <c r="Q53" s="235"/>
      <c r="R53" s="235"/>
      <c r="S53" s="228"/>
      <c r="T53" s="228"/>
      <c r="U53" s="228"/>
      <c r="V53" s="228"/>
      <c r="W53" s="228"/>
      <c r="X53" s="228"/>
      <c r="Y53" s="228"/>
      <c r="Z53" s="228"/>
      <c r="AA53" s="228"/>
      <c r="AB53" s="228"/>
      <c r="AC53" s="228"/>
      <c r="AD53" s="228"/>
      <c r="AE53" s="229"/>
    </row>
    <row r="54" spans="1:31" ht="30" thickBot="1" x14ac:dyDescent="0.7">
      <c r="A54" s="227"/>
      <c r="B54" s="235"/>
      <c r="C54" s="228"/>
      <c r="D54" s="233" t="s">
        <v>709</v>
      </c>
      <c r="E54" s="228"/>
      <c r="F54" s="228"/>
      <c r="G54" s="228"/>
      <c r="H54" s="191" t="s">
        <v>708</v>
      </c>
      <c r="I54" s="228"/>
      <c r="J54" s="235"/>
      <c r="K54" s="235"/>
      <c r="L54" s="235"/>
      <c r="M54" s="235"/>
      <c r="N54" s="235"/>
      <c r="O54" s="235"/>
      <c r="P54" s="235"/>
      <c r="Q54" s="235"/>
      <c r="R54" s="235"/>
      <c r="S54" s="228"/>
      <c r="T54" s="228"/>
      <c r="U54" s="228"/>
      <c r="V54" s="228"/>
      <c r="W54" s="228"/>
      <c r="X54" s="228"/>
      <c r="Y54" s="228"/>
      <c r="Z54" s="228"/>
      <c r="AA54" s="228"/>
      <c r="AB54" s="228"/>
      <c r="AC54" s="228"/>
      <c r="AD54" s="228"/>
      <c r="AE54" s="229"/>
    </row>
    <row r="55" spans="1:31" ht="30" thickBot="1" x14ac:dyDescent="0.7">
      <c r="A55" s="227"/>
      <c r="B55" s="235"/>
      <c r="C55" s="228"/>
      <c r="D55" s="228"/>
      <c r="E55" s="228"/>
      <c r="F55" s="228"/>
      <c r="G55" s="228"/>
      <c r="H55" s="228"/>
      <c r="I55" s="228"/>
      <c r="J55" s="228"/>
      <c r="K55" s="235"/>
      <c r="L55" s="235"/>
      <c r="M55" s="235"/>
      <c r="N55" s="235"/>
      <c r="O55" s="235"/>
      <c r="P55" s="235"/>
      <c r="Q55" s="235"/>
      <c r="R55" s="235"/>
      <c r="S55" s="228"/>
      <c r="T55" s="228"/>
      <c r="U55" s="228"/>
      <c r="V55" s="228"/>
      <c r="W55" s="228"/>
      <c r="X55" s="228"/>
      <c r="Y55" s="228"/>
      <c r="Z55" s="228"/>
      <c r="AA55" s="228"/>
      <c r="AB55" s="228"/>
      <c r="AC55" s="228"/>
      <c r="AD55" s="228"/>
      <c r="AE55" s="229"/>
    </row>
    <row r="56" spans="1:31" ht="30" thickBot="1" x14ac:dyDescent="0.7">
      <c r="A56" s="227"/>
      <c r="B56" s="235"/>
      <c r="C56" s="228"/>
      <c r="D56" s="233" t="s">
        <v>710</v>
      </c>
      <c r="E56" s="228"/>
      <c r="F56" s="228"/>
      <c r="G56" s="228"/>
      <c r="H56" s="205" t="s">
        <v>711</v>
      </c>
      <c r="I56" s="228"/>
      <c r="J56" s="228"/>
      <c r="K56" s="235"/>
      <c r="L56" s="235"/>
      <c r="M56" s="235"/>
      <c r="N56" s="235"/>
      <c r="O56" s="235"/>
      <c r="P56" s="235"/>
      <c r="Q56" s="235"/>
      <c r="R56" s="235"/>
      <c r="S56" s="228"/>
      <c r="T56" s="228"/>
      <c r="U56" s="228"/>
      <c r="V56" s="228"/>
      <c r="W56" s="228"/>
      <c r="X56" s="228"/>
      <c r="Y56" s="228"/>
      <c r="Z56" s="228"/>
      <c r="AA56" s="228"/>
      <c r="AB56" s="228"/>
      <c r="AC56" s="228"/>
      <c r="AD56" s="228"/>
      <c r="AE56" s="229"/>
    </row>
    <row r="57" spans="1:31" x14ac:dyDescent="0.65">
      <c r="A57" s="227"/>
      <c r="B57" s="235"/>
      <c r="C57" s="228"/>
      <c r="D57" s="233"/>
      <c r="E57" s="228"/>
      <c r="F57" s="228"/>
      <c r="G57" s="228"/>
      <c r="H57" s="228"/>
      <c r="I57" s="228"/>
      <c r="J57" s="228"/>
      <c r="K57" s="235"/>
      <c r="L57" s="228"/>
      <c r="M57" s="228"/>
      <c r="N57" s="228"/>
      <c r="O57" s="235"/>
      <c r="P57" s="235"/>
      <c r="Q57" s="235"/>
      <c r="R57" s="235"/>
      <c r="S57" s="228"/>
      <c r="T57" s="228"/>
      <c r="U57" s="228"/>
      <c r="V57" s="228"/>
      <c r="W57" s="228"/>
      <c r="X57" s="228"/>
      <c r="Y57" s="228"/>
      <c r="Z57" s="228"/>
      <c r="AA57" s="228"/>
      <c r="AB57" s="228"/>
      <c r="AC57" s="228"/>
      <c r="AD57" s="228"/>
      <c r="AE57" s="229"/>
    </row>
    <row r="58" spans="1:31" x14ac:dyDescent="0.65">
      <c r="A58" s="227"/>
      <c r="B58" s="235"/>
      <c r="C58" s="228"/>
      <c r="D58" s="228"/>
      <c r="E58" s="228"/>
      <c r="F58" s="228"/>
      <c r="G58" s="228"/>
      <c r="H58" s="228"/>
      <c r="I58" s="228"/>
      <c r="J58" s="228"/>
      <c r="K58" s="235"/>
      <c r="L58" s="228"/>
      <c r="M58" s="228"/>
      <c r="N58" s="228"/>
      <c r="O58" s="228"/>
      <c r="P58" s="228"/>
      <c r="Q58" s="228"/>
      <c r="R58" s="228"/>
      <c r="S58" s="228"/>
      <c r="T58" s="228"/>
      <c r="U58" s="228"/>
      <c r="V58" s="228"/>
      <c r="W58" s="228"/>
      <c r="X58" s="228"/>
      <c r="Y58" s="228"/>
      <c r="Z58" s="228"/>
      <c r="AA58" s="228"/>
      <c r="AB58" s="228"/>
      <c r="AC58" s="228"/>
      <c r="AD58" s="228"/>
      <c r="AE58" s="229"/>
    </row>
    <row r="59" spans="1:31" x14ac:dyDescent="0.65">
      <c r="A59" s="227"/>
      <c r="B59" s="235"/>
      <c r="C59" s="233" t="s">
        <v>727</v>
      </c>
      <c r="D59" s="228"/>
      <c r="E59" s="228"/>
      <c r="F59" s="228"/>
      <c r="G59" s="228"/>
      <c r="H59" s="228"/>
      <c r="I59" s="228"/>
      <c r="J59" s="228"/>
      <c r="K59" s="235"/>
      <c r="L59" s="228"/>
      <c r="M59" s="228"/>
      <c r="N59" s="228"/>
      <c r="O59" s="228"/>
      <c r="P59" s="228"/>
      <c r="Q59" s="235"/>
      <c r="R59" s="235"/>
      <c r="S59" s="235"/>
      <c r="T59" s="235"/>
      <c r="U59" s="235"/>
      <c r="V59" s="235"/>
      <c r="W59" s="235"/>
      <c r="X59" s="235"/>
      <c r="Y59" s="235"/>
      <c r="Z59" s="235"/>
      <c r="AA59" s="228"/>
      <c r="AB59" s="228"/>
      <c r="AC59" s="228"/>
      <c r="AD59" s="228"/>
      <c r="AE59" s="229"/>
    </row>
    <row r="60" spans="1:31" ht="30" thickBot="1" x14ac:dyDescent="0.7">
      <c r="A60" s="227"/>
      <c r="B60" s="235"/>
      <c r="C60" s="228"/>
      <c r="D60" s="228"/>
      <c r="E60" s="228"/>
      <c r="F60" s="228"/>
      <c r="G60" s="228"/>
      <c r="H60" s="228"/>
      <c r="I60" s="228"/>
      <c r="J60" s="228"/>
      <c r="K60" s="235"/>
      <c r="L60" s="228"/>
      <c r="M60" s="228"/>
      <c r="N60" s="228"/>
      <c r="O60" s="228"/>
      <c r="P60" s="228"/>
      <c r="Q60" s="228"/>
      <c r="R60" s="228"/>
      <c r="S60" s="228"/>
      <c r="T60" s="228"/>
      <c r="U60" s="228"/>
      <c r="V60" s="228"/>
      <c r="W60" s="228"/>
      <c r="X60" s="228"/>
      <c r="Y60" s="228"/>
      <c r="Z60" s="228"/>
      <c r="AA60" s="228"/>
      <c r="AB60" s="228"/>
      <c r="AC60" s="228"/>
      <c r="AD60" s="228"/>
      <c r="AE60" s="229"/>
    </row>
    <row r="61" spans="1:31" ht="30" thickBot="1" x14ac:dyDescent="0.7">
      <c r="A61" s="227"/>
      <c r="B61" s="235"/>
      <c r="C61" s="228"/>
      <c r="D61" s="233" t="s">
        <v>709</v>
      </c>
      <c r="E61" s="235"/>
      <c r="F61" s="228"/>
      <c r="G61" s="228"/>
      <c r="H61" s="191" t="s">
        <v>708</v>
      </c>
      <c r="I61" s="228"/>
      <c r="J61" s="235"/>
      <c r="K61" s="235"/>
      <c r="L61" s="235"/>
      <c r="M61" s="235"/>
      <c r="N61" s="233"/>
      <c r="O61" s="235" t="s">
        <v>780</v>
      </c>
      <c r="P61" s="235"/>
      <c r="Q61" s="228"/>
      <c r="R61" s="228"/>
      <c r="S61" s="228"/>
      <c r="T61" s="228"/>
      <c r="U61" s="228"/>
      <c r="V61" s="228"/>
      <c r="W61" s="228"/>
      <c r="X61" s="228"/>
      <c r="Y61" s="228"/>
      <c r="Z61" s="228"/>
      <c r="AA61" s="228"/>
      <c r="AB61" s="228"/>
      <c r="AC61" s="228"/>
      <c r="AD61" s="228"/>
      <c r="AE61" s="229"/>
    </row>
    <row r="62" spans="1:31" ht="30" thickBot="1" x14ac:dyDescent="0.7">
      <c r="A62" s="227"/>
      <c r="B62" s="235"/>
      <c r="C62" s="228"/>
      <c r="D62" s="228"/>
      <c r="E62" s="235"/>
      <c r="F62" s="228"/>
      <c r="G62" s="228"/>
      <c r="H62" s="235"/>
      <c r="I62" s="228"/>
      <c r="J62" s="228"/>
      <c r="K62" s="235"/>
      <c r="L62" s="235"/>
      <c r="M62" s="235"/>
      <c r="N62" s="235"/>
      <c r="O62" s="235"/>
      <c r="P62" s="235"/>
      <c r="Q62" s="228"/>
      <c r="R62" s="228"/>
      <c r="S62" s="228"/>
      <c r="T62" s="228"/>
      <c r="U62" s="228"/>
      <c r="V62" s="228"/>
      <c r="W62" s="228"/>
      <c r="X62" s="228"/>
      <c r="Y62" s="228"/>
      <c r="Z62" s="228"/>
      <c r="AA62" s="228"/>
      <c r="AB62" s="228"/>
      <c r="AC62" s="228"/>
      <c r="AD62" s="228"/>
      <c r="AE62" s="229"/>
    </row>
    <row r="63" spans="1:31" ht="30" thickBot="1" x14ac:dyDescent="0.7">
      <c r="A63" s="227"/>
      <c r="B63" s="235"/>
      <c r="C63" s="228"/>
      <c r="D63" s="233" t="s">
        <v>710</v>
      </c>
      <c r="E63" s="235"/>
      <c r="F63" s="228"/>
      <c r="G63" s="228"/>
      <c r="H63" s="205" t="s">
        <v>711</v>
      </c>
      <c r="I63" s="228"/>
      <c r="J63" s="235"/>
      <c r="K63" s="235"/>
      <c r="L63" s="235"/>
      <c r="M63" s="235"/>
      <c r="N63" s="235"/>
      <c r="O63" s="235"/>
      <c r="P63" s="235"/>
      <c r="Q63" s="235"/>
      <c r="R63" s="235"/>
      <c r="S63" s="228"/>
      <c r="T63" s="228"/>
      <c r="U63" s="228"/>
      <c r="V63" s="228"/>
      <c r="W63" s="228"/>
      <c r="X63" s="228"/>
      <c r="Y63" s="228"/>
      <c r="Z63" s="228"/>
      <c r="AA63" s="228"/>
      <c r="AB63" s="228"/>
      <c r="AC63" s="228"/>
      <c r="AD63" s="228"/>
      <c r="AE63" s="229"/>
    </row>
    <row r="64" spans="1:31" x14ac:dyDescent="0.65">
      <c r="A64" s="227"/>
      <c r="B64" s="235"/>
      <c r="C64" s="228"/>
      <c r="D64" s="235"/>
      <c r="E64" s="235"/>
      <c r="F64" s="235"/>
      <c r="G64" s="235"/>
      <c r="H64" s="235"/>
      <c r="I64" s="235"/>
      <c r="J64" s="235"/>
      <c r="K64" s="235"/>
      <c r="L64" s="235"/>
      <c r="M64" s="235"/>
      <c r="N64" s="235"/>
      <c r="O64" s="235"/>
      <c r="P64" s="235"/>
      <c r="Q64" s="235"/>
      <c r="R64" s="235"/>
      <c r="S64" s="228"/>
      <c r="T64" s="228"/>
      <c r="U64" s="228"/>
      <c r="V64" s="228"/>
      <c r="W64" s="228"/>
      <c r="X64" s="228"/>
      <c r="Y64" s="228"/>
      <c r="Z64" s="228"/>
      <c r="AA64" s="228"/>
      <c r="AB64" s="228"/>
      <c r="AC64" s="228"/>
      <c r="AD64" s="228"/>
      <c r="AE64" s="229"/>
    </row>
    <row r="65" spans="1:31" x14ac:dyDescent="0.65">
      <c r="A65" s="227"/>
      <c r="B65" s="235"/>
      <c r="C65" s="228"/>
      <c r="D65" s="235"/>
      <c r="E65" s="235"/>
      <c r="F65" s="235"/>
      <c r="G65" s="235"/>
      <c r="H65" s="235"/>
      <c r="I65" s="235"/>
      <c r="J65" s="235"/>
      <c r="K65" s="235"/>
      <c r="L65" s="235"/>
      <c r="M65" s="235"/>
      <c r="N65" s="235"/>
      <c r="O65" s="235"/>
      <c r="P65" s="235"/>
      <c r="Q65" s="235"/>
      <c r="R65" s="235"/>
      <c r="S65" s="228"/>
      <c r="T65" s="228"/>
      <c r="U65" s="228"/>
      <c r="V65" s="228"/>
      <c r="W65" s="228"/>
      <c r="X65" s="228"/>
      <c r="Y65" s="228"/>
      <c r="Z65" s="228"/>
      <c r="AA65" s="228"/>
      <c r="AB65" s="228"/>
      <c r="AC65" s="228"/>
      <c r="AD65" s="228"/>
      <c r="AE65" s="229"/>
    </row>
    <row r="66" spans="1:31" x14ac:dyDescent="0.65">
      <c r="A66" s="227"/>
      <c r="B66" s="235"/>
      <c r="C66" s="235"/>
      <c r="D66" s="235"/>
      <c r="E66" s="235"/>
      <c r="F66" s="235"/>
      <c r="G66" s="235"/>
      <c r="H66" s="235"/>
      <c r="I66" s="235"/>
      <c r="J66" s="235"/>
      <c r="K66" s="235"/>
      <c r="L66" s="235"/>
      <c r="M66" s="235"/>
      <c r="N66" s="235"/>
      <c r="O66" s="235"/>
      <c r="P66" s="235"/>
      <c r="Q66" s="235"/>
      <c r="R66" s="235"/>
      <c r="S66" s="235"/>
      <c r="T66" s="235"/>
      <c r="U66" s="235"/>
      <c r="V66" s="235"/>
      <c r="W66" s="235"/>
      <c r="X66" s="235"/>
      <c r="Y66" s="235"/>
      <c r="Z66" s="235"/>
      <c r="AA66" s="235"/>
      <c r="AB66" s="235"/>
      <c r="AC66" s="235"/>
      <c r="AD66" s="235"/>
      <c r="AE66" s="237"/>
    </row>
    <row r="67" spans="1:31" x14ac:dyDescent="0.65">
      <c r="A67" s="227"/>
      <c r="B67" s="235"/>
      <c r="C67" s="233" t="s">
        <v>728</v>
      </c>
      <c r="D67" s="228"/>
      <c r="E67" s="228"/>
      <c r="F67" s="228"/>
      <c r="G67" s="228"/>
      <c r="H67" s="228"/>
      <c r="I67" s="228"/>
      <c r="J67" s="228"/>
      <c r="K67" s="228"/>
      <c r="L67" s="228"/>
      <c r="M67" s="228"/>
      <c r="N67" s="228"/>
      <c r="O67" s="228"/>
      <c r="P67" s="228"/>
      <c r="Q67" s="235"/>
      <c r="R67" s="235"/>
      <c r="S67" s="235"/>
      <c r="T67" s="235"/>
      <c r="U67" s="235"/>
      <c r="V67" s="235"/>
      <c r="W67" s="235"/>
      <c r="X67" s="235"/>
      <c r="Y67" s="235"/>
      <c r="Z67" s="235"/>
      <c r="AA67" s="228"/>
      <c r="AB67" s="228"/>
      <c r="AC67" s="228"/>
      <c r="AD67" s="228"/>
      <c r="AE67" s="229"/>
    </row>
    <row r="68" spans="1:31" ht="30" thickBot="1" x14ac:dyDescent="0.7">
      <c r="A68" s="227"/>
      <c r="B68" s="235"/>
      <c r="C68" s="228"/>
      <c r="D68" s="228"/>
      <c r="E68" s="228"/>
      <c r="F68" s="228"/>
      <c r="G68" s="228"/>
      <c r="H68" s="228"/>
      <c r="I68" s="228"/>
      <c r="J68" s="228"/>
      <c r="K68" s="228"/>
      <c r="L68" s="228"/>
      <c r="M68" s="228"/>
      <c r="N68" s="228"/>
      <c r="O68" s="228"/>
      <c r="P68" s="228"/>
      <c r="Q68" s="228"/>
      <c r="R68" s="228"/>
      <c r="S68" s="228"/>
      <c r="T68" s="228"/>
      <c r="U68" s="228"/>
      <c r="V68" s="228"/>
      <c r="W68" s="228"/>
      <c r="X68" s="228"/>
      <c r="Y68" s="228"/>
      <c r="Z68" s="228"/>
      <c r="AA68" s="228"/>
      <c r="AB68" s="228"/>
      <c r="AC68" s="228"/>
      <c r="AD68" s="228"/>
      <c r="AE68" s="229"/>
    </row>
    <row r="69" spans="1:31" ht="30" thickBot="1" x14ac:dyDescent="0.7">
      <c r="A69" s="227"/>
      <c r="B69" s="235"/>
      <c r="C69" s="228"/>
      <c r="D69" s="233" t="s">
        <v>719</v>
      </c>
      <c r="E69" s="228"/>
      <c r="F69" s="228"/>
      <c r="G69" s="228"/>
      <c r="H69" s="228"/>
      <c r="I69" s="228"/>
      <c r="J69" s="233" t="s">
        <v>709</v>
      </c>
      <c r="K69" s="235"/>
      <c r="L69" s="228"/>
      <c r="M69" s="228"/>
      <c r="N69" s="228"/>
      <c r="O69" s="228"/>
      <c r="P69" s="235"/>
      <c r="Q69" s="191" t="s">
        <v>708</v>
      </c>
      <c r="R69" s="235"/>
      <c r="S69" s="228"/>
      <c r="T69" s="235"/>
      <c r="U69" s="235"/>
      <c r="V69" s="235"/>
      <c r="W69" s="235"/>
      <c r="X69" s="235"/>
      <c r="Y69" s="235"/>
      <c r="Z69" s="228"/>
      <c r="AA69" s="228"/>
      <c r="AB69" s="228"/>
      <c r="AC69" s="228"/>
      <c r="AD69" s="228"/>
      <c r="AE69" s="229"/>
    </row>
    <row r="70" spans="1:31" ht="30" thickBot="1" x14ac:dyDescent="0.7">
      <c r="A70" s="227"/>
      <c r="B70" s="235"/>
      <c r="C70" s="228"/>
      <c r="D70" s="197" t="s">
        <v>717</v>
      </c>
      <c r="E70" s="198" t="s">
        <v>718</v>
      </c>
      <c r="F70" s="199" t="s">
        <v>715</v>
      </c>
      <c r="G70" s="200" t="s">
        <v>716</v>
      </c>
      <c r="H70" s="201" t="s">
        <v>404</v>
      </c>
      <c r="I70" s="228"/>
      <c r="J70" s="228"/>
      <c r="K70" s="235"/>
      <c r="L70" s="228"/>
      <c r="M70" s="228"/>
      <c r="N70" s="228"/>
      <c r="O70" s="228"/>
      <c r="P70" s="228"/>
      <c r="Q70" s="235"/>
      <c r="R70" s="235"/>
      <c r="S70" s="228"/>
      <c r="T70" s="228"/>
      <c r="U70" s="228"/>
      <c r="V70" s="235"/>
      <c r="W70" s="235"/>
      <c r="X70" s="235"/>
      <c r="Y70" s="235"/>
      <c r="Z70" s="228"/>
      <c r="AA70" s="228"/>
      <c r="AB70" s="228"/>
      <c r="AC70" s="228"/>
      <c r="AD70" s="228"/>
      <c r="AE70" s="229"/>
    </row>
    <row r="71" spans="1:31" ht="36.6" thickBot="1" x14ac:dyDescent="0.7">
      <c r="A71" s="227"/>
      <c r="B71" s="235"/>
      <c r="C71" s="228"/>
      <c r="D71" s="202" t="s">
        <v>733</v>
      </c>
      <c r="E71" s="187" t="s">
        <v>592</v>
      </c>
      <c r="F71" s="188"/>
      <c r="G71" s="203" t="s">
        <v>733</v>
      </c>
      <c r="H71" s="189" t="s">
        <v>756</v>
      </c>
      <c r="I71" s="228"/>
      <c r="J71" s="233" t="s">
        <v>710</v>
      </c>
      <c r="K71" s="235"/>
      <c r="L71" s="228"/>
      <c r="M71" s="228"/>
      <c r="N71" s="228"/>
      <c r="O71" s="228"/>
      <c r="P71" s="235"/>
      <c r="Q71" s="192" t="s">
        <v>711</v>
      </c>
      <c r="R71" s="235"/>
      <c r="S71" s="228"/>
      <c r="T71" s="228"/>
      <c r="U71" s="228"/>
      <c r="V71" s="235"/>
      <c r="W71" s="235"/>
      <c r="X71" s="235"/>
      <c r="Y71" s="235"/>
      <c r="Z71" s="228"/>
      <c r="AA71" s="228"/>
      <c r="AB71" s="228"/>
      <c r="AC71" s="228"/>
      <c r="AD71" s="228"/>
      <c r="AE71" s="229"/>
    </row>
    <row r="72" spans="1:31" x14ac:dyDescent="0.65">
      <c r="A72" s="227"/>
      <c r="B72" s="235"/>
      <c r="C72" s="228"/>
      <c r="D72" s="235"/>
      <c r="E72" s="235"/>
      <c r="F72" s="235"/>
      <c r="G72" s="235"/>
      <c r="H72" s="235"/>
      <c r="I72" s="235"/>
      <c r="J72" s="235"/>
      <c r="K72" s="235"/>
      <c r="L72" s="235"/>
      <c r="M72" s="233"/>
      <c r="N72" s="228"/>
      <c r="O72" s="228"/>
      <c r="P72" s="228"/>
      <c r="Q72" s="228"/>
      <c r="R72" s="228"/>
      <c r="S72" s="228"/>
      <c r="T72" s="228"/>
      <c r="U72" s="228"/>
      <c r="V72" s="235"/>
      <c r="W72" s="228"/>
      <c r="X72" s="228"/>
      <c r="Y72" s="228"/>
      <c r="Z72" s="228"/>
      <c r="AA72" s="228"/>
      <c r="AB72" s="228"/>
      <c r="AC72" s="228"/>
      <c r="AD72" s="228"/>
      <c r="AE72" s="229"/>
    </row>
    <row r="73" spans="1:31" x14ac:dyDescent="0.65">
      <c r="A73" s="227"/>
      <c r="B73" s="235"/>
      <c r="C73" s="235"/>
      <c r="D73" s="234" t="s">
        <v>734</v>
      </c>
      <c r="E73" s="235"/>
      <c r="F73" s="235"/>
      <c r="G73" s="235"/>
      <c r="H73" s="235"/>
      <c r="I73" s="235"/>
      <c r="J73" s="235"/>
      <c r="K73" s="235"/>
      <c r="L73" s="235"/>
      <c r="M73" s="235"/>
      <c r="N73" s="235"/>
      <c r="O73" s="235"/>
      <c r="P73" s="235"/>
      <c r="Q73" s="235"/>
      <c r="R73" s="235"/>
      <c r="S73" s="235"/>
      <c r="T73" s="235"/>
      <c r="U73" s="235"/>
      <c r="V73" s="235"/>
      <c r="W73" s="235"/>
      <c r="X73" s="235"/>
      <c r="Y73" s="235"/>
      <c r="Z73" s="235"/>
      <c r="AA73" s="235"/>
      <c r="AB73" s="235"/>
      <c r="AC73" s="235"/>
      <c r="AD73" s="235"/>
      <c r="AE73" s="237"/>
    </row>
    <row r="74" spans="1:31" ht="44.4" customHeight="1" x14ac:dyDescent="0.65">
      <c r="A74" s="227"/>
      <c r="B74" s="235"/>
      <c r="C74" s="235"/>
      <c r="D74" s="238" t="s">
        <v>720</v>
      </c>
      <c r="E74" s="238"/>
      <c r="F74" s="238"/>
      <c r="G74" s="238"/>
      <c r="H74" s="238"/>
      <c r="I74" s="238"/>
      <c r="J74" s="238"/>
      <c r="K74" s="238"/>
      <c r="L74" s="238"/>
      <c r="M74" s="238"/>
      <c r="N74" s="238"/>
      <c r="O74" s="238"/>
      <c r="P74" s="238"/>
      <c r="Q74" s="238"/>
      <c r="R74" s="238"/>
      <c r="S74" s="239"/>
      <c r="T74" s="239"/>
      <c r="U74" s="239"/>
      <c r="V74" s="239"/>
      <c r="W74" s="239"/>
      <c r="X74" s="239"/>
      <c r="Y74" s="239"/>
      <c r="Z74" s="239"/>
      <c r="AA74" s="239"/>
      <c r="AB74" s="235"/>
      <c r="AC74" s="235"/>
      <c r="AD74" s="235"/>
      <c r="AE74" s="237"/>
    </row>
    <row r="75" spans="1:31" ht="70.2" customHeight="1" x14ac:dyDescent="0.65">
      <c r="A75" s="227"/>
      <c r="B75" s="235"/>
      <c r="C75" s="235"/>
      <c r="D75" s="240" t="s">
        <v>778</v>
      </c>
      <c r="E75" s="240"/>
      <c r="F75" s="240"/>
      <c r="G75" s="240"/>
      <c r="H75" s="240"/>
      <c r="I75" s="240"/>
      <c r="J75" s="240"/>
      <c r="K75" s="240"/>
      <c r="L75" s="240"/>
      <c r="M75" s="240"/>
      <c r="N75" s="240"/>
      <c r="O75" s="240"/>
      <c r="P75" s="240"/>
      <c r="Q75" s="240"/>
      <c r="R75" s="240"/>
      <c r="S75" s="241"/>
      <c r="T75" s="241"/>
      <c r="U75" s="241"/>
      <c r="V75" s="241"/>
      <c r="W75" s="241"/>
      <c r="X75" s="241"/>
      <c r="Y75" s="241"/>
      <c r="Z75" s="241"/>
      <c r="AA75" s="241"/>
      <c r="AB75" s="235"/>
      <c r="AC75" s="235"/>
      <c r="AD75" s="235"/>
      <c r="AE75" s="237"/>
    </row>
    <row r="76" spans="1:31" ht="45.6" customHeight="1" x14ac:dyDescent="0.65">
      <c r="A76" s="227"/>
      <c r="B76" s="235"/>
      <c r="C76" s="235"/>
      <c r="D76" s="238" t="s">
        <v>721</v>
      </c>
      <c r="E76" s="238"/>
      <c r="F76" s="238"/>
      <c r="G76" s="238"/>
      <c r="H76" s="238"/>
      <c r="I76" s="238"/>
      <c r="J76" s="238"/>
      <c r="K76" s="238"/>
      <c r="L76" s="238"/>
      <c r="M76" s="238"/>
      <c r="N76" s="238"/>
      <c r="O76" s="238"/>
      <c r="P76" s="238"/>
      <c r="Q76" s="238"/>
      <c r="R76" s="238"/>
      <c r="S76" s="241"/>
      <c r="T76" s="241"/>
      <c r="U76" s="241"/>
      <c r="V76" s="241"/>
      <c r="W76" s="241"/>
      <c r="X76" s="241"/>
      <c r="Y76" s="241"/>
      <c r="Z76" s="241"/>
      <c r="AA76" s="241"/>
      <c r="AB76" s="235"/>
      <c r="AC76" s="235"/>
      <c r="AD76" s="235"/>
      <c r="AE76" s="237"/>
    </row>
    <row r="77" spans="1:31" ht="55.2" customHeight="1" x14ac:dyDescent="0.65">
      <c r="A77" s="227"/>
      <c r="B77" s="235"/>
      <c r="C77" s="235"/>
      <c r="D77" s="240" t="s">
        <v>722</v>
      </c>
      <c r="E77" s="240"/>
      <c r="F77" s="240"/>
      <c r="G77" s="240"/>
      <c r="H77" s="240"/>
      <c r="I77" s="240"/>
      <c r="J77" s="240"/>
      <c r="K77" s="240"/>
      <c r="L77" s="240"/>
      <c r="M77" s="240"/>
      <c r="N77" s="240"/>
      <c r="O77" s="240"/>
      <c r="P77" s="240"/>
      <c r="Q77" s="240"/>
      <c r="R77" s="240"/>
      <c r="S77" s="241"/>
      <c r="T77" s="241"/>
      <c r="U77" s="241"/>
      <c r="V77" s="241"/>
      <c r="W77" s="241"/>
      <c r="X77" s="241"/>
      <c r="Y77" s="241"/>
      <c r="Z77" s="241"/>
      <c r="AA77" s="241"/>
      <c r="AB77" s="235"/>
      <c r="AC77" s="235"/>
      <c r="AD77" s="235"/>
      <c r="AE77" s="237"/>
    </row>
    <row r="78" spans="1:31" ht="43.2" customHeight="1" x14ac:dyDescent="0.65">
      <c r="A78" s="227"/>
      <c r="B78" s="235"/>
      <c r="C78" s="235"/>
      <c r="D78" s="238" t="s">
        <v>723</v>
      </c>
      <c r="E78" s="238"/>
      <c r="F78" s="238"/>
      <c r="G78" s="238"/>
      <c r="H78" s="238"/>
      <c r="I78" s="238"/>
      <c r="J78" s="238"/>
      <c r="K78" s="238"/>
      <c r="L78" s="238"/>
      <c r="M78" s="238"/>
      <c r="N78" s="238"/>
      <c r="O78" s="238"/>
      <c r="P78" s="238"/>
      <c r="Q78" s="238"/>
      <c r="R78" s="238"/>
      <c r="S78" s="241"/>
      <c r="T78" s="241"/>
      <c r="U78" s="241"/>
      <c r="V78" s="241"/>
      <c r="W78" s="241"/>
      <c r="X78" s="241"/>
      <c r="Y78" s="241"/>
      <c r="Z78" s="241"/>
      <c r="AA78" s="241"/>
      <c r="AB78" s="235"/>
      <c r="AC78" s="235"/>
      <c r="AD78" s="235"/>
      <c r="AE78" s="237"/>
    </row>
    <row r="79" spans="1:31" ht="46.2" customHeight="1" x14ac:dyDescent="0.65">
      <c r="A79" s="227"/>
      <c r="B79" s="235"/>
      <c r="C79" s="235"/>
      <c r="D79" s="242" t="s">
        <v>725</v>
      </c>
      <c r="E79" s="242"/>
      <c r="F79" s="242"/>
      <c r="G79" s="242"/>
      <c r="H79" s="242"/>
      <c r="I79" s="242"/>
      <c r="J79" s="242"/>
      <c r="K79" s="242"/>
      <c r="L79" s="242"/>
      <c r="M79" s="242"/>
      <c r="N79" s="242"/>
      <c r="O79" s="242"/>
      <c r="P79" s="242"/>
      <c r="Q79" s="242"/>
      <c r="R79" s="242"/>
      <c r="S79" s="241"/>
      <c r="T79" s="241"/>
      <c r="U79" s="241"/>
      <c r="V79" s="241"/>
      <c r="W79" s="241"/>
      <c r="X79" s="241"/>
      <c r="Y79" s="241"/>
      <c r="Z79" s="241"/>
      <c r="AA79" s="241"/>
      <c r="AB79" s="235"/>
      <c r="AC79" s="235"/>
      <c r="AD79" s="235"/>
      <c r="AE79" s="237"/>
    </row>
    <row r="80" spans="1:31" ht="64.2" customHeight="1" x14ac:dyDescent="0.65">
      <c r="A80" s="227"/>
      <c r="B80" s="235"/>
      <c r="C80" s="235"/>
      <c r="D80" s="240" t="s">
        <v>779</v>
      </c>
      <c r="E80" s="240"/>
      <c r="F80" s="240"/>
      <c r="G80" s="240"/>
      <c r="H80" s="240"/>
      <c r="I80" s="240"/>
      <c r="J80" s="240"/>
      <c r="K80" s="240"/>
      <c r="L80" s="240"/>
      <c r="M80" s="240"/>
      <c r="N80" s="240"/>
      <c r="O80" s="240"/>
      <c r="P80" s="240"/>
      <c r="Q80" s="240"/>
      <c r="R80" s="240"/>
      <c r="S80" s="241"/>
      <c r="T80" s="241"/>
      <c r="U80" s="241"/>
      <c r="V80" s="241"/>
      <c r="W80" s="241"/>
      <c r="X80" s="241"/>
      <c r="Y80" s="241"/>
      <c r="Z80" s="241"/>
      <c r="AA80" s="241"/>
      <c r="AB80" s="235"/>
      <c r="AC80" s="235"/>
      <c r="AD80" s="235"/>
      <c r="AE80" s="237"/>
    </row>
    <row r="81" spans="1:31" x14ac:dyDescent="0.65">
      <c r="A81" s="227"/>
      <c r="B81" s="235"/>
      <c r="C81" s="235"/>
      <c r="D81" s="243" t="s">
        <v>724</v>
      </c>
      <c r="E81" s="243"/>
      <c r="F81" s="243"/>
      <c r="G81" s="243"/>
      <c r="H81" s="243"/>
      <c r="I81" s="243"/>
      <c r="J81" s="243"/>
      <c r="K81" s="243"/>
      <c r="L81" s="243"/>
      <c r="M81" s="243"/>
      <c r="N81" s="243"/>
      <c r="O81" s="243"/>
      <c r="P81" s="243"/>
      <c r="Q81" s="243"/>
      <c r="R81" s="243"/>
      <c r="S81" s="241"/>
      <c r="T81" s="241"/>
      <c r="U81" s="241"/>
      <c r="V81" s="241"/>
      <c r="W81" s="241"/>
      <c r="X81" s="241"/>
      <c r="Y81" s="241"/>
      <c r="Z81" s="241"/>
      <c r="AA81" s="241"/>
      <c r="AB81" s="235"/>
      <c r="AC81" s="235"/>
      <c r="AD81" s="235"/>
      <c r="AE81" s="237"/>
    </row>
    <row r="82" spans="1:31" x14ac:dyDescent="0.65">
      <c r="A82" s="227"/>
      <c r="B82" s="235"/>
      <c r="C82" s="235"/>
      <c r="D82" s="243"/>
      <c r="E82" s="243"/>
      <c r="F82" s="243"/>
      <c r="G82" s="243"/>
      <c r="H82" s="243"/>
      <c r="I82" s="243"/>
      <c r="J82" s="243"/>
      <c r="K82" s="243"/>
      <c r="L82" s="243"/>
      <c r="M82" s="243"/>
      <c r="N82" s="243"/>
      <c r="O82" s="243"/>
      <c r="P82" s="243"/>
      <c r="Q82" s="243"/>
      <c r="R82" s="243"/>
      <c r="S82" s="241"/>
      <c r="T82" s="241"/>
      <c r="U82" s="241"/>
      <c r="V82" s="241"/>
      <c r="W82" s="241"/>
      <c r="X82" s="241"/>
      <c r="Y82" s="241"/>
      <c r="Z82" s="241"/>
      <c r="AA82" s="241"/>
      <c r="AB82" s="235"/>
      <c r="AC82" s="235"/>
      <c r="AD82" s="235"/>
      <c r="AE82" s="237"/>
    </row>
    <row r="83" spans="1:31" x14ac:dyDescent="0.65">
      <c r="A83" s="227"/>
      <c r="B83" s="235"/>
      <c r="C83" s="244" t="s">
        <v>758</v>
      </c>
      <c r="D83" s="244"/>
      <c r="E83" s="244"/>
      <c r="F83" s="244"/>
      <c r="G83" s="244"/>
      <c r="H83" s="244"/>
      <c r="I83" s="245"/>
      <c r="J83" s="245"/>
      <c r="K83" s="235"/>
      <c r="L83" s="235"/>
      <c r="M83" s="235"/>
      <c r="N83" s="235"/>
      <c r="O83" s="235"/>
      <c r="P83" s="235"/>
      <c r="Q83" s="235"/>
      <c r="R83" s="235"/>
      <c r="S83" s="235"/>
      <c r="T83" s="235"/>
      <c r="U83" s="235"/>
      <c r="V83" s="235"/>
      <c r="W83" s="235"/>
      <c r="X83" s="235"/>
      <c r="Y83" s="235"/>
      <c r="Z83" s="235"/>
      <c r="AA83" s="235"/>
      <c r="AB83" s="235"/>
      <c r="AC83" s="235"/>
      <c r="AD83" s="235"/>
      <c r="AE83" s="237"/>
    </row>
    <row r="84" spans="1:31" x14ac:dyDescent="0.65">
      <c r="A84" s="227"/>
      <c r="B84" s="235"/>
      <c r="C84" s="233"/>
      <c r="D84" s="235"/>
      <c r="E84" s="235"/>
      <c r="F84" s="235"/>
      <c r="G84" s="235"/>
      <c r="H84" s="235"/>
      <c r="I84" s="235"/>
      <c r="J84" s="235"/>
      <c r="K84" s="235"/>
      <c r="L84" s="235"/>
      <c r="M84" s="235"/>
      <c r="N84" s="235"/>
      <c r="O84" s="235"/>
      <c r="P84" s="235"/>
      <c r="Q84" s="235"/>
      <c r="R84" s="235"/>
      <c r="S84" s="235"/>
      <c r="T84" s="235"/>
      <c r="U84" s="235"/>
      <c r="V84" s="235"/>
      <c r="W84" s="235"/>
      <c r="X84" s="235"/>
      <c r="Y84" s="235"/>
      <c r="Z84" s="235"/>
      <c r="AA84" s="235"/>
      <c r="AB84" s="235"/>
      <c r="AC84" s="235"/>
      <c r="AD84" s="235"/>
      <c r="AE84" s="237"/>
    </row>
    <row r="85" spans="1:31" x14ac:dyDescent="0.65">
      <c r="A85" s="227"/>
      <c r="B85" s="235"/>
      <c r="C85" s="235"/>
      <c r="D85" s="193" t="s">
        <v>746</v>
      </c>
      <c r="E85" s="235" t="s">
        <v>757</v>
      </c>
      <c r="F85" s="235"/>
      <c r="G85" s="235"/>
      <c r="H85" s="235"/>
      <c r="I85" s="235"/>
      <c r="J85" s="235"/>
      <c r="K85" s="235"/>
      <c r="L85" s="235"/>
      <c r="M85" s="235"/>
      <c r="N85" s="235"/>
      <c r="O85" s="235"/>
      <c r="P85" s="235"/>
      <c r="Q85" s="235"/>
      <c r="R85" s="235"/>
      <c r="S85" s="235"/>
      <c r="T85" s="235"/>
      <c r="U85" s="235"/>
      <c r="V85" s="235"/>
      <c r="W85" s="235"/>
      <c r="X85" s="235"/>
      <c r="Y85" s="235"/>
      <c r="Z85" s="235"/>
      <c r="AA85" s="235"/>
      <c r="AB85" s="235"/>
      <c r="AC85" s="235"/>
      <c r="AD85" s="235"/>
      <c r="AE85" s="237"/>
    </row>
    <row r="86" spans="1:31" x14ac:dyDescent="0.65">
      <c r="A86" s="227"/>
      <c r="B86" s="235"/>
      <c r="C86" s="235"/>
      <c r="D86" s="193" t="s">
        <v>747</v>
      </c>
      <c r="E86" s="235" t="s">
        <v>738</v>
      </c>
      <c r="F86" s="235"/>
      <c r="G86" s="235"/>
      <c r="H86" s="235"/>
      <c r="I86" s="235"/>
      <c r="J86" s="235"/>
      <c r="K86" s="235"/>
      <c r="L86" s="235"/>
      <c r="M86" s="235"/>
      <c r="N86" s="235"/>
      <c r="O86" s="235"/>
      <c r="P86" s="235"/>
      <c r="Q86" s="235"/>
      <c r="R86" s="235"/>
      <c r="S86" s="235"/>
      <c r="T86" s="235"/>
      <c r="U86" s="235"/>
      <c r="V86" s="235"/>
      <c r="W86" s="235"/>
      <c r="X86" s="235"/>
      <c r="Y86" s="235"/>
      <c r="Z86" s="235"/>
      <c r="AA86" s="235"/>
      <c r="AB86" s="235"/>
      <c r="AC86" s="235"/>
      <c r="AD86" s="235"/>
      <c r="AE86" s="237"/>
    </row>
    <row r="87" spans="1:31" x14ac:dyDescent="0.65">
      <c r="A87" s="227"/>
      <c r="B87" s="235"/>
      <c r="C87" s="235"/>
      <c r="D87" s="193" t="s">
        <v>748</v>
      </c>
      <c r="E87" s="235" t="s">
        <v>737</v>
      </c>
      <c r="F87" s="235"/>
      <c r="G87" s="235"/>
      <c r="H87" s="235"/>
      <c r="I87" s="235"/>
      <c r="J87" s="235"/>
      <c r="K87" s="235"/>
      <c r="L87" s="235"/>
      <c r="M87" s="235"/>
      <c r="N87" s="235"/>
      <c r="O87" s="235"/>
      <c r="P87" s="235"/>
      <c r="Q87" s="235"/>
      <c r="R87" s="235"/>
      <c r="S87" s="235"/>
      <c r="T87" s="235"/>
      <c r="U87" s="235"/>
      <c r="V87" s="235"/>
      <c r="W87" s="235"/>
      <c r="X87" s="235"/>
      <c r="Y87" s="235"/>
      <c r="Z87" s="235"/>
      <c r="AA87" s="235"/>
      <c r="AB87" s="235"/>
      <c r="AC87" s="235"/>
      <c r="AD87" s="235"/>
      <c r="AE87" s="237"/>
    </row>
    <row r="88" spans="1:31" x14ac:dyDescent="0.65">
      <c r="A88" s="227"/>
      <c r="B88" s="235"/>
      <c r="C88" s="235"/>
      <c r="D88" s="193" t="s">
        <v>749</v>
      </c>
      <c r="E88" s="235" t="s">
        <v>739</v>
      </c>
      <c r="F88" s="235"/>
      <c r="G88" s="235"/>
      <c r="H88" s="235"/>
      <c r="I88" s="235"/>
      <c r="J88" s="235"/>
      <c r="K88" s="235"/>
      <c r="L88" s="235"/>
      <c r="M88" s="235"/>
      <c r="N88" s="235"/>
      <c r="O88" s="235"/>
      <c r="P88" s="235"/>
      <c r="Q88" s="235"/>
      <c r="R88" s="235"/>
      <c r="S88" s="235"/>
      <c r="T88" s="235"/>
      <c r="U88" s="235"/>
      <c r="V88" s="235"/>
      <c r="W88" s="235"/>
      <c r="X88" s="235"/>
      <c r="Y88" s="235"/>
      <c r="Z88" s="235"/>
      <c r="AA88" s="235"/>
      <c r="AB88" s="235"/>
      <c r="AC88" s="235"/>
      <c r="AD88" s="235"/>
      <c r="AE88" s="237"/>
    </row>
    <row r="89" spans="1:31" x14ac:dyDescent="0.65">
      <c r="A89" s="227"/>
      <c r="B89" s="235"/>
      <c r="C89" s="235"/>
      <c r="D89" s="194" t="s">
        <v>750</v>
      </c>
      <c r="E89" s="235" t="s">
        <v>740</v>
      </c>
      <c r="F89" s="235"/>
      <c r="G89" s="235"/>
      <c r="H89" s="235"/>
      <c r="I89" s="235"/>
      <c r="J89" s="235"/>
      <c r="K89" s="235"/>
      <c r="L89" s="235"/>
      <c r="M89" s="235"/>
      <c r="N89" s="235"/>
      <c r="O89" s="235"/>
      <c r="P89" s="235"/>
      <c r="Q89" s="235"/>
      <c r="R89" s="235"/>
      <c r="S89" s="235"/>
      <c r="T89" s="235"/>
      <c r="U89" s="235"/>
      <c r="V89" s="235"/>
      <c r="W89" s="235"/>
      <c r="X89" s="235"/>
      <c r="Y89" s="235"/>
      <c r="Z89" s="235"/>
      <c r="AA89" s="235"/>
      <c r="AB89" s="235"/>
      <c r="AC89" s="235"/>
      <c r="AD89" s="235"/>
      <c r="AE89" s="237"/>
    </row>
    <row r="90" spans="1:31" x14ac:dyDescent="0.65">
      <c r="A90" s="227"/>
      <c r="B90" s="235"/>
      <c r="C90" s="235"/>
      <c r="D90" s="194" t="s">
        <v>751</v>
      </c>
      <c r="E90" s="235" t="s">
        <v>745</v>
      </c>
      <c r="F90" s="235"/>
      <c r="G90" s="235"/>
      <c r="H90" s="235"/>
      <c r="I90" s="235"/>
      <c r="J90" s="235"/>
      <c r="K90" s="235"/>
      <c r="L90" s="235"/>
      <c r="M90" s="235"/>
      <c r="N90" s="235"/>
      <c r="O90" s="235"/>
      <c r="P90" s="235"/>
      <c r="Q90" s="235"/>
      <c r="R90" s="235"/>
      <c r="S90" s="235"/>
      <c r="T90" s="235"/>
      <c r="U90" s="235"/>
      <c r="V90" s="235"/>
      <c r="W90" s="235"/>
      <c r="X90" s="235"/>
      <c r="Y90" s="235"/>
      <c r="Z90" s="235"/>
      <c r="AA90" s="235"/>
      <c r="AB90" s="235"/>
      <c r="AC90" s="235"/>
      <c r="AD90" s="235"/>
      <c r="AE90" s="237"/>
    </row>
    <row r="91" spans="1:31" x14ac:dyDescent="0.65">
      <c r="A91" s="227"/>
      <c r="B91" s="235"/>
      <c r="C91" s="235"/>
      <c r="D91" s="195" t="s">
        <v>752</v>
      </c>
      <c r="E91" s="235" t="s">
        <v>741</v>
      </c>
      <c r="F91" s="235"/>
      <c r="G91" s="235"/>
      <c r="H91" s="235"/>
      <c r="I91" s="235"/>
      <c r="J91" s="235"/>
      <c r="K91" s="235"/>
      <c r="L91" s="235"/>
      <c r="M91" s="235"/>
      <c r="N91" s="235"/>
      <c r="O91" s="235"/>
      <c r="P91" s="235"/>
      <c r="Q91" s="235"/>
      <c r="R91" s="235"/>
      <c r="S91" s="235"/>
      <c r="T91" s="235"/>
      <c r="U91" s="235"/>
      <c r="V91" s="235"/>
      <c r="W91" s="235"/>
      <c r="X91" s="235"/>
      <c r="Y91" s="235"/>
      <c r="Z91" s="235"/>
      <c r="AA91" s="235"/>
      <c r="AB91" s="235"/>
      <c r="AC91" s="235"/>
      <c r="AD91" s="235"/>
      <c r="AE91" s="237"/>
    </row>
    <row r="92" spans="1:31" x14ac:dyDescent="0.65">
      <c r="A92" s="227"/>
      <c r="B92" s="235"/>
      <c r="C92" s="235"/>
      <c r="D92" s="195" t="s">
        <v>753</v>
      </c>
      <c r="E92" s="235" t="s">
        <v>742</v>
      </c>
      <c r="F92" s="235"/>
      <c r="G92" s="235"/>
      <c r="H92" s="235"/>
      <c r="I92" s="235"/>
      <c r="J92" s="235"/>
      <c r="K92" s="235"/>
      <c r="L92" s="235"/>
      <c r="M92" s="235"/>
      <c r="N92" s="235"/>
      <c r="O92" s="235"/>
      <c r="P92" s="235"/>
      <c r="Q92" s="235"/>
      <c r="R92" s="235"/>
      <c r="S92" s="235"/>
      <c r="T92" s="235"/>
      <c r="U92" s="235"/>
      <c r="V92" s="235"/>
      <c r="W92" s="235"/>
      <c r="X92" s="235"/>
      <c r="Y92" s="235"/>
      <c r="Z92" s="235"/>
      <c r="AA92" s="235"/>
      <c r="AB92" s="235"/>
      <c r="AC92" s="235"/>
      <c r="AD92" s="235"/>
      <c r="AE92" s="237"/>
    </row>
    <row r="93" spans="1:31" x14ac:dyDescent="0.65">
      <c r="A93" s="227"/>
      <c r="B93" s="235"/>
      <c r="C93" s="235"/>
      <c r="D93" s="196" t="s">
        <v>754</v>
      </c>
      <c r="E93" s="235" t="s">
        <v>743</v>
      </c>
      <c r="F93" s="235"/>
      <c r="G93" s="235"/>
      <c r="H93" s="235"/>
      <c r="I93" s="235"/>
      <c r="J93" s="235"/>
      <c r="K93" s="235"/>
      <c r="L93" s="235"/>
      <c r="M93" s="235"/>
      <c r="N93" s="235"/>
      <c r="O93" s="235"/>
      <c r="P93" s="235"/>
      <c r="Q93" s="235"/>
      <c r="R93" s="235"/>
      <c r="S93" s="235"/>
      <c r="T93" s="235"/>
      <c r="U93" s="235"/>
      <c r="V93" s="235"/>
      <c r="W93" s="235"/>
      <c r="X93" s="235"/>
      <c r="Y93" s="235"/>
      <c r="Z93" s="235"/>
      <c r="AA93" s="235"/>
      <c r="AB93" s="235"/>
      <c r="AC93" s="235"/>
      <c r="AD93" s="235"/>
      <c r="AE93" s="237"/>
    </row>
    <row r="94" spans="1:31" x14ac:dyDescent="0.65">
      <c r="A94" s="227"/>
      <c r="B94" s="235"/>
      <c r="C94" s="235"/>
      <c r="D94" s="196" t="s">
        <v>755</v>
      </c>
      <c r="E94" s="235" t="s">
        <v>744</v>
      </c>
      <c r="F94" s="235"/>
      <c r="G94" s="235"/>
      <c r="H94" s="235"/>
      <c r="I94" s="235"/>
      <c r="J94" s="235"/>
      <c r="K94" s="235"/>
      <c r="L94" s="235"/>
      <c r="M94" s="235"/>
      <c r="N94" s="235"/>
      <c r="O94" s="235"/>
      <c r="P94" s="235"/>
      <c r="Q94" s="235"/>
      <c r="R94" s="235"/>
      <c r="S94" s="235"/>
      <c r="T94" s="235"/>
      <c r="U94" s="235"/>
      <c r="V94" s="235"/>
      <c r="W94" s="235"/>
      <c r="X94" s="235"/>
      <c r="Y94" s="235"/>
      <c r="Z94" s="235"/>
      <c r="AA94" s="235"/>
      <c r="AB94" s="235"/>
      <c r="AC94" s="235"/>
      <c r="AD94" s="235"/>
      <c r="AE94" s="237"/>
    </row>
    <row r="95" spans="1:31" x14ac:dyDescent="0.65">
      <c r="A95" s="227"/>
      <c r="B95" s="235"/>
      <c r="C95" s="235"/>
      <c r="D95" s="235"/>
      <c r="E95" s="235"/>
      <c r="F95" s="235"/>
      <c r="G95" s="235"/>
      <c r="H95" s="235"/>
      <c r="I95" s="235"/>
      <c r="J95" s="235"/>
      <c r="K95" s="235"/>
      <c r="L95" s="235"/>
      <c r="M95" s="235"/>
      <c r="N95" s="235"/>
      <c r="O95" s="235"/>
      <c r="P95" s="235"/>
      <c r="Q95" s="235"/>
      <c r="R95" s="235"/>
      <c r="S95" s="235"/>
      <c r="T95" s="235"/>
      <c r="U95" s="235"/>
      <c r="V95" s="235"/>
      <c r="W95" s="235"/>
      <c r="X95" s="235"/>
      <c r="Y95" s="235"/>
      <c r="Z95" s="235"/>
      <c r="AA95" s="235"/>
      <c r="AB95" s="235"/>
      <c r="AC95" s="235"/>
      <c r="AD95" s="235"/>
      <c r="AE95" s="237"/>
    </row>
    <row r="96" spans="1:31" x14ac:dyDescent="0.65">
      <c r="A96" s="227"/>
      <c r="B96" s="235"/>
      <c r="C96" s="235"/>
      <c r="D96" s="235"/>
      <c r="E96" s="235"/>
      <c r="F96" s="235"/>
      <c r="G96" s="235"/>
      <c r="H96" s="235"/>
      <c r="I96" s="235"/>
      <c r="J96" s="235"/>
      <c r="K96" s="235"/>
      <c r="L96" s="235"/>
      <c r="M96" s="235"/>
      <c r="N96" s="235"/>
      <c r="O96" s="235"/>
      <c r="P96" s="235"/>
      <c r="Q96" s="235"/>
      <c r="R96" s="235"/>
      <c r="S96" s="235"/>
      <c r="T96" s="235"/>
      <c r="U96" s="235"/>
      <c r="V96" s="235"/>
      <c r="W96" s="235"/>
      <c r="X96" s="235"/>
      <c r="Y96" s="235"/>
      <c r="Z96" s="235"/>
      <c r="AA96" s="235"/>
      <c r="AB96" s="235"/>
      <c r="AC96" s="235"/>
      <c r="AD96" s="235"/>
      <c r="AE96" s="237"/>
    </row>
    <row r="97" spans="1:31" ht="52.2" x14ac:dyDescent="0.65">
      <c r="A97" s="227"/>
      <c r="B97" s="235"/>
      <c r="C97" s="236" t="s">
        <v>759</v>
      </c>
      <c r="D97" s="235"/>
      <c r="E97" s="235"/>
      <c r="F97" s="235"/>
      <c r="G97" s="235"/>
      <c r="H97" s="235"/>
      <c r="I97" s="235"/>
      <c r="J97" s="235"/>
      <c r="K97" s="235"/>
      <c r="L97" s="235"/>
      <c r="M97" s="235"/>
      <c r="N97" s="235"/>
      <c r="O97" s="235"/>
      <c r="P97" s="235"/>
      <c r="Q97" s="235"/>
      <c r="R97" s="235"/>
      <c r="S97" s="235"/>
      <c r="T97" s="235"/>
      <c r="U97" s="235"/>
      <c r="V97" s="235"/>
      <c r="W97" s="235"/>
      <c r="X97" s="235"/>
      <c r="Y97" s="235"/>
      <c r="Z97" s="235"/>
      <c r="AA97" s="235"/>
      <c r="AB97" s="235"/>
      <c r="AC97" s="235"/>
      <c r="AD97" s="235"/>
      <c r="AE97" s="237"/>
    </row>
    <row r="98" spans="1:31" x14ac:dyDescent="0.65">
      <c r="A98" s="227"/>
      <c r="B98" s="235"/>
      <c r="C98" s="235"/>
      <c r="D98" s="235"/>
      <c r="E98" s="235"/>
      <c r="F98" s="235"/>
      <c r="G98" s="235"/>
      <c r="H98" s="235"/>
      <c r="I98" s="235"/>
      <c r="J98" s="235"/>
      <c r="K98" s="235"/>
      <c r="L98" s="235"/>
      <c r="M98" s="235"/>
      <c r="N98" s="235"/>
      <c r="O98" s="235"/>
      <c r="P98" s="235"/>
      <c r="Q98" s="235"/>
      <c r="R98" s="235"/>
      <c r="S98" s="235"/>
      <c r="T98" s="235"/>
      <c r="U98" s="235"/>
      <c r="V98" s="235"/>
      <c r="W98" s="235"/>
      <c r="X98" s="235"/>
      <c r="Y98" s="235"/>
      <c r="Z98" s="235"/>
      <c r="AA98" s="235"/>
      <c r="AB98" s="235"/>
      <c r="AC98" s="235"/>
      <c r="AD98" s="235"/>
      <c r="AE98" s="237"/>
    </row>
    <row r="99" spans="1:31" x14ac:dyDescent="0.65">
      <c r="A99" s="227"/>
      <c r="B99" s="235"/>
      <c r="C99" s="235"/>
      <c r="D99" s="234" t="s">
        <v>769</v>
      </c>
      <c r="E99" s="235"/>
      <c r="F99" s="235"/>
      <c r="G99" s="235"/>
      <c r="H99" s="235"/>
      <c r="I99" s="235"/>
      <c r="J99" s="235"/>
      <c r="K99" s="235"/>
      <c r="L99" s="235"/>
      <c r="M99" s="235"/>
      <c r="N99" s="235"/>
      <c r="O99" s="235"/>
      <c r="P99" s="235"/>
      <c r="Q99" s="235"/>
      <c r="R99" s="235"/>
      <c r="S99" s="235"/>
      <c r="T99" s="235"/>
      <c r="U99" s="235"/>
      <c r="V99" s="235"/>
      <c r="W99" s="235"/>
      <c r="X99" s="235"/>
      <c r="Y99" s="235"/>
      <c r="Z99" s="235"/>
      <c r="AA99" s="235"/>
      <c r="AB99" s="235"/>
      <c r="AC99" s="235"/>
      <c r="AD99" s="235"/>
      <c r="AE99" s="237"/>
    </row>
    <row r="100" spans="1:31" x14ac:dyDescent="0.65">
      <c r="A100" s="227"/>
      <c r="B100" s="235"/>
      <c r="C100" s="235"/>
      <c r="D100" s="235"/>
      <c r="E100" s="235"/>
      <c r="F100" s="235"/>
      <c r="G100" s="235"/>
      <c r="H100" s="235"/>
      <c r="I100" s="235"/>
      <c r="J100" s="235"/>
      <c r="K100" s="235"/>
      <c r="L100" s="235"/>
      <c r="M100" s="235"/>
      <c r="N100" s="235"/>
      <c r="O100" s="235"/>
      <c r="P100" s="235"/>
      <c r="Q100" s="235"/>
      <c r="R100" s="235"/>
      <c r="S100" s="235"/>
      <c r="T100" s="235"/>
      <c r="U100" s="235"/>
      <c r="V100" s="235"/>
      <c r="W100" s="235"/>
      <c r="X100" s="235"/>
      <c r="Y100" s="235"/>
      <c r="Z100" s="235"/>
      <c r="AA100" s="235"/>
      <c r="AB100" s="235"/>
      <c r="AC100" s="235"/>
      <c r="AD100" s="235"/>
      <c r="AE100" s="237"/>
    </row>
    <row r="101" spans="1:31" x14ac:dyDescent="0.65">
      <c r="A101" s="227"/>
      <c r="B101" s="235"/>
      <c r="C101" s="235"/>
      <c r="D101" s="235"/>
      <c r="E101" s="234" t="s">
        <v>767</v>
      </c>
      <c r="F101" s="235"/>
      <c r="G101" s="235"/>
      <c r="H101" s="235"/>
      <c r="I101" s="235"/>
      <c r="J101" s="235"/>
      <c r="K101" s="235"/>
      <c r="L101" s="235"/>
      <c r="M101" s="235"/>
      <c r="N101" s="235"/>
      <c r="O101" s="235"/>
      <c r="P101" s="235"/>
      <c r="Q101" s="235"/>
      <c r="R101" s="235"/>
      <c r="S101" s="235"/>
      <c r="T101" s="235"/>
      <c r="U101" s="235"/>
      <c r="V101" s="235"/>
      <c r="W101" s="235"/>
      <c r="X101" s="235"/>
      <c r="Y101" s="235"/>
      <c r="Z101" s="235"/>
      <c r="AA101" s="235"/>
      <c r="AB101" s="235"/>
      <c r="AC101" s="235"/>
      <c r="AD101" s="235"/>
      <c r="AE101" s="237"/>
    </row>
    <row r="102" spans="1:31" x14ac:dyDescent="0.65">
      <c r="A102" s="227"/>
      <c r="B102" s="235"/>
      <c r="C102" s="235"/>
      <c r="D102" s="235"/>
      <c r="E102" s="242" t="s">
        <v>760</v>
      </c>
      <c r="F102" s="242"/>
      <c r="G102" s="242"/>
      <c r="H102" s="242"/>
      <c r="I102" s="242"/>
      <c r="J102" s="242"/>
      <c r="K102" s="242"/>
      <c r="L102" s="242"/>
      <c r="M102" s="242"/>
      <c r="N102" s="242"/>
      <c r="O102" s="242"/>
      <c r="P102" s="242"/>
      <c r="Q102" s="242"/>
      <c r="R102" s="242"/>
      <c r="S102" s="246"/>
      <c r="T102" s="235"/>
      <c r="U102" s="235"/>
      <c r="V102" s="235"/>
      <c r="W102" s="235"/>
      <c r="X102" s="235"/>
      <c r="Y102" s="235"/>
      <c r="Z102" s="235"/>
      <c r="AA102" s="235"/>
      <c r="AB102" s="235"/>
      <c r="AC102" s="235"/>
      <c r="AD102" s="235"/>
      <c r="AE102" s="237"/>
    </row>
    <row r="103" spans="1:31" x14ac:dyDescent="0.65">
      <c r="A103" s="227"/>
      <c r="B103" s="235"/>
      <c r="C103" s="235"/>
      <c r="D103" s="235"/>
      <c r="E103" s="242" t="s">
        <v>761</v>
      </c>
      <c r="F103" s="242"/>
      <c r="G103" s="242"/>
      <c r="H103" s="242"/>
      <c r="I103" s="242"/>
      <c r="J103" s="242"/>
      <c r="K103" s="242"/>
      <c r="L103" s="242"/>
      <c r="M103" s="242"/>
      <c r="N103" s="242"/>
      <c r="O103" s="242"/>
      <c r="P103" s="242"/>
      <c r="Q103" s="242"/>
      <c r="R103" s="242"/>
      <c r="S103" s="246"/>
      <c r="T103" s="235"/>
      <c r="U103" s="235"/>
      <c r="V103" s="235"/>
      <c r="W103" s="235"/>
      <c r="X103" s="235"/>
      <c r="Y103" s="235"/>
      <c r="Z103" s="235"/>
      <c r="AA103" s="235"/>
      <c r="AB103" s="235"/>
      <c r="AC103" s="235"/>
      <c r="AD103" s="235"/>
      <c r="AE103" s="237"/>
    </row>
    <row r="104" spans="1:31" x14ac:dyDescent="0.65">
      <c r="A104" s="227"/>
      <c r="B104" s="235"/>
      <c r="C104" s="235"/>
      <c r="D104" s="235"/>
      <c r="E104" s="242"/>
      <c r="F104" s="242"/>
      <c r="G104" s="242"/>
      <c r="H104" s="242"/>
      <c r="I104" s="242"/>
      <c r="J104" s="242"/>
      <c r="K104" s="242"/>
      <c r="L104" s="242"/>
      <c r="M104" s="242"/>
      <c r="N104" s="242"/>
      <c r="O104" s="242"/>
      <c r="P104" s="242"/>
      <c r="Q104" s="242"/>
      <c r="R104" s="242"/>
      <c r="S104" s="235"/>
      <c r="T104" s="235"/>
      <c r="U104" s="235"/>
      <c r="V104" s="235"/>
      <c r="W104" s="235"/>
      <c r="X104" s="235"/>
      <c r="Y104" s="235"/>
      <c r="Z104" s="235"/>
      <c r="AA104" s="235"/>
      <c r="AB104" s="235"/>
      <c r="AC104" s="235"/>
      <c r="AD104" s="235"/>
      <c r="AE104" s="237"/>
    </row>
    <row r="105" spans="1:31" x14ac:dyDescent="0.65">
      <c r="A105" s="227"/>
      <c r="B105" s="235"/>
      <c r="C105" s="235"/>
      <c r="D105" s="234" t="s">
        <v>768</v>
      </c>
      <c r="E105" s="235"/>
      <c r="F105" s="235"/>
      <c r="G105" s="235"/>
      <c r="H105" s="235"/>
      <c r="I105" s="235"/>
      <c r="J105" s="235"/>
      <c r="K105" s="235"/>
      <c r="L105" s="235"/>
      <c r="M105" s="235"/>
      <c r="N105" s="235"/>
      <c r="O105" s="235"/>
      <c r="P105" s="235"/>
      <c r="Q105" s="235"/>
      <c r="R105" s="235"/>
      <c r="S105" s="235"/>
      <c r="T105" s="235"/>
      <c r="U105" s="235"/>
      <c r="V105" s="235"/>
      <c r="W105" s="235"/>
      <c r="X105" s="235"/>
      <c r="Y105" s="235"/>
      <c r="Z105" s="235"/>
      <c r="AA105" s="235"/>
      <c r="AB105" s="235"/>
      <c r="AC105" s="235"/>
      <c r="AD105" s="235"/>
      <c r="AE105" s="237"/>
    </row>
    <row r="106" spans="1:31" x14ac:dyDescent="0.65">
      <c r="A106" s="227"/>
      <c r="B106" s="235"/>
      <c r="C106" s="235"/>
      <c r="D106" s="234"/>
      <c r="E106" s="235"/>
      <c r="F106" s="235"/>
      <c r="G106" s="235"/>
      <c r="H106" s="235"/>
      <c r="I106" s="235"/>
      <c r="J106" s="235"/>
      <c r="K106" s="235"/>
      <c r="L106" s="235"/>
      <c r="M106" s="235"/>
      <c r="N106" s="235"/>
      <c r="O106" s="235"/>
      <c r="P106" s="235"/>
      <c r="Q106" s="235"/>
      <c r="R106" s="235"/>
      <c r="S106" s="235"/>
      <c r="T106" s="235"/>
      <c r="U106" s="235"/>
      <c r="V106" s="235"/>
      <c r="W106" s="235"/>
      <c r="X106" s="235"/>
      <c r="Y106" s="235"/>
      <c r="Z106" s="235"/>
      <c r="AA106" s="235"/>
      <c r="AB106" s="235"/>
      <c r="AC106" s="235"/>
      <c r="AD106" s="235"/>
      <c r="AE106" s="237"/>
    </row>
    <row r="107" spans="1:31" x14ac:dyDescent="0.65">
      <c r="A107" s="227"/>
      <c r="B107" s="235"/>
      <c r="C107" s="235"/>
      <c r="D107" s="235"/>
      <c r="E107" s="247" t="s">
        <v>762</v>
      </c>
      <c r="F107" s="247"/>
      <c r="G107" s="247"/>
      <c r="H107" s="247"/>
      <c r="I107" s="247"/>
      <c r="J107" s="247"/>
      <c r="K107" s="247"/>
      <c r="L107" s="247"/>
      <c r="M107" s="247"/>
      <c r="N107" s="247"/>
      <c r="O107" s="247"/>
      <c r="P107" s="247"/>
      <c r="Q107" s="247"/>
      <c r="R107" s="247"/>
      <c r="S107" s="235"/>
      <c r="T107" s="235"/>
      <c r="U107" s="235"/>
      <c r="V107" s="235"/>
      <c r="W107" s="235"/>
      <c r="X107" s="235"/>
      <c r="Y107" s="235"/>
      <c r="Z107" s="235"/>
      <c r="AA107" s="235"/>
      <c r="AB107" s="235"/>
      <c r="AC107" s="235"/>
      <c r="AD107" s="235"/>
      <c r="AE107" s="237"/>
    </row>
    <row r="108" spans="1:31" x14ac:dyDescent="0.65">
      <c r="A108" s="227"/>
      <c r="B108" s="235"/>
      <c r="C108" s="235"/>
      <c r="D108" s="235"/>
      <c r="E108" s="247" t="s">
        <v>763</v>
      </c>
      <c r="F108" s="247"/>
      <c r="G108" s="247"/>
      <c r="H108" s="247"/>
      <c r="I108" s="247"/>
      <c r="J108" s="247"/>
      <c r="K108" s="247"/>
      <c r="L108" s="247"/>
      <c r="M108" s="247"/>
      <c r="N108" s="247"/>
      <c r="O108" s="247"/>
      <c r="P108" s="247"/>
      <c r="Q108" s="247"/>
      <c r="R108" s="247"/>
      <c r="S108" s="235"/>
      <c r="T108" s="235"/>
      <c r="U108" s="235"/>
      <c r="V108" s="235"/>
      <c r="W108" s="235"/>
      <c r="X108" s="235"/>
      <c r="Y108" s="235"/>
      <c r="Z108" s="235"/>
      <c r="AA108" s="235"/>
      <c r="AB108" s="235"/>
      <c r="AC108" s="235"/>
      <c r="AD108" s="235"/>
      <c r="AE108" s="237"/>
    </row>
    <row r="109" spans="1:31" x14ac:dyDescent="0.65">
      <c r="A109" s="227"/>
      <c r="B109" s="235"/>
      <c r="C109" s="235"/>
      <c r="D109" s="235"/>
      <c r="E109" s="248" t="s">
        <v>764</v>
      </c>
      <c r="F109" s="248"/>
      <c r="G109" s="248"/>
      <c r="H109" s="248"/>
      <c r="I109" s="248"/>
      <c r="J109" s="248"/>
      <c r="K109" s="248"/>
      <c r="L109" s="248"/>
      <c r="M109" s="248"/>
      <c r="N109" s="248"/>
      <c r="O109" s="248"/>
      <c r="P109" s="248"/>
      <c r="Q109" s="248"/>
      <c r="R109" s="248"/>
      <c r="S109" s="235"/>
      <c r="T109" s="235"/>
      <c r="U109" s="235"/>
      <c r="V109" s="235"/>
      <c r="W109" s="235"/>
      <c r="X109" s="235"/>
      <c r="Y109" s="235"/>
      <c r="Z109" s="235"/>
      <c r="AA109" s="235"/>
      <c r="AB109" s="235"/>
      <c r="AC109" s="235"/>
      <c r="AD109" s="235"/>
      <c r="AE109" s="237"/>
    </row>
    <row r="110" spans="1:31" x14ac:dyDescent="0.65">
      <c r="A110" s="227"/>
      <c r="B110" s="235"/>
      <c r="C110" s="235"/>
      <c r="D110" s="235"/>
      <c r="E110" s="248" t="s">
        <v>766</v>
      </c>
      <c r="F110" s="248"/>
      <c r="G110" s="248"/>
      <c r="H110" s="248"/>
      <c r="I110" s="248"/>
      <c r="J110" s="248"/>
      <c r="K110" s="248"/>
      <c r="L110" s="248"/>
      <c r="M110" s="248"/>
      <c r="N110" s="248"/>
      <c r="O110" s="248"/>
      <c r="P110" s="248"/>
      <c r="Q110" s="248"/>
      <c r="R110" s="248"/>
      <c r="S110" s="235"/>
      <c r="T110" s="235"/>
      <c r="U110" s="235"/>
      <c r="V110" s="235"/>
      <c r="W110" s="235"/>
      <c r="X110" s="235"/>
      <c r="Y110" s="235"/>
      <c r="Z110" s="235"/>
      <c r="AA110" s="235"/>
      <c r="AB110" s="235"/>
      <c r="AC110" s="235"/>
      <c r="AD110" s="235"/>
      <c r="AE110" s="237"/>
    </row>
    <row r="111" spans="1:31" x14ac:dyDescent="0.65">
      <c r="A111" s="227"/>
      <c r="B111" s="235"/>
      <c r="C111" s="235"/>
      <c r="D111" s="235"/>
      <c r="E111" s="242" t="s">
        <v>765</v>
      </c>
      <c r="F111" s="242"/>
      <c r="G111" s="242"/>
      <c r="H111" s="242"/>
      <c r="I111" s="242"/>
      <c r="J111" s="242"/>
      <c r="K111" s="242"/>
      <c r="L111" s="242"/>
      <c r="M111" s="242"/>
      <c r="N111" s="242"/>
      <c r="O111" s="242"/>
      <c r="P111" s="242"/>
      <c r="Q111" s="242"/>
      <c r="R111" s="242"/>
      <c r="S111" s="249"/>
      <c r="T111" s="235"/>
      <c r="U111" s="235"/>
      <c r="V111" s="235"/>
      <c r="W111" s="235"/>
      <c r="X111" s="235"/>
      <c r="Y111" s="235"/>
      <c r="Z111" s="235"/>
      <c r="AA111" s="235"/>
      <c r="AB111" s="235"/>
      <c r="AC111" s="235"/>
      <c r="AD111" s="235"/>
      <c r="AE111" s="237"/>
    </row>
    <row r="112" spans="1:31" x14ac:dyDescent="0.65">
      <c r="A112" s="227"/>
      <c r="B112" s="235"/>
      <c r="C112" s="235"/>
      <c r="D112" s="250"/>
      <c r="E112" s="250"/>
      <c r="F112" s="250"/>
      <c r="G112" s="250"/>
      <c r="H112" s="250"/>
      <c r="I112" s="250"/>
      <c r="J112" s="250"/>
      <c r="K112" s="250"/>
      <c r="L112" s="250"/>
      <c r="M112" s="250"/>
      <c r="N112" s="250"/>
      <c r="O112" s="250"/>
      <c r="P112" s="250"/>
      <c r="Q112" s="250"/>
      <c r="R112" s="250"/>
      <c r="S112" s="235"/>
      <c r="T112" s="235"/>
      <c r="U112" s="235"/>
      <c r="V112" s="235"/>
      <c r="W112" s="235"/>
      <c r="X112" s="235"/>
      <c r="Y112" s="235"/>
      <c r="Z112" s="235"/>
      <c r="AA112" s="235"/>
      <c r="AB112" s="235"/>
      <c r="AC112" s="235"/>
      <c r="AD112" s="235"/>
      <c r="AE112" s="237"/>
    </row>
    <row r="113" spans="1:31" x14ac:dyDescent="0.65">
      <c r="A113" s="227"/>
      <c r="B113" s="235"/>
      <c r="C113" s="235"/>
      <c r="D113" s="251" t="s">
        <v>776</v>
      </c>
      <c r="E113" s="252"/>
      <c r="F113" s="252"/>
      <c r="G113" s="252"/>
      <c r="H113" s="252"/>
      <c r="I113" s="252"/>
      <c r="J113" s="252"/>
      <c r="K113" s="252"/>
      <c r="L113" s="252"/>
      <c r="M113" s="252"/>
      <c r="N113" s="252"/>
      <c r="O113" s="252"/>
      <c r="P113" s="252"/>
      <c r="Q113" s="252"/>
      <c r="R113" s="252"/>
      <c r="S113" s="235"/>
      <c r="T113" s="235"/>
      <c r="U113" s="235"/>
      <c r="V113" s="235"/>
      <c r="W113" s="235"/>
      <c r="X113" s="235"/>
      <c r="Y113" s="235"/>
      <c r="Z113" s="235"/>
      <c r="AA113" s="235"/>
      <c r="AB113" s="235"/>
      <c r="AC113" s="235"/>
      <c r="AD113" s="235"/>
      <c r="AE113" s="237"/>
    </row>
    <row r="114" spans="1:31" x14ac:dyDescent="0.65">
      <c r="A114" s="227"/>
      <c r="B114" s="235"/>
      <c r="C114" s="235"/>
      <c r="D114" s="235"/>
      <c r="E114" s="235"/>
      <c r="F114" s="235"/>
      <c r="G114" s="235"/>
      <c r="H114" s="235"/>
      <c r="I114" s="235"/>
      <c r="J114" s="235"/>
      <c r="K114" s="235"/>
      <c r="L114" s="235"/>
      <c r="M114" s="235"/>
      <c r="N114" s="235"/>
      <c r="O114" s="235"/>
      <c r="P114" s="235"/>
      <c r="Q114" s="235"/>
      <c r="R114" s="235"/>
      <c r="S114" s="235"/>
      <c r="T114" s="235"/>
      <c r="U114" s="235"/>
      <c r="V114" s="235"/>
      <c r="W114" s="235"/>
      <c r="X114" s="235"/>
      <c r="Y114" s="235"/>
      <c r="Z114" s="235"/>
      <c r="AA114" s="235"/>
      <c r="AB114" s="235"/>
      <c r="AC114" s="235"/>
      <c r="AD114" s="235"/>
      <c r="AE114" s="237"/>
    </row>
    <row r="115" spans="1:31" x14ac:dyDescent="0.65">
      <c r="A115" s="227"/>
      <c r="B115" s="235"/>
      <c r="C115" s="235"/>
      <c r="D115" s="235"/>
      <c r="E115" s="235"/>
      <c r="F115" s="235"/>
      <c r="G115" s="235"/>
      <c r="H115" s="235"/>
      <c r="I115" s="235"/>
      <c r="J115" s="235"/>
      <c r="K115" s="235"/>
      <c r="L115" s="235"/>
      <c r="M115" s="235"/>
      <c r="N115" s="235"/>
      <c r="O115" s="235"/>
      <c r="P115" s="235"/>
      <c r="Q115" s="235"/>
      <c r="R115" s="235"/>
      <c r="S115" s="235"/>
      <c r="T115" s="235"/>
      <c r="U115" s="235"/>
      <c r="V115" s="235"/>
      <c r="W115" s="235"/>
      <c r="X115" s="235"/>
      <c r="Y115" s="235"/>
      <c r="Z115" s="235"/>
      <c r="AA115" s="235"/>
      <c r="AB115" s="235"/>
      <c r="AC115" s="235"/>
      <c r="AD115" s="235"/>
      <c r="AE115" s="237"/>
    </row>
    <row r="116" spans="1:31" x14ac:dyDescent="0.65">
      <c r="A116" s="227"/>
      <c r="B116" s="235"/>
      <c r="C116" s="235"/>
      <c r="D116" s="235"/>
      <c r="E116" s="235"/>
      <c r="F116" s="235"/>
      <c r="G116" s="235"/>
      <c r="H116" s="235"/>
      <c r="I116" s="235"/>
      <c r="J116" s="235"/>
      <c r="K116" s="235"/>
      <c r="L116" s="235"/>
      <c r="M116" s="235"/>
      <c r="N116" s="235"/>
      <c r="O116" s="235"/>
      <c r="P116" s="235"/>
      <c r="Q116" s="235"/>
      <c r="R116" s="235"/>
      <c r="S116" s="235"/>
      <c r="T116" s="235"/>
      <c r="U116" s="235"/>
      <c r="V116" s="235"/>
      <c r="W116" s="235"/>
      <c r="X116" s="235"/>
      <c r="Y116" s="235"/>
      <c r="Z116" s="235"/>
      <c r="AA116" s="235"/>
      <c r="AB116" s="235"/>
      <c r="AC116" s="235"/>
      <c r="AD116" s="235"/>
      <c r="AE116" s="237"/>
    </row>
    <row r="117" spans="1:31" x14ac:dyDescent="0.65">
      <c r="A117" s="227"/>
      <c r="B117" s="235"/>
      <c r="C117" s="235"/>
      <c r="D117" s="235"/>
      <c r="E117" s="235"/>
      <c r="F117" s="235"/>
      <c r="G117" s="235"/>
      <c r="H117" s="235"/>
      <c r="I117" s="235"/>
      <c r="J117" s="235"/>
      <c r="K117" s="235"/>
      <c r="L117" s="235"/>
      <c r="M117" s="235"/>
      <c r="N117" s="235"/>
      <c r="O117" s="235"/>
      <c r="P117" s="235"/>
      <c r="Q117" s="235"/>
      <c r="R117" s="235"/>
      <c r="S117" s="235"/>
      <c r="T117" s="235"/>
      <c r="U117" s="235"/>
      <c r="V117" s="235"/>
      <c r="W117" s="235"/>
      <c r="X117" s="235"/>
      <c r="Y117" s="235"/>
      <c r="Z117" s="235"/>
      <c r="AA117" s="235"/>
      <c r="AB117" s="235"/>
      <c r="AC117" s="235"/>
      <c r="AD117" s="235"/>
      <c r="AE117" s="237"/>
    </row>
    <row r="118" spans="1:31" x14ac:dyDescent="0.65">
      <c r="A118" s="227"/>
      <c r="B118" s="235"/>
      <c r="C118" s="235"/>
      <c r="D118" s="235"/>
      <c r="E118" s="235"/>
      <c r="F118" s="235"/>
      <c r="G118" s="235"/>
      <c r="H118" s="235"/>
      <c r="I118" s="235"/>
      <c r="J118" s="235"/>
      <c r="K118" s="235"/>
      <c r="L118" s="235"/>
      <c r="M118" s="235"/>
      <c r="N118" s="235"/>
      <c r="O118" s="235"/>
      <c r="P118" s="235"/>
      <c r="Q118" s="235"/>
      <c r="R118" s="235"/>
      <c r="S118" s="235"/>
      <c r="T118" s="235"/>
      <c r="U118" s="235"/>
      <c r="V118" s="235"/>
      <c r="W118" s="235"/>
      <c r="X118" s="235"/>
      <c r="Y118" s="235"/>
      <c r="Z118" s="235"/>
      <c r="AA118" s="235"/>
      <c r="AB118" s="235"/>
      <c r="AC118" s="235"/>
      <c r="AD118" s="235"/>
      <c r="AE118" s="237"/>
    </row>
    <row r="119" spans="1:31" x14ac:dyDescent="0.65">
      <c r="A119" s="227"/>
      <c r="B119" s="235"/>
      <c r="C119" s="235"/>
      <c r="D119" s="234" t="s">
        <v>777</v>
      </c>
      <c r="E119" s="235"/>
      <c r="F119" s="235"/>
      <c r="G119" s="235"/>
      <c r="H119" s="235"/>
      <c r="I119" s="235"/>
      <c r="J119" s="235"/>
      <c r="K119" s="235"/>
      <c r="L119" s="235"/>
      <c r="M119" s="235"/>
      <c r="N119" s="235"/>
      <c r="O119" s="235"/>
      <c r="P119" s="235"/>
      <c r="Q119" s="235"/>
      <c r="R119" s="235"/>
      <c r="S119" s="235"/>
      <c r="T119" s="235"/>
      <c r="U119" s="235"/>
      <c r="V119" s="235"/>
      <c r="W119" s="235"/>
      <c r="X119" s="235"/>
      <c r="Y119" s="235"/>
      <c r="Z119" s="235"/>
      <c r="AA119" s="235"/>
      <c r="AB119" s="235"/>
      <c r="AC119" s="235"/>
      <c r="AD119" s="235"/>
      <c r="AE119" s="237"/>
    </row>
    <row r="120" spans="1:31" x14ac:dyDescent="0.65">
      <c r="A120" s="227"/>
      <c r="B120" s="235"/>
      <c r="C120" s="235"/>
      <c r="D120" s="235"/>
      <c r="E120" s="235"/>
      <c r="F120" s="235"/>
      <c r="G120" s="235"/>
      <c r="H120" s="235"/>
      <c r="I120" s="235"/>
      <c r="J120" s="235"/>
      <c r="K120" s="235"/>
      <c r="L120" s="235"/>
      <c r="M120" s="235"/>
      <c r="N120" s="235"/>
      <c r="O120" s="235"/>
      <c r="P120" s="235"/>
      <c r="Q120" s="235"/>
      <c r="R120" s="235"/>
      <c r="S120" s="235"/>
      <c r="T120" s="235"/>
      <c r="U120" s="235"/>
      <c r="V120" s="235"/>
      <c r="W120" s="235"/>
      <c r="X120" s="235"/>
      <c r="Y120" s="235"/>
      <c r="Z120" s="235"/>
      <c r="AA120" s="235"/>
      <c r="AB120" s="235"/>
      <c r="AC120" s="235"/>
      <c r="AD120" s="235"/>
      <c r="AE120" s="237"/>
    </row>
    <row r="121" spans="1:31" x14ac:dyDescent="0.65">
      <c r="A121" s="227"/>
      <c r="B121" s="235"/>
      <c r="C121" s="235"/>
      <c r="D121" s="235"/>
      <c r="E121" s="235"/>
      <c r="F121" s="235"/>
      <c r="G121" s="235"/>
      <c r="H121" s="235"/>
      <c r="I121" s="235"/>
      <c r="J121" s="235"/>
      <c r="K121" s="235"/>
      <c r="L121" s="235"/>
      <c r="M121" s="235"/>
      <c r="N121" s="235"/>
      <c r="O121" s="235"/>
      <c r="P121" s="235"/>
      <c r="Q121" s="235"/>
      <c r="R121" s="235"/>
      <c r="S121" s="235"/>
      <c r="T121" s="235"/>
      <c r="U121" s="235"/>
      <c r="V121" s="235"/>
      <c r="W121" s="235"/>
      <c r="X121" s="235"/>
      <c r="Y121" s="235"/>
      <c r="Z121" s="235"/>
      <c r="AA121" s="235"/>
      <c r="AB121" s="235"/>
      <c r="AC121" s="235"/>
      <c r="AD121" s="235"/>
      <c r="AE121" s="237"/>
    </row>
    <row r="122" spans="1:31" x14ac:dyDescent="0.65">
      <c r="A122" s="227"/>
      <c r="B122" s="235"/>
      <c r="C122" s="235"/>
      <c r="D122" s="235"/>
      <c r="E122" s="235"/>
      <c r="F122" s="235"/>
      <c r="G122" s="235"/>
      <c r="H122" s="235"/>
      <c r="I122" s="235"/>
      <c r="J122" s="235"/>
      <c r="K122" s="235"/>
      <c r="L122" s="235"/>
      <c r="M122" s="235"/>
      <c r="N122" s="235"/>
      <c r="O122" s="235"/>
      <c r="P122" s="235"/>
      <c r="Q122" s="235"/>
      <c r="R122" s="235"/>
      <c r="S122" s="235"/>
      <c r="T122" s="235"/>
      <c r="U122" s="235"/>
      <c r="V122" s="235"/>
      <c r="W122" s="235"/>
      <c r="X122" s="235"/>
      <c r="Y122" s="235"/>
      <c r="Z122" s="235"/>
      <c r="AA122" s="235"/>
      <c r="AB122" s="235"/>
      <c r="AC122" s="235"/>
      <c r="AD122" s="235"/>
      <c r="AE122" s="237"/>
    </row>
    <row r="123" spans="1:31" x14ac:dyDescent="0.65">
      <c r="A123" s="227"/>
      <c r="B123" s="235"/>
      <c r="C123" s="235"/>
      <c r="D123" s="235"/>
      <c r="E123" s="235"/>
      <c r="F123" s="235"/>
      <c r="G123" s="235"/>
      <c r="H123" s="235"/>
      <c r="I123" s="235"/>
      <c r="J123" s="235"/>
      <c r="K123" s="235"/>
      <c r="L123" s="235"/>
      <c r="M123" s="235"/>
      <c r="N123" s="235"/>
      <c r="O123" s="235"/>
      <c r="P123" s="235"/>
      <c r="Q123" s="235"/>
      <c r="R123" s="235"/>
      <c r="S123" s="235"/>
      <c r="T123" s="235"/>
      <c r="U123" s="235"/>
      <c r="V123" s="235"/>
      <c r="W123" s="235"/>
      <c r="X123" s="235"/>
      <c r="Y123" s="235"/>
      <c r="Z123" s="235"/>
      <c r="AA123" s="235"/>
      <c r="AB123" s="235"/>
      <c r="AC123" s="235"/>
      <c r="AD123" s="235"/>
      <c r="AE123" s="237"/>
    </row>
    <row r="124" spans="1:31" x14ac:dyDescent="0.65">
      <c r="A124" s="227"/>
      <c r="B124" s="235"/>
      <c r="C124" s="235"/>
      <c r="D124" s="235"/>
      <c r="E124" s="235"/>
      <c r="F124" s="235"/>
      <c r="G124" s="235"/>
      <c r="H124" s="235"/>
      <c r="I124" s="235"/>
      <c r="J124" s="235"/>
      <c r="K124" s="235"/>
      <c r="L124" s="235"/>
      <c r="M124" s="235"/>
      <c r="N124" s="235"/>
      <c r="O124" s="235"/>
      <c r="P124" s="235"/>
      <c r="Q124" s="235"/>
      <c r="R124" s="235"/>
      <c r="S124" s="235"/>
      <c r="T124" s="235"/>
      <c r="U124" s="235"/>
      <c r="V124" s="235"/>
      <c r="W124" s="235"/>
      <c r="X124" s="235"/>
      <c r="Y124" s="235"/>
      <c r="Z124" s="235"/>
      <c r="AA124" s="235"/>
      <c r="AB124" s="235"/>
      <c r="AC124" s="235"/>
      <c r="AD124" s="235"/>
      <c r="AE124" s="237"/>
    </row>
    <row r="125" spans="1:31" ht="30" thickBot="1" x14ac:dyDescent="0.7">
      <c r="A125" s="253"/>
      <c r="B125" s="254"/>
      <c r="C125" s="254"/>
      <c r="D125" s="254"/>
      <c r="E125" s="254"/>
      <c r="F125" s="254"/>
      <c r="G125" s="254"/>
      <c r="H125" s="254"/>
      <c r="I125" s="254"/>
      <c r="J125" s="254"/>
      <c r="K125" s="254"/>
      <c r="L125" s="254"/>
      <c r="M125" s="254"/>
      <c r="N125" s="254"/>
      <c r="O125" s="254"/>
      <c r="P125" s="254"/>
      <c r="Q125" s="254"/>
      <c r="R125" s="254"/>
      <c r="S125" s="254"/>
      <c r="T125" s="254"/>
      <c r="U125" s="254"/>
      <c r="V125" s="254"/>
      <c r="W125" s="254"/>
      <c r="X125" s="254"/>
      <c r="Y125" s="254"/>
      <c r="Z125" s="254"/>
      <c r="AA125" s="254"/>
      <c r="AB125" s="254"/>
      <c r="AC125" s="254"/>
      <c r="AD125" s="254"/>
      <c r="AE125" s="255"/>
    </row>
  </sheetData>
  <sheetProtection sheet="1" objects="1" scenarios="1"/>
  <mergeCells count="19">
    <mergeCell ref="E102:R102"/>
    <mergeCell ref="E103:R104"/>
    <mergeCell ref="D112:R112"/>
    <mergeCell ref="E107:R107"/>
    <mergeCell ref="E110:R110"/>
    <mergeCell ref="E111:R111"/>
    <mergeCell ref="E109:R109"/>
    <mergeCell ref="E108:R108"/>
    <mergeCell ref="D27:R27"/>
    <mergeCell ref="D74:R74"/>
    <mergeCell ref="C11:R11"/>
    <mergeCell ref="C83:H83"/>
    <mergeCell ref="D75:R75"/>
    <mergeCell ref="D76:R76"/>
    <mergeCell ref="D77:R77"/>
    <mergeCell ref="D78:R78"/>
    <mergeCell ref="D79:R79"/>
    <mergeCell ref="D80:R80"/>
    <mergeCell ref="A1:AE4"/>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05DEC0-F9DC-4840-9063-B5DA4CBA52C4}">
  <dimension ref="A1:AW612"/>
  <sheetViews>
    <sheetView zoomScale="70" zoomScaleNormal="70" workbookViewId="0">
      <selection activeCell="F38" sqref="F38"/>
    </sheetView>
  </sheetViews>
  <sheetFormatPr defaultColWidth="8.88671875" defaultRowHeight="14.4" x14ac:dyDescent="0.3"/>
  <cols>
    <col min="1" max="1" width="1.88671875" style="136" customWidth="1"/>
    <col min="2" max="2" width="19.6640625" customWidth="1"/>
    <col min="3" max="3" width="20.44140625" customWidth="1"/>
    <col min="4" max="4" width="21.44140625" customWidth="1"/>
    <col min="5" max="5" width="21.109375" customWidth="1"/>
    <col min="6" max="6" width="23.109375" customWidth="1"/>
    <col min="7" max="7" width="27.5546875" customWidth="1"/>
    <col min="8" max="8" width="1.88671875" style="136" customWidth="1"/>
    <col min="9" max="49" width="8.88671875" style="136"/>
  </cols>
  <sheetData>
    <row r="1" spans="1:9" x14ac:dyDescent="0.3">
      <c r="A1" s="144"/>
      <c r="B1" s="147"/>
      <c r="C1" s="147"/>
      <c r="D1" s="147"/>
      <c r="E1" s="147"/>
      <c r="F1" s="147"/>
      <c r="G1" s="147"/>
      <c r="H1" s="147"/>
      <c r="I1" s="138"/>
    </row>
    <row r="2" spans="1:9" ht="18" x14ac:dyDescent="0.35">
      <c r="A2" s="145"/>
      <c r="B2" s="165" t="s">
        <v>0</v>
      </c>
      <c r="C2" s="165"/>
      <c r="D2" s="165"/>
      <c r="E2" s="165"/>
      <c r="F2" s="165"/>
      <c r="G2" s="165"/>
      <c r="H2" s="138"/>
      <c r="I2" s="138"/>
    </row>
    <row r="3" spans="1:9" x14ac:dyDescent="0.3">
      <c r="A3" s="145"/>
      <c r="B3" s="138"/>
      <c r="C3" s="138"/>
      <c r="D3" s="138"/>
      <c r="E3" s="138"/>
      <c r="F3" s="138"/>
      <c r="G3" s="138"/>
      <c r="H3" s="138"/>
      <c r="I3" s="138"/>
    </row>
    <row r="4" spans="1:9" x14ac:dyDescent="0.3">
      <c r="A4" s="145"/>
      <c r="B4" s="138" t="s">
        <v>19</v>
      </c>
      <c r="C4" s="138"/>
      <c r="D4" s="138"/>
      <c r="E4" s="138"/>
      <c r="F4" s="138"/>
      <c r="G4" s="138"/>
      <c r="H4" s="138"/>
      <c r="I4" s="138"/>
    </row>
    <row r="5" spans="1:9" x14ac:dyDescent="0.3">
      <c r="A5" s="145"/>
      <c r="B5" s="138" t="s">
        <v>20</v>
      </c>
      <c r="C5" s="138"/>
      <c r="D5" s="138"/>
      <c r="E5" s="138"/>
      <c r="F5" s="138"/>
      <c r="G5" s="138"/>
      <c r="H5" s="138"/>
      <c r="I5" s="138"/>
    </row>
    <row r="6" spans="1:9" x14ac:dyDescent="0.3">
      <c r="A6" s="145"/>
      <c r="B6" s="138"/>
      <c r="C6" s="138"/>
      <c r="D6" s="138"/>
      <c r="E6" s="138"/>
      <c r="F6" s="138"/>
      <c r="G6" s="138"/>
      <c r="H6" s="138"/>
      <c r="I6" s="138"/>
    </row>
    <row r="7" spans="1:9" ht="15.6" x14ac:dyDescent="0.3">
      <c r="A7" s="145"/>
      <c r="B7" s="166" t="s">
        <v>1</v>
      </c>
      <c r="C7" s="166"/>
      <c r="D7" s="166"/>
      <c r="E7" s="166"/>
      <c r="F7" s="166"/>
      <c r="G7" s="166"/>
      <c r="H7" s="138"/>
      <c r="I7" s="138"/>
    </row>
    <row r="8" spans="1:9" x14ac:dyDescent="0.3">
      <c r="A8" s="145"/>
      <c r="B8" s="4" t="s">
        <v>2</v>
      </c>
      <c r="C8" s="4" t="s">
        <v>3</v>
      </c>
      <c r="D8" s="4" t="s">
        <v>4</v>
      </c>
      <c r="E8" s="4" t="s">
        <v>5</v>
      </c>
      <c r="F8" s="4" t="s">
        <v>6</v>
      </c>
      <c r="G8" s="4" t="s">
        <v>7</v>
      </c>
      <c r="H8" s="138"/>
      <c r="I8" s="138"/>
    </row>
    <row r="9" spans="1:9" x14ac:dyDescent="0.3">
      <c r="A9" s="145"/>
      <c r="B9" s="139" t="s">
        <v>24</v>
      </c>
      <c r="C9" s="139">
        <v>2</v>
      </c>
      <c r="D9" s="139">
        <v>1</v>
      </c>
      <c r="E9" s="140">
        <v>0.6</v>
      </c>
      <c r="F9" s="140">
        <v>0.85</v>
      </c>
      <c r="G9" s="108">
        <f>IFERROR(Table_Parametric_Estimates[[#This Row],[Effort Hours]]/Table_Parametric_Estimates[[#This Row],[Resource Quantity]]/Table_Parametric_Estimates[[#This Row],[% Available]]/Table_Parametric_Estimates[[#This Row],[Performance Factor]],"")</f>
        <v>3.9215686274509807</v>
      </c>
      <c r="H9" s="138"/>
      <c r="I9" s="138"/>
    </row>
    <row r="10" spans="1:9" x14ac:dyDescent="0.3">
      <c r="A10" s="145"/>
      <c r="B10" s="139"/>
      <c r="C10" s="139"/>
      <c r="D10" s="139"/>
      <c r="E10" s="139"/>
      <c r="F10" s="139"/>
      <c r="G10" s="58" t="str">
        <f>IFERROR(Table_Parametric_Estimates[[#This Row],[Effort Hours]]/Table_Parametric_Estimates[[#This Row],[Resource Quantity]]/Table_Parametric_Estimates[[#This Row],[% Available]]/Table_Parametric_Estimates[[#This Row],[Performance Factor]],"")</f>
        <v/>
      </c>
      <c r="H10" s="138"/>
      <c r="I10" s="138"/>
    </row>
    <row r="11" spans="1:9" x14ac:dyDescent="0.3">
      <c r="A11" s="145"/>
      <c r="B11" s="139"/>
      <c r="C11" s="139"/>
      <c r="D11" s="139"/>
      <c r="E11" s="139"/>
      <c r="F11" s="139"/>
      <c r="G11" s="58" t="str">
        <f>IFERROR(Table_Parametric_Estimates[[#This Row],[Effort Hours]]/Table_Parametric_Estimates[[#This Row],[Resource Quantity]]/Table_Parametric_Estimates[[#This Row],[% Available]]/Table_Parametric_Estimates[[#This Row],[Performance Factor]],"")</f>
        <v/>
      </c>
      <c r="H11" s="138"/>
      <c r="I11" s="138"/>
    </row>
    <row r="12" spans="1:9" x14ac:dyDescent="0.3">
      <c r="A12" s="145"/>
      <c r="B12" s="139"/>
      <c r="C12" s="139"/>
      <c r="D12" s="139"/>
      <c r="E12" s="139"/>
      <c r="F12" s="139"/>
      <c r="G12" s="58" t="str">
        <f>IFERROR(Table_Parametric_Estimates[[#This Row],[Effort Hours]]/Table_Parametric_Estimates[[#This Row],[Resource Quantity]]/Table_Parametric_Estimates[[#This Row],[% Available]]/Table_Parametric_Estimates[[#This Row],[Performance Factor]],"")</f>
        <v/>
      </c>
      <c r="H12" s="138"/>
      <c r="I12" s="138"/>
    </row>
    <row r="13" spans="1:9" x14ac:dyDescent="0.3">
      <c r="A13" s="145"/>
      <c r="B13" s="139"/>
      <c r="C13" s="139"/>
      <c r="D13" s="139"/>
      <c r="E13" s="139"/>
      <c r="F13" s="139"/>
      <c r="G13" s="58" t="str">
        <f>IFERROR(Table_Parametric_Estimates[[#This Row],[Effort Hours]]/Table_Parametric_Estimates[[#This Row],[Resource Quantity]]/Table_Parametric_Estimates[[#This Row],[% Available]]/Table_Parametric_Estimates[[#This Row],[Performance Factor]],"")</f>
        <v/>
      </c>
      <c r="H13" s="138"/>
      <c r="I13" s="138"/>
    </row>
    <row r="14" spans="1:9" x14ac:dyDescent="0.3">
      <c r="A14" s="145"/>
      <c r="B14" s="139"/>
      <c r="C14" s="139"/>
      <c r="D14" s="139"/>
      <c r="E14" s="139"/>
      <c r="F14" s="139"/>
      <c r="G14" s="58" t="str">
        <f>IFERROR(Table_Parametric_Estimates[[#This Row],[Effort Hours]]/Table_Parametric_Estimates[[#This Row],[Resource Quantity]]/Table_Parametric_Estimates[[#This Row],[% Available]]/Table_Parametric_Estimates[[#This Row],[Performance Factor]],"")</f>
        <v/>
      </c>
      <c r="H14" s="138"/>
      <c r="I14" s="138"/>
    </row>
    <row r="15" spans="1:9" x14ac:dyDescent="0.3">
      <c r="A15" s="145"/>
      <c r="B15" s="139"/>
      <c r="C15" s="139"/>
      <c r="D15" s="139"/>
      <c r="E15" s="139"/>
      <c r="F15" s="139"/>
      <c r="G15" s="58" t="str">
        <f>IFERROR(Table_Parametric_Estimates[[#This Row],[Effort Hours]]/Table_Parametric_Estimates[[#This Row],[Resource Quantity]]/Table_Parametric_Estimates[[#This Row],[% Available]]/Table_Parametric_Estimates[[#This Row],[Performance Factor]],"")</f>
        <v/>
      </c>
      <c r="H15" s="138"/>
      <c r="I15" s="138"/>
    </row>
    <row r="16" spans="1:9" x14ac:dyDescent="0.3">
      <c r="A16" s="145"/>
      <c r="B16" s="143"/>
      <c r="C16" s="143"/>
      <c r="D16" s="143"/>
      <c r="E16" s="143"/>
      <c r="F16" s="143"/>
      <c r="G16" s="143"/>
      <c r="H16" s="138"/>
      <c r="I16" s="138"/>
    </row>
    <row r="17" spans="1:9" ht="15.6" x14ac:dyDescent="0.3">
      <c r="A17" s="145"/>
      <c r="B17" s="166" t="s">
        <v>12</v>
      </c>
      <c r="C17" s="166"/>
      <c r="D17" s="166"/>
      <c r="E17" s="166"/>
      <c r="F17" s="166"/>
      <c r="G17" s="166"/>
      <c r="H17" s="138"/>
      <c r="I17" s="138"/>
    </row>
    <row r="18" spans="1:9" x14ac:dyDescent="0.3">
      <c r="A18" s="145"/>
      <c r="B18" s="4" t="s">
        <v>2</v>
      </c>
      <c r="C18" s="4" t="s">
        <v>701</v>
      </c>
      <c r="D18" s="4" t="s">
        <v>9</v>
      </c>
      <c r="E18" s="4" t="s">
        <v>702</v>
      </c>
      <c r="F18" s="4" t="s">
        <v>11</v>
      </c>
      <c r="G18" s="4" t="s">
        <v>7</v>
      </c>
      <c r="H18" s="138"/>
      <c r="I18" s="138"/>
    </row>
    <row r="19" spans="1:9" x14ac:dyDescent="0.3">
      <c r="A19" s="145"/>
      <c r="B19" s="139" t="s">
        <v>21</v>
      </c>
      <c r="C19" s="139" t="s">
        <v>22</v>
      </c>
      <c r="D19" s="139">
        <v>4</v>
      </c>
      <c r="E19" s="139" t="s">
        <v>23</v>
      </c>
      <c r="F19" s="139">
        <v>1.5</v>
      </c>
      <c r="G19" s="58">
        <f>Table_Analogous_Estimating[[#This Row],[Previous Duration]]*Table_Analogous_Estimating[[#This Row],[Multiplier]]</f>
        <v>6</v>
      </c>
      <c r="H19" s="138"/>
      <c r="I19" s="138"/>
    </row>
    <row r="20" spans="1:9" x14ac:dyDescent="0.3">
      <c r="A20" s="145"/>
      <c r="B20" s="139"/>
      <c r="C20" s="139"/>
      <c r="D20" s="139"/>
      <c r="E20" s="139"/>
      <c r="F20" s="139"/>
      <c r="G20" s="58">
        <f>Table_Analogous_Estimating[[#This Row],[Previous Duration]]*Table_Analogous_Estimating[[#This Row],[Multiplier]]</f>
        <v>0</v>
      </c>
      <c r="H20" s="138"/>
      <c r="I20" s="138"/>
    </row>
    <row r="21" spans="1:9" x14ac:dyDescent="0.3">
      <c r="A21" s="145"/>
      <c r="B21" s="139"/>
      <c r="C21" s="139"/>
      <c r="D21" s="139"/>
      <c r="E21" s="139"/>
      <c r="F21" s="139"/>
      <c r="G21" s="58">
        <f>Table_Analogous_Estimating[[#This Row],[Previous Duration]]*Table_Analogous_Estimating[[#This Row],[Multiplier]]</f>
        <v>0</v>
      </c>
      <c r="H21" s="138"/>
      <c r="I21" s="138"/>
    </row>
    <row r="22" spans="1:9" x14ac:dyDescent="0.3">
      <c r="A22" s="145"/>
      <c r="B22" s="139"/>
      <c r="C22" s="139"/>
      <c r="D22" s="139"/>
      <c r="E22" s="139"/>
      <c r="F22" s="139"/>
      <c r="G22" s="58">
        <f>Table_Analogous_Estimating[[#This Row],[Previous Duration]]*Table_Analogous_Estimating[[#This Row],[Multiplier]]</f>
        <v>0</v>
      </c>
      <c r="H22" s="138"/>
      <c r="I22" s="138"/>
    </row>
    <row r="23" spans="1:9" x14ac:dyDescent="0.3">
      <c r="A23" s="145"/>
      <c r="B23" s="139"/>
      <c r="C23" s="139"/>
      <c r="D23" s="139"/>
      <c r="E23" s="139"/>
      <c r="F23" s="139"/>
      <c r="G23" s="58">
        <f>Table_Analogous_Estimating[[#This Row],[Previous Duration]]*Table_Analogous_Estimating[[#This Row],[Multiplier]]</f>
        <v>0</v>
      </c>
      <c r="H23" s="138"/>
      <c r="I23" s="138"/>
    </row>
    <row r="24" spans="1:9" x14ac:dyDescent="0.3">
      <c r="A24" s="145"/>
      <c r="B24" s="139"/>
      <c r="C24" s="139"/>
      <c r="D24" s="139"/>
      <c r="E24" s="139"/>
      <c r="F24" s="139"/>
      <c r="G24" s="58">
        <f>Table_Analogous_Estimating[[#This Row],[Previous Duration]]*Table_Analogous_Estimating[[#This Row],[Multiplier]]</f>
        <v>0</v>
      </c>
      <c r="H24" s="138"/>
      <c r="I24" s="138"/>
    </row>
    <row r="25" spans="1:9" x14ac:dyDescent="0.3">
      <c r="A25" s="145"/>
      <c r="B25" s="139"/>
      <c r="C25" s="139"/>
      <c r="D25" s="139"/>
      <c r="E25" s="139"/>
      <c r="F25" s="139"/>
      <c r="G25" s="58">
        <f>Table_Analogous_Estimating[[#This Row],[Previous Duration]]*Table_Analogous_Estimating[[#This Row],[Multiplier]]</f>
        <v>0</v>
      </c>
      <c r="H25" s="138"/>
      <c r="I25" s="138"/>
    </row>
    <row r="26" spans="1:9" x14ac:dyDescent="0.3">
      <c r="A26" s="145"/>
      <c r="B26" s="143"/>
      <c r="C26" s="143"/>
      <c r="D26" s="143"/>
      <c r="E26" s="143"/>
      <c r="F26" s="143"/>
      <c r="G26" s="143"/>
      <c r="H26" s="138"/>
      <c r="I26" s="138"/>
    </row>
    <row r="27" spans="1:9" ht="15.6" x14ac:dyDescent="0.3">
      <c r="A27" s="145"/>
      <c r="B27" s="166" t="s">
        <v>13</v>
      </c>
      <c r="C27" s="166"/>
      <c r="D27" s="166"/>
      <c r="E27" s="166"/>
      <c r="F27" s="166"/>
      <c r="G27" s="166"/>
      <c r="H27" s="138"/>
      <c r="I27" s="138"/>
    </row>
    <row r="28" spans="1:9" x14ac:dyDescent="0.3">
      <c r="A28" s="145"/>
      <c r="B28" s="4" t="s">
        <v>2</v>
      </c>
      <c r="C28" s="23" t="s">
        <v>14</v>
      </c>
      <c r="D28" s="23" t="s">
        <v>15</v>
      </c>
      <c r="E28" s="23" t="s">
        <v>16</v>
      </c>
      <c r="F28" s="4" t="s">
        <v>17</v>
      </c>
      <c r="G28" s="23" t="s">
        <v>18</v>
      </c>
      <c r="H28" s="138"/>
      <c r="I28" s="138"/>
    </row>
    <row r="29" spans="1:9" x14ac:dyDescent="0.3">
      <c r="A29" s="145"/>
      <c r="B29" s="139" t="s">
        <v>339</v>
      </c>
      <c r="C29" s="141">
        <v>1</v>
      </c>
      <c r="D29" s="141">
        <v>2</v>
      </c>
      <c r="E29" s="141">
        <v>3</v>
      </c>
      <c r="F29" s="142" t="s">
        <v>666</v>
      </c>
      <c r="G29" s="133">
        <f>ROUNDUP((Table_ThreePoint_Estimates[[#This Row],[Optimistic Duration]]+4*Table_ThreePoint_Estimates[[#This Row],[Most Likely Duration]]+Table_ThreePoint_Estimates[[#This Row],[Pessimistic Duration]])/6,0)</f>
        <v>2</v>
      </c>
      <c r="H29" s="138"/>
      <c r="I29" s="138"/>
    </row>
    <row r="30" spans="1:9" x14ac:dyDescent="0.3">
      <c r="A30" s="145"/>
      <c r="B30" s="139" t="s">
        <v>190</v>
      </c>
      <c r="C30" s="139">
        <v>1</v>
      </c>
      <c r="D30" s="139">
        <v>2</v>
      </c>
      <c r="E30" s="139">
        <v>3</v>
      </c>
      <c r="F30" s="142" t="s">
        <v>666</v>
      </c>
      <c r="G30" s="133">
        <f>ROUNDUP((Table_ThreePoint_Estimates[[#This Row],[Optimistic Duration]]+4*Table_ThreePoint_Estimates[[#This Row],[Most Likely Duration]]+Table_ThreePoint_Estimates[[#This Row],[Pessimistic Duration]])/6,0)</f>
        <v>2</v>
      </c>
      <c r="H30" s="138"/>
      <c r="I30" s="138"/>
    </row>
    <row r="31" spans="1:9" x14ac:dyDescent="0.3">
      <c r="A31" s="145"/>
      <c r="B31" s="139" t="s">
        <v>548</v>
      </c>
      <c r="C31" s="139">
        <v>1</v>
      </c>
      <c r="D31" s="139">
        <v>2</v>
      </c>
      <c r="E31" s="139">
        <v>3</v>
      </c>
      <c r="F31" s="142" t="s">
        <v>666</v>
      </c>
      <c r="G31" s="133">
        <f>ROUNDUP((Table_ThreePoint_Estimates[[#This Row],[Optimistic Duration]]+4*Table_ThreePoint_Estimates[[#This Row],[Most Likely Duration]]+Table_ThreePoint_Estimates[[#This Row],[Pessimistic Duration]])/6,0)</f>
        <v>2</v>
      </c>
      <c r="H31" s="138"/>
      <c r="I31" s="138"/>
    </row>
    <row r="32" spans="1:9" x14ac:dyDescent="0.3">
      <c r="A32" s="145"/>
      <c r="B32" s="139" t="s">
        <v>191</v>
      </c>
      <c r="C32" s="139">
        <v>7</v>
      </c>
      <c r="D32" s="139">
        <v>10</v>
      </c>
      <c r="E32" s="139">
        <v>14</v>
      </c>
      <c r="F32" s="142" t="s">
        <v>666</v>
      </c>
      <c r="G32" s="133">
        <f>ROUNDUP((Table_ThreePoint_Estimates[[#This Row],[Optimistic Duration]]+4*Table_ThreePoint_Estimates[[#This Row],[Most Likely Duration]]+Table_ThreePoint_Estimates[[#This Row],[Pessimistic Duration]])/6,0)</f>
        <v>11</v>
      </c>
      <c r="H32" s="138"/>
      <c r="I32" s="138"/>
    </row>
    <row r="33" spans="1:9" x14ac:dyDescent="0.3">
      <c r="A33" s="145"/>
      <c r="B33" s="139" t="s">
        <v>192</v>
      </c>
      <c r="C33" s="139">
        <v>7</v>
      </c>
      <c r="D33" s="139">
        <v>7</v>
      </c>
      <c r="E33" s="139">
        <v>10</v>
      </c>
      <c r="F33" s="142" t="s">
        <v>666</v>
      </c>
      <c r="G33" s="133">
        <f>ROUNDUP((Table_ThreePoint_Estimates[[#This Row],[Optimistic Duration]]+4*Table_ThreePoint_Estimates[[#This Row],[Most Likely Duration]]+Table_ThreePoint_Estimates[[#This Row],[Pessimistic Duration]])/6,0)</f>
        <v>8</v>
      </c>
      <c r="H33" s="138"/>
      <c r="I33" s="138"/>
    </row>
    <row r="34" spans="1:9" x14ac:dyDescent="0.3">
      <c r="A34" s="145"/>
      <c r="B34" s="139" t="s">
        <v>193</v>
      </c>
      <c r="C34" s="139">
        <v>3</v>
      </c>
      <c r="D34" s="139">
        <v>5</v>
      </c>
      <c r="E34" s="139">
        <v>7</v>
      </c>
      <c r="F34" s="142" t="s">
        <v>666</v>
      </c>
      <c r="G34" s="133">
        <f>ROUNDUP((Table_ThreePoint_Estimates[[#This Row],[Optimistic Duration]]+4*Table_ThreePoint_Estimates[[#This Row],[Most Likely Duration]]+Table_ThreePoint_Estimates[[#This Row],[Pessimistic Duration]])/6,0)</f>
        <v>5</v>
      </c>
      <c r="H34" s="138"/>
      <c r="I34" s="138"/>
    </row>
    <row r="35" spans="1:9" x14ac:dyDescent="0.3">
      <c r="A35" s="145"/>
      <c r="B35" s="139" t="s">
        <v>194</v>
      </c>
      <c r="C35" s="139">
        <v>4</v>
      </c>
      <c r="D35" s="139">
        <v>6</v>
      </c>
      <c r="E35" s="139">
        <v>9</v>
      </c>
      <c r="F35" s="142" t="s">
        <v>666</v>
      </c>
      <c r="G35" s="133">
        <f>ROUNDUP((Table_ThreePoint_Estimates[[#This Row],[Optimistic Duration]]+4*Table_ThreePoint_Estimates[[#This Row],[Most Likely Duration]]+Table_ThreePoint_Estimates[[#This Row],[Pessimistic Duration]])/6,0)</f>
        <v>7</v>
      </c>
      <c r="H35" s="138"/>
      <c r="I35" s="138"/>
    </row>
    <row r="36" spans="1:9" x14ac:dyDescent="0.3">
      <c r="A36" s="145"/>
      <c r="B36" s="139" t="s">
        <v>195</v>
      </c>
      <c r="C36" s="139">
        <v>2</v>
      </c>
      <c r="D36" s="139">
        <v>3</v>
      </c>
      <c r="E36" s="139">
        <v>10</v>
      </c>
      <c r="F36" s="142" t="s">
        <v>666</v>
      </c>
      <c r="G36" s="133">
        <f>ROUNDUP((Table_ThreePoint_Estimates[[#This Row],[Optimistic Duration]]+4*Table_ThreePoint_Estimates[[#This Row],[Most Likely Duration]]+Table_ThreePoint_Estimates[[#This Row],[Pessimistic Duration]])/6,0)</f>
        <v>4</v>
      </c>
      <c r="H36" s="138"/>
      <c r="I36" s="138"/>
    </row>
    <row r="37" spans="1:9" x14ac:dyDescent="0.3">
      <c r="A37" s="145"/>
      <c r="B37" s="139" t="s">
        <v>196</v>
      </c>
      <c r="C37" s="139">
        <v>2</v>
      </c>
      <c r="D37" s="139">
        <v>3</v>
      </c>
      <c r="E37" s="139">
        <v>7</v>
      </c>
      <c r="F37" s="142" t="s">
        <v>666</v>
      </c>
      <c r="G37" s="133">
        <f>ROUNDUP((Table_ThreePoint_Estimates[[#This Row],[Optimistic Duration]]+4*Table_ThreePoint_Estimates[[#This Row],[Most Likely Duration]]+Table_ThreePoint_Estimates[[#This Row],[Pessimistic Duration]])/6,0)</f>
        <v>4</v>
      </c>
      <c r="H37" s="138"/>
      <c r="I37" s="138"/>
    </row>
    <row r="38" spans="1:9" x14ac:dyDescent="0.3">
      <c r="A38" s="145"/>
      <c r="B38" s="139" t="s">
        <v>197</v>
      </c>
      <c r="C38" s="139">
        <v>2</v>
      </c>
      <c r="D38" s="139">
        <v>3</v>
      </c>
      <c r="E38" s="139">
        <v>7</v>
      </c>
      <c r="F38" s="142" t="s">
        <v>666</v>
      </c>
      <c r="G38" s="133">
        <f>ROUNDUP((Table_ThreePoint_Estimates[[#This Row],[Optimistic Duration]]+4*Table_ThreePoint_Estimates[[#This Row],[Most Likely Duration]]+Table_ThreePoint_Estimates[[#This Row],[Pessimistic Duration]])/6,0)</f>
        <v>4</v>
      </c>
      <c r="H38" s="138"/>
      <c r="I38" s="138"/>
    </row>
    <row r="39" spans="1:9" ht="15" thickBot="1" x14ac:dyDescent="0.35">
      <c r="A39" s="146"/>
      <c r="B39" s="139" t="s">
        <v>198</v>
      </c>
      <c r="C39" s="139">
        <v>6</v>
      </c>
      <c r="D39" s="139">
        <v>8</v>
      </c>
      <c r="E39" s="139">
        <v>10</v>
      </c>
      <c r="F39" s="142" t="s">
        <v>666</v>
      </c>
      <c r="G39" s="133">
        <f>ROUNDUP((Table_ThreePoint_Estimates[[#This Row],[Optimistic Duration]]+4*Table_ThreePoint_Estimates[[#This Row],[Most Likely Duration]]+Table_ThreePoint_Estimates[[#This Row],[Pessimistic Duration]])/6,0)</f>
        <v>8</v>
      </c>
      <c r="H39" s="138"/>
    </row>
    <row r="40" spans="1:9" s="136" customFormat="1" x14ac:dyDescent="0.3"/>
    <row r="41" spans="1:9" s="136" customFormat="1" x14ac:dyDescent="0.3"/>
    <row r="42" spans="1:9" s="136" customFormat="1" x14ac:dyDescent="0.3"/>
    <row r="43" spans="1:9" s="136" customFormat="1" x14ac:dyDescent="0.3"/>
    <row r="44" spans="1:9" s="136" customFormat="1" x14ac:dyDescent="0.3"/>
    <row r="45" spans="1:9" s="136" customFormat="1" x14ac:dyDescent="0.3"/>
    <row r="46" spans="1:9" s="136" customFormat="1" x14ac:dyDescent="0.3"/>
    <row r="47" spans="1:9" s="136" customFormat="1" x14ac:dyDescent="0.3"/>
    <row r="48" spans="1:9" s="136" customFormat="1" x14ac:dyDescent="0.3"/>
    <row r="49" s="136" customFormat="1" x14ac:dyDescent="0.3"/>
    <row r="50" s="136" customFormat="1" x14ac:dyDescent="0.3"/>
    <row r="51" s="136" customFormat="1" x14ac:dyDescent="0.3"/>
    <row r="52" s="136" customFormat="1" x14ac:dyDescent="0.3"/>
    <row r="53" s="136" customFormat="1" x14ac:dyDescent="0.3"/>
    <row r="54" s="136" customFormat="1" x14ac:dyDescent="0.3"/>
    <row r="55" s="136" customFormat="1" x14ac:dyDescent="0.3"/>
    <row r="56" s="136" customFormat="1" x14ac:dyDescent="0.3"/>
    <row r="57" s="136" customFormat="1" x14ac:dyDescent="0.3"/>
    <row r="58" s="136" customFormat="1" x14ac:dyDescent="0.3"/>
    <row r="59" s="136" customFormat="1" x14ac:dyDescent="0.3"/>
    <row r="60" s="136" customFormat="1" x14ac:dyDescent="0.3"/>
    <row r="61" s="136" customFormat="1" x14ac:dyDescent="0.3"/>
    <row r="62" s="136" customFormat="1" x14ac:dyDescent="0.3"/>
    <row r="63" s="136" customFormat="1" x14ac:dyDescent="0.3"/>
    <row r="64" s="136" customFormat="1" x14ac:dyDescent="0.3"/>
    <row r="65" s="136" customFormat="1" x14ac:dyDescent="0.3"/>
    <row r="66" s="136" customFormat="1" x14ac:dyDescent="0.3"/>
    <row r="67" s="136" customFormat="1" x14ac:dyDescent="0.3"/>
    <row r="68" s="136" customFormat="1" x14ac:dyDescent="0.3"/>
    <row r="69" s="136" customFormat="1" x14ac:dyDescent="0.3"/>
    <row r="70" s="136" customFormat="1" x14ac:dyDescent="0.3"/>
    <row r="71" s="136" customFormat="1" x14ac:dyDescent="0.3"/>
    <row r="72" s="136" customFormat="1" x14ac:dyDescent="0.3"/>
    <row r="73" s="136" customFormat="1" x14ac:dyDescent="0.3"/>
    <row r="74" s="136" customFormat="1" x14ac:dyDescent="0.3"/>
    <row r="75" s="136" customFormat="1" x14ac:dyDescent="0.3"/>
    <row r="76" s="136" customFormat="1" x14ac:dyDescent="0.3"/>
    <row r="77" s="136" customFormat="1" x14ac:dyDescent="0.3"/>
    <row r="78" s="136" customFormat="1" x14ac:dyDescent="0.3"/>
    <row r="79" s="136" customFormat="1" x14ac:dyDescent="0.3"/>
    <row r="80" s="136" customFormat="1" x14ac:dyDescent="0.3"/>
    <row r="81" s="136" customFormat="1" x14ac:dyDescent="0.3"/>
    <row r="82" s="136" customFormat="1" x14ac:dyDescent="0.3"/>
    <row r="83" s="136" customFormat="1" x14ac:dyDescent="0.3"/>
    <row r="84" s="136" customFormat="1" x14ac:dyDescent="0.3"/>
    <row r="85" s="136" customFormat="1" x14ac:dyDescent="0.3"/>
    <row r="86" s="136" customFormat="1" x14ac:dyDescent="0.3"/>
    <row r="87" s="136" customFormat="1" x14ac:dyDescent="0.3"/>
    <row r="88" s="136" customFormat="1" x14ac:dyDescent="0.3"/>
    <row r="89" s="136" customFormat="1" x14ac:dyDescent="0.3"/>
    <row r="90" s="136" customFormat="1" x14ac:dyDescent="0.3"/>
    <row r="91" s="136" customFormat="1" x14ac:dyDescent="0.3"/>
    <row r="92" s="136" customFormat="1" x14ac:dyDescent="0.3"/>
    <row r="93" s="136" customFormat="1" x14ac:dyDescent="0.3"/>
    <row r="94" s="136" customFormat="1" x14ac:dyDescent="0.3"/>
    <row r="95" s="136" customFormat="1" x14ac:dyDescent="0.3"/>
    <row r="96" s="136" customFormat="1" x14ac:dyDescent="0.3"/>
    <row r="97" s="136" customFormat="1" x14ac:dyDescent="0.3"/>
    <row r="98" s="136" customFormat="1" x14ac:dyDescent="0.3"/>
    <row r="99" s="136" customFormat="1" x14ac:dyDescent="0.3"/>
    <row r="100" s="136" customFormat="1" x14ac:dyDescent="0.3"/>
    <row r="101" s="136" customFormat="1" x14ac:dyDescent="0.3"/>
    <row r="102" s="136" customFormat="1" x14ac:dyDescent="0.3"/>
    <row r="103" s="136" customFormat="1" x14ac:dyDescent="0.3"/>
    <row r="104" s="136" customFormat="1" x14ac:dyDescent="0.3"/>
    <row r="105" s="136" customFormat="1" x14ac:dyDescent="0.3"/>
    <row r="106" s="136" customFormat="1" x14ac:dyDescent="0.3"/>
    <row r="107" s="136" customFormat="1" x14ac:dyDescent="0.3"/>
    <row r="108" s="136" customFormat="1" x14ac:dyDescent="0.3"/>
    <row r="109" s="136" customFormat="1" x14ac:dyDescent="0.3"/>
    <row r="110" s="136" customFormat="1" x14ac:dyDescent="0.3"/>
    <row r="111" s="136" customFormat="1" x14ac:dyDescent="0.3"/>
    <row r="112" s="136" customFormat="1" x14ac:dyDescent="0.3"/>
    <row r="113" s="136" customFormat="1" x14ac:dyDescent="0.3"/>
    <row r="114" s="136" customFormat="1" x14ac:dyDescent="0.3"/>
    <row r="115" s="136" customFormat="1" x14ac:dyDescent="0.3"/>
    <row r="116" s="136" customFormat="1" x14ac:dyDescent="0.3"/>
    <row r="117" s="136" customFormat="1" x14ac:dyDescent="0.3"/>
    <row r="118" s="136" customFormat="1" x14ac:dyDescent="0.3"/>
    <row r="119" s="136" customFormat="1" x14ac:dyDescent="0.3"/>
    <row r="120" s="136" customFormat="1" x14ac:dyDescent="0.3"/>
    <row r="121" s="136" customFormat="1" x14ac:dyDescent="0.3"/>
    <row r="122" s="136" customFormat="1" x14ac:dyDescent="0.3"/>
    <row r="123" s="136" customFormat="1" x14ac:dyDescent="0.3"/>
    <row r="124" s="136" customFormat="1" x14ac:dyDescent="0.3"/>
    <row r="125" s="136" customFormat="1" x14ac:dyDescent="0.3"/>
    <row r="126" s="136" customFormat="1" x14ac:dyDescent="0.3"/>
    <row r="127" s="136" customFormat="1" x14ac:dyDescent="0.3"/>
    <row r="128" s="136" customFormat="1" x14ac:dyDescent="0.3"/>
    <row r="129" s="136" customFormat="1" x14ac:dyDescent="0.3"/>
    <row r="130" s="136" customFormat="1" x14ac:dyDescent="0.3"/>
    <row r="131" s="136" customFormat="1" x14ac:dyDescent="0.3"/>
    <row r="132" s="136" customFormat="1" x14ac:dyDescent="0.3"/>
    <row r="133" s="136" customFormat="1" x14ac:dyDescent="0.3"/>
    <row r="134" s="136" customFormat="1" x14ac:dyDescent="0.3"/>
    <row r="135" s="136" customFormat="1" x14ac:dyDescent="0.3"/>
    <row r="136" s="136" customFormat="1" x14ac:dyDescent="0.3"/>
    <row r="137" s="136" customFormat="1" x14ac:dyDescent="0.3"/>
    <row r="138" s="136" customFormat="1" x14ac:dyDescent="0.3"/>
    <row r="139" s="136" customFormat="1" x14ac:dyDescent="0.3"/>
    <row r="140" s="136" customFormat="1" x14ac:dyDescent="0.3"/>
    <row r="141" s="136" customFormat="1" x14ac:dyDescent="0.3"/>
    <row r="142" s="136" customFormat="1" x14ac:dyDescent="0.3"/>
    <row r="143" s="136" customFormat="1" x14ac:dyDescent="0.3"/>
    <row r="144" s="136" customFormat="1" x14ac:dyDescent="0.3"/>
    <row r="145" s="136" customFormat="1" x14ac:dyDescent="0.3"/>
    <row r="146" s="136" customFormat="1" x14ac:dyDescent="0.3"/>
    <row r="147" s="136" customFormat="1" x14ac:dyDescent="0.3"/>
    <row r="148" s="136" customFormat="1" x14ac:dyDescent="0.3"/>
    <row r="149" s="136" customFormat="1" x14ac:dyDescent="0.3"/>
    <row r="150" s="136" customFormat="1" x14ac:dyDescent="0.3"/>
    <row r="151" s="136" customFormat="1" x14ac:dyDescent="0.3"/>
    <row r="152" s="136" customFormat="1" x14ac:dyDescent="0.3"/>
    <row r="153" s="136" customFormat="1" x14ac:dyDescent="0.3"/>
    <row r="154" s="136" customFormat="1" x14ac:dyDescent="0.3"/>
    <row r="155" s="136" customFormat="1" x14ac:dyDescent="0.3"/>
    <row r="156" s="136" customFormat="1" x14ac:dyDescent="0.3"/>
    <row r="157" s="136" customFormat="1" x14ac:dyDescent="0.3"/>
    <row r="158" s="136" customFormat="1" x14ac:dyDescent="0.3"/>
    <row r="159" s="136" customFormat="1" x14ac:dyDescent="0.3"/>
    <row r="160" s="136" customFormat="1" x14ac:dyDescent="0.3"/>
    <row r="161" s="136" customFormat="1" x14ac:dyDescent="0.3"/>
    <row r="162" s="136" customFormat="1" x14ac:dyDescent="0.3"/>
    <row r="163" s="136" customFormat="1" x14ac:dyDescent="0.3"/>
    <row r="164" s="136" customFormat="1" x14ac:dyDescent="0.3"/>
    <row r="165" s="136" customFormat="1" x14ac:dyDescent="0.3"/>
    <row r="166" s="136" customFormat="1" x14ac:dyDescent="0.3"/>
    <row r="167" s="136" customFormat="1" x14ac:dyDescent="0.3"/>
    <row r="168" s="136" customFormat="1" x14ac:dyDescent="0.3"/>
    <row r="169" s="136" customFormat="1" x14ac:dyDescent="0.3"/>
    <row r="170" s="136" customFormat="1" x14ac:dyDescent="0.3"/>
    <row r="171" s="136" customFormat="1" x14ac:dyDescent="0.3"/>
    <row r="172" s="136" customFormat="1" x14ac:dyDescent="0.3"/>
    <row r="173" s="136" customFormat="1" x14ac:dyDescent="0.3"/>
    <row r="174" s="136" customFormat="1" x14ac:dyDescent="0.3"/>
    <row r="175" s="136" customFormat="1" x14ac:dyDescent="0.3"/>
    <row r="176" s="136" customFormat="1" x14ac:dyDescent="0.3"/>
    <row r="177" s="136" customFormat="1" x14ac:dyDescent="0.3"/>
    <row r="178" s="136" customFormat="1" x14ac:dyDescent="0.3"/>
    <row r="179" s="136" customFormat="1" x14ac:dyDescent="0.3"/>
    <row r="180" s="136" customFormat="1" x14ac:dyDescent="0.3"/>
    <row r="181" s="136" customFormat="1" x14ac:dyDescent="0.3"/>
    <row r="182" s="136" customFormat="1" x14ac:dyDescent="0.3"/>
    <row r="183" s="136" customFormat="1" x14ac:dyDescent="0.3"/>
    <row r="184" s="136" customFormat="1" x14ac:dyDescent="0.3"/>
    <row r="185" s="136" customFormat="1" x14ac:dyDescent="0.3"/>
    <row r="186" s="136" customFormat="1" x14ac:dyDescent="0.3"/>
    <row r="187" s="136" customFormat="1" x14ac:dyDescent="0.3"/>
    <row r="188" s="136" customFormat="1" x14ac:dyDescent="0.3"/>
    <row r="189" s="136" customFormat="1" x14ac:dyDescent="0.3"/>
    <row r="190" s="136" customFormat="1" x14ac:dyDescent="0.3"/>
    <row r="191" s="136" customFormat="1" x14ac:dyDescent="0.3"/>
    <row r="192" s="136" customFormat="1" x14ac:dyDescent="0.3"/>
    <row r="193" s="136" customFormat="1" x14ac:dyDescent="0.3"/>
    <row r="194" s="136" customFormat="1" x14ac:dyDescent="0.3"/>
    <row r="195" s="136" customFormat="1" x14ac:dyDescent="0.3"/>
    <row r="196" s="136" customFormat="1" x14ac:dyDescent="0.3"/>
    <row r="197" s="136" customFormat="1" x14ac:dyDescent="0.3"/>
    <row r="198" s="136" customFormat="1" x14ac:dyDescent="0.3"/>
    <row r="199" s="136" customFormat="1" x14ac:dyDescent="0.3"/>
    <row r="200" s="136" customFormat="1" x14ac:dyDescent="0.3"/>
    <row r="201" s="136" customFormat="1" x14ac:dyDescent="0.3"/>
    <row r="202" s="136" customFormat="1" x14ac:dyDescent="0.3"/>
    <row r="203" s="136" customFormat="1" x14ac:dyDescent="0.3"/>
    <row r="204" s="136" customFormat="1" x14ac:dyDescent="0.3"/>
    <row r="205" s="136" customFormat="1" x14ac:dyDescent="0.3"/>
    <row r="206" s="136" customFormat="1" x14ac:dyDescent="0.3"/>
    <row r="207" s="136" customFormat="1" x14ac:dyDescent="0.3"/>
    <row r="208" s="136" customFormat="1" x14ac:dyDescent="0.3"/>
    <row r="209" s="136" customFormat="1" x14ac:dyDescent="0.3"/>
    <row r="210" s="136" customFormat="1" x14ac:dyDescent="0.3"/>
    <row r="211" s="136" customFormat="1" x14ac:dyDescent="0.3"/>
    <row r="212" s="136" customFormat="1" x14ac:dyDescent="0.3"/>
    <row r="213" s="136" customFormat="1" x14ac:dyDescent="0.3"/>
    <row r="214" s="136" customFormat="1" x14ac:dyDescent="0.3"/>
    <row r="215" s="136" customFormat="1" x14ac:dyDescent="0.3"/>
    <row r="216" s="136" customFormat="1" x14ac:dyDescent="0.3"/>
    <row r="217" s="136" customFormat="1" x14ac:dyDescent="0.3"/>
    <row r="218" s="136" customFormat="1" x14ac:dyDescent="0.3"/>
    <row r="219" s="136" customFormat="1" x14ac:dyDescent="0.3"/>
    <row r="220" s="136" customFormat="1" x14ac:dyDescent="0.3"/>
    <row r="221" s="136" customFormat="1" x14ac:dyDescent="0.3"/>
    <row r="222" s="136" customFormat="1" x14ac:dyDescent="0.3"/>
    <row r="223" s="136" customFormat="1" x14ac:dyDescent="0.3"/>
    <row r="224" s="136" customFormat="1" x14ac:dyDescent="0.3"/>
    <row r="225" s="136" customFormat="1" x14ac:dyDescent="0.3"/>
    <row r="226" s="136" customFormat="1" x14ac:dyDescent="0.3"/>
    <row r="227" s="136" customFormat="1" x14ac:dyDescent="0.3"/>
    <row r="228" s="136" customFormat="1" x14ac:dyDescent="0.3"/>
    <row r="229" s="136" customFormat="1" x14ac:dyDescent="0.3"/>
    <row r="230" s="136" customFormat="1" x14ac:dyDescent="0.3"/>
    <row r="231" s="136" customFormat="1" x14ac:dyDescent="0.3"/>
    <row r="232" s="136" customFormat="1" x14ac:dyDescent="0.3"/>
    <row r="233" s="136" customFormat="1" x14ac:dyDescent="0.3"/>
    <row r="234" s="136" customFormat="1" x14ac:dyDescent="0.3"/>
    <row r="235" s="136" customFormat="1" x14ac:dyDescent="0.3"/>
    <row r="236" s="136" customFormat="1" x14ac:dyDescent="0.3"/>
    <row r="237" s="136" customFormat="1" x14ac:dyDescent="0.3"/>
    <row r="238" s="136" customFormat="1" x14ac:dyDescent="0.3"/>
    <row r="239" s="136" customFormat="1" x14ac:dyDescent="0.3"/>
    <row r="240" s="136" customFormat="1" x14ac:dyDescent="0.3"/>
    <row r="241" s="136" customFormat="1" x14ac:dyDescent="0.3"/>
    <row r="242" s="136" customFormat="1" x14ac:dyDescent="0.3"/>
    <row r="243" s="136" customFormat="1" x14ac:dyDescent="0.3"/>
    <row r="244" s="136" customFormat="1" x14ac:dyDescent="0.3"/>
    <row r="245" s="136" customFormat="1" x14ac:dyDescent="0.3"/>
    <row r="246" s="136" customFormat="1" x14ac:dyDescent="0.3"/>
    <row r="247" s="136" customFormat="1" x14ac:dyDescent="0.3"/>
    <row r="248" s="136" customFormat="1" x14ac:dyDescent="0.3"/>
    <row r="249" s="136" customFormat="1" x14ac:dyDescent="0.3"/>
    <row r="250" s="136" customFormat="1" x14ac:dyDescent="0.3"/>
    <row r="251" s="136" customFormat="1" x14ac:dyDescent="0.3"/>
    <row r="252" s="136" customFormat="1" x14ac:dyDescent="0.3"/>
    <row r="253" s="136" customFormat="1" x14ac:dyDescent="0.3"/>
    <row r="254" s="136" customFormat="1" x14ac:dyDescent="0.3"/>
    <row r="255" s="136" customFormat="1" x14ac:dyDescent="0.3"/>
    <row r="256" s="136" customFormat="1" x14ac:dyDescent="0.3"/>
    <row r="257" s="136" customFormat="1" x14ac:dyDescent="0.3"/>
    <row r="258" s="136" customFormat="1" x14ac:dyDescent="0.3"/>
    <row r="259" s="136" customFormat="1" x14ac:dyDescent="0.3"/>
    <row r="260" s="136" customFormat="1" x14ac:dyDescent="0.3"/>
    <row r="261" s="136" customFormat="1" x14ac:dyDescent="0.3"/>
    <row r="262" s="136" customFormat="1" x14ac:dyDescent="0.3"/>
    <row r="263" s="136" customFormat="1" x14ac:dyDescent="0.3"/>
    <row r="264" s="136" customFormat="1" x14ac:dyDescent="0.3"/>
    <row r="265" s="136" customFormat="1" x14ac:dyDescent="0.3"/>
    <row r="266" s="136" customFormat="1" x14ac:dyDescent="0.3"/>
    <row r="267" s="136" customFormat="1" x14ac:dyDescent="0.3"/>
    <row r="268" s="136" customFormat="1" x14ac:dyDescent="0.3"/>
    <row r="269" s="136" customFormat="1" x14ac:dyDescent="0.3"/>
    <row r="270" s="136" customFormat="1" x14ac:dyDescent="0.3"/>
    <row r="271" s="136" customFormat="1" x14ac:dyDescent="0.3"/>
    <row r="272" s="136" customFormat="1" x14ac:dyDescent="0.3"/>
    <row r="273" s="136" customFormat="1" x14ac:dyDescent="0.3"/>
    <row r="274" s="136" customFormat="1" x14ac:dyDescent="0.3"/>
    <row r="275" s="136" customFormat="1" x14ac:dyDescent="0.3"/>
    <row r="276" s="136" customFormat="1" x14ac:dyDescent="0.3"/>
    <row r="277" s="136" customFormat="1" x14ac:dyDescent="0.3"/>
    <row r="278" s="136" customFormat="1" x14ac:dyDescent="0.3"/>
    <row r="279" s="136" customFormat="1" x14ac:dyDescent="0.3"/>
    <row r="280" s="136" customFormat="1" x14ac:dyDescent="0.3"/>
    <row r="281" s="136" customFormat="1" x14ac:dyDescent="0.3"/>
    <row r="282" s="136" customFormat="1" x14ac:dyDescent="0.3"/>
    <row r="283" s="136" customFormat="1" x14ac:dyDescent="0.3"/>
    <row r="284" s="136" customFormat="1" x14ac:dyDescent="0.3"/>
    <row r="285" s="136" customFormat="1" x14ac:dyDescent="0.3"/>
    <row r="286" s="136" customFormat="1" x14ac:dyDescent="0.3"/>
    <row r="287" s="136" customFormat="1" x14ac:dyDescent="0.3"/>
    <row r="288" s="136" customFormat="1" x14ac:dyDescent="0.3"/>
    <row r="289" s="136" customFormat="1" x14ac:dyDescent="0.3"/>
    <row r="290" s="136" customFormat="1" x14ac:dyDescent="0.3"/>
    <row r="291" s="136" customFormat="1" x14ac:dyDescent="0.3"/>
    <row r="292" s="136" customFormat="1" x14ac:dyDescent="0.3"/>
    <row r="293" s="136" customFormat="1" x14ac:dyDescent="0.3"/>
    <row r="294" s="136" customFormat="1" x14ac:dyDescent="0.3"/>
    <row r="295" s="136" customFormat="1" x14ac:dyDescent="0.3"/>
    <row r="296" s="136" customFormat="1" x14ac:dyDescent="0.3"/>
    <row r="297" s="136" customFormat="1" x14ac:dyDescent="0.3"/>
    <row r="298" s="136" customFormat="1" x14ac:dyDescent="0.3"/>
    <row r="299" s="136" customFormat="1" x14ac:dyDescent="0.3"/>
    <row r="300" s="136" customFormat="1" x14ac:dyDescent="0.3"/>
    <row r="301" s="136" customFormat="1" x14ac:dyDescent="0.3"/>
    <row r="302" s="136" customFormat="1" x14ac:dyDescent="0.3"/>
    <row r="303" s="136" customFormat="1" x14ac:dyDescent="0.3"/>
    <row r="304" s="136" customFormat="1" x14ac:dyDescent="0.3"/>
    <row r="305" s="136" customFormat="1" x14ac:dyDescent="0.3"/>
    <row r="306" s="136" customFormat="1" x14ac:dyDescent="0.3"/>
    <row r="307" s="136" customFormat="1" x14ac:dyDescent="0.3"/>
    <row r="308" s="136" customFormat="1" x14ac:dyDescent="0.3"/>
    <row r="309" s="136" customFormat="1" x14ac:dyDescent="0.3"/>
    <row r="310" s="136" customFormat="1" x14ac:dyDescent="0.3"/>
    <row r="311" s="136" customFormat="1" x14ac:dyDescent="0.3"/>
    <row r="312" s="136" customFormat="1" x14ac:dyDescent="0.3"/>
    <row r="313" s="136" customFormat="1" x14ac:dyDescent="0.3"/>
    <row r="314" s="136" customFormat="1" x14ac:dyDescent="0.3"/>
    <row r="315" s="136" customFormat="1" x14ac:dyDescent="0.3"/>
    <row r="316" s="136" customFormat="1" x14ac:dyDescent="0.3"/>
    <row r="317" s="136" customFormat="1" x14ac:dyDescent="0.3"/>
    <row r="318" s="136" customFormat="1" x14ac:dyDescent="0.3"/>
    <row r="319" s="136" customFormat="1" x14ac:dyDescent="0.3"/>
    <row r="320" s="136" customFormat="1" x14ac:dyDescent="0.3"/>
    <row r="321" s="136" customFormat="1" x14ac:dyDescent="0.3"/>
    <row r="322" s="136" customFormat="1" x14ac:dyDescent="0.3"/>
    <row r="323" s="136" customFormat="1" x14ac:dyDescent="0.3"/>
    <row r="324" s="136" customFormat="1" x14ac:dyDescent="0.3"/>
    <row r="325" s="136" customFormat="1" x14ac:dyDescent="0.3"/>
    <row r="326" s="136" customFormat="1" x14ac:dyDescent="0.3"/>
    <row r="327" s="136" customFormat="1" x14ac:dyDescent="0.3"/>
    <row r="328" s="136" customFormat="1" x14ac:dyDescent="0.3"/>
    <row r="329" s="136" customFormat="1" x14ac:dyDescent="0.3"/>
    <row r="330" s="136" customFormat="1" x14ac:dyDescent="0.3"/>
    <row r="331" s="136" customFormat="1" x14ac:dyDescent="0.3"/>
    <row r="332" s="136" customFormat="1" x14ac:dyDescent="0.3"/>
    <row r="333" s="136" customFormat="1" x14ac:dyDescent="0.3"/>
    <row r="334" s="136" customFormat="1" x14ac:dyDescent="0.3"/>
    <row r="335" s="136" customFormat="1" x14ac:dyDescent="0.3"/>
    <row r="336" s="136" customFormat="1" x14ac:dyDescent="0.3"/>
    <row r="337" s="136" customFormat="1" x14ac:dyDescent="0.3"/>
    <row r="338" s="136" customFormat="1" x14ac:dyDescent="0.3"/>
    <row r="339" s="136" customFormat="1" x14ac:dyDescent="0.3"/>
    <row r="340" s="136" customFormat="1" x14ac:dyDescent="0.3"/>
    <row r="341" s="136" customFormat="1" x14ac:dyDescent="0.3"/>
    <row r="342" s="136" customFormat="1" x14ac:dyDescent="0.3"/>
    <row r="343" s="136" customFormat="1" x14ac:dyDescent="0.3"/>
    <row r="344" s="136" customFormat="1" x14ac:dyDescent="0.3"/>
    <row r="345" s="136" customFormat="1" x14ac:dyDescent="0.3"/>
    <row r="346" s="136" customFormat="1" x14ac:dyDescent="0.3"/>
    <row r="347" s="136" customFormat="1" x14ac:dyDescent="0.3"/>
    <row r="348" s="136" customFormat="1" x14ac:dyDescent="0.3"/>
    <row r="349" s="136" customFormat="1" x14ac:dyDescent="0.3"/>
    <row r="350" s="136" customFormat="1" x14ac:dyDescent="0.3"/>
    <row r="351" s="136" customFormat="1" x14ac:dyDescent="0.3"/>
    <row r="352" s="136" customFormat="1" x14ac:dyDescent="0.3"/>
    <row r="353" s="136" customFormat="1" x14ac:dyDescent="0.3"/>
    <row r="354" s="136" customFormat="1" x14ac:dyDescent="0.3"/>
    <row r="355" s="136" customFormat="1" x14ac:dyDescent="0.3"/>
    <row r="356" s="136" customFormat="1" x14ac:dyDescent="0.3"/>
    <row r="357" s="136" customFormat="1" x14ac:dyDescent="0.3"/>
    <row r="358" s="136" customFormat="1" x14ac:dyDescent="0.3"/>
    <row r="359" s="136" customFormat="1" x14ac:dyDescent="0.3"/>
    <row r="360" s="136" customFormat="1" x14ac:dyDescent="0.3"/>
    <row r="361" s="136" customFormat="1" x14ac:dyDescent="0.3"/>
    <row r="362" s="136" customFormat="1" x14ac:dyDescent="0.3"/>
    <row r="363" s="136" customFormat="1" x14ac:dyDescent="0.3"/>
    <row r="364" s="136" customFormat="1" x14ac:dyDescent="0.3"/>
    <row r="365" s="136" customFormat="1" x14ac:dyDescent="0.3"/>
    <row r="366" s="136" customFormat="1" x14ac:dyDescent="0.3"/>
    <row r="367" s="136" customFormat="1" x14ac:dyDescent="0.3"/>
    <row r="368" s="136" customFormat="1" x14ac:dyDescent="0.3"/>
    <row r="369" s="136" customFormat="1" x14ac:dyDescent="0.3"/>
    <row r="370" s="136" customFormat="1" x14ac:dyDescent="0.3"/>
    <row r="371" s="136" customFormat="1" x14ac:dyDescent="0.3"/>
    <row r="372" s="136" customFormat="1" x14ac:dyDescent="0.3"/>
    <row r="373" s="136" customFormat="1" x14ac:dyDescent="0.3"/>
    <row r="374" s="136" customFormat="1" x14ac:dyDescent="0.3"/>
    <row r="375" s="136" customFormat="1" x14ac:dyDescent="0.3"/>
    <row r="376" s="136" customFormat="1" x14ac:dyDescent="0.3"/>
    <row r="377" s="136" customFormat="1" x14ac:dyDescent="0.3"/>
    <row r="378" s="136" customFormat="1" x14ac:dyDescent="0.3"/>
    <row r="379" s="136" customFormat="1" x14ac:dyDescent="0.3"/>
    <row r="380" s="136" customFormat="1" x14ac:dyDescent="0.3"/>
    <row r="381" s="136" customFormat="1" x14ac:dyDescent="0.3"/>
    <row r="382" s="136" customFormat="1" x14ac:dyDescent="0.3"/>
    <row r="383" s="136" customFormat="1" x14ac:dyDescent="0.3"/>
    <row r="384" s="136" customFormat="1" x14ac:dyDescent="0.3"/>
    <row r="385" s="136" customFormat="1" x14ac:dyDescent="0.3"/>
    <row r="386" s="136" customFormat="1" x14ac:dyDescent="0.3"/>
    <row r="387" s="136" customFormat="1" x14ac:dyDescent="0.3"/>
    <row r="388" s="136" customFormat="1" x14ac:dyDescent="0.3"/>
    <row r="389" s="136" customFormat="1" x14ac:dyDescent="0.3"/>
    <row r="390" s="136" customFormat="1" x14ac:dyDescent="0.3"/>
    <row r="391" s="136" customFormat="1" x14ac:dyDescent="0.3"/>
    <row r="392" s="136" customFormat="1" x14ac:dyDescent="0.3"/>
    <row r="393" s="136" customFormat="1" x14ac:dyDescent="0.3"/>
    <row r="394" s="136" customFormat="1" x14ac:dyDescent="0.3"/>
    <row r="395" s="136" customFormat="1" x14ac:dyDescent="0.3"/>
    <row r="396" s="136" customFormat="1" x14ac:dyDescent="0.3"/>
    <row r="397" s="136" customFormat="1" x14ac:dyDescent="0.3"/>
    <row r="398" s="136" customFormat="1" x14ac:dyDescent="0.3"/>
    <row r="399" s="136" customFormat="1" x14ac:dyDescent="0.3"/>
    <row r="400" s="136" customFormat="1" x14ac:dyDescent="0.3"/>
    <row r="401" s="136" customFormat="1" x14ac:dyDescent="0.3"/>
    <row r="402" s="136" customFormat="1" x14ac:dyDescent="0.3"/>
    <row r="403" s="136" customFormat="1" x14ac:dyDescent="0.3"/>
    <row r="404" s="136" customFormat="1" x14ac:dyDescent="0.3"/>
    <row r="405" s="136" customFormat="1" x14ac:dyDescent="0.3"/>
    <row r="406" s="136" customFormat="1" x14ac:dyDescent="0.3"/>
    <row r="407" s="136" customFormat="1" x14ac:dyDescent="0.3"/>
    <row r="408" s="136" customFormat="1" x14ac:dyDescent="0.3"/>
    <row r="409" s="136" customFormat="1" x14ac:dyDescent="0.3"/>
    <row r="410" s="136" customFormat="1" x14ac:dyDescent="0.3"/>
    <row r="411" s="136" customFormat="1" x14ac:dyDescent="0.3"/>
    <row r="412" s="136" customFormat="1" x14ac:dyDescent="0.3"/>
    <row r="413" s="136" customFormat="1" x14ac:dyDescent="0.3"/>
    <row r="414" s="136" customFormat="1" x14ac:dyDescent="0.3"/>
    <row r="415" s="136" customFormat="1" x14ac:dyDescent="0.3"/>
    <row r="416" s="136" customFormat="1" x14ac:dyDescent="0.3"/>
    <row r="417" s="136" customFormat="1" x14ac:dyDescent="0.3"/>
    <row r="418" s="136" customFormat="1" x14ac:dyDescent="0.3"/>
    <row r="419" s="136" customFormat="1" x14ac:dyDescent="0.3"/>
    <row r="420" s="136" customFormat="1" x14ac:dyDescent="0.3"/>
    <row r="421" s="136" customFormat="1" x14ac:dyDescent="0.3"/>
    <row r="422" s="136" customFormat="1" x14ac:dyDescent="0.3"/>
    <row r="423" s="136" customFormat="1" x14ac:dyDescent="0.3"/>
    <row r="424" s="136" customFormat="1" x14ac:dyDescent="0.3"/>
    <row r="425" s="136" customFormat="1" x14ac:dyDescent="0.3"/>
    <row r="426" s="136" customFormat="1" x14ac:dyDescent="0.3"/>
    <row r="427" s="136" customFormat="1" x14ac:dyDescent="0.3"/>
    <row r="428" s="136" customFormat="1" x14ac:dyDescent="0.3"/>
    <row r="429" s="136" customFormat="1" x14ac:dyDescent="0.3"/>
    <row r="430" s="136" customFormat="1" x14ac:dyDescent="0.3"/>
    <row r="431" s="136" customFormat="1" x14ac:dyDescent="0.3"/>
    <row r="432" s="136" customFormat="1" x14ac:dyDescent="0.3"/>
    <row r="433" s="136" customFormat="1" x14ac:dyDescent="0.3"/>
    <row r="434" s="136" customFormat="1" x14ac:dyDescent="0.3"/>
    <row r="435" s="136" customFormat="1" x14ac:dyDescent="0.3"/>
    <row r="436" s="136" customFormat="1" x14ac:dyDescent="0.3"/>
    <row r="437" s="136" customFormat="1" x14ac:dyDescent="0.3"/>
    <row r="438" s="136" customFormat="1" x14ac:dyDescent="0.3"/>
    <row r="439" s="136" customFormat="1" x14ac:dyDescent="0.3"/>
    <row r="440" s="136" customFormat="1" x14ac:dyDescent="0.3"/>
    <row r="441" s="136" customFormat="1" x14ac:dyDescent="0.3"/>
    <row r="442" s="136" customFormat="1" x14ac:dyDescent="0.3"/>
    <row r="443" s="136" customFormat="1" x14ac:dyDescent="0.3"/>
    <row r="444" s="136" customFormat="1" x14ac:dyDescent="0.3"/>
    <row r="445" s="136" customFormat="1" x14ac:dyDescent="0.3"/>
    <row r="446" s="136" customFormat="1" x14ac:dyDescent="0.3"/>
    <row r="447" s="136" customFormat="1" x14ac:dyDescent="0.3"/>
    <row r="448" s="136" customFormat="1" x14ac:dyDescent="0.3"/>
    <row r="449" s="136" customFormat="1" x14ac:dyDescent="0.3"/>
    <row r="450" s="136" customFormat="1" x14ac:dyDescent="0.3"/>
    <row r="451" s="136" customFormat="1" x14ac:dyDescent="0.3"/>
    <row r="452" s="136" customFormat="1" x14ac:dyDescent="0.3"/>
    <row r="453" s="136" customFormat="1" x14ac:dyDescent="0.3"/>
    <row r="454" s="136" customFormat="1" x14ac:dyDescent="0.3"/>
    <row r="455" s="136" customFormat="1" x14ac:dyDescent="0.3"/>
    <row r="456" s="136" customFormat="1" x14ac:dyDescent="0.3"/>
    <row r="457" s="136" customFormat="1" x14ac:dyDescent="0.3"/>
    <row r="458" s="136" customFormat="1" x14ac:dyDescent="0.3"/>
    <row r="459" s="136" customFormat="1" x14ac:dyDescent="0.3"/>
    <row r="460" s="136" customFormat="1" x14ac:dyDescent="0.3"/>
    <row r="461" s="136" customFormat="1" x14ac:dyDescent="0.3"/>
    <row r="462" s="136" customFormat="1" x14ac:dyDescent="0.3"/>
    <row r="463" s="136" customFormat="1" x14ac:dyDescent="0.3"/>
    <row r="464" s="136" customFormat="1" x14ac:dyDescent="0.3"/>
    <row r="465" s="136" customFormat="1" x14ac:dyDescent="0.3"/>
    <row r="466" s="136" customFormat="1" x14ac:dyDescent="0.3"/>
    <row r="467" s="136" customFormat="1" x14ac:dyDescent="0.3"/>
    <row r="468" s="136" customFormat="1" x14ac:dyDescent="0.3"/>
    <row r="469" s="136" customFormat="1" x14ac:dyDescent="0.3"/>
    <row r="470" s="136" customFormat="1" x14ac:dyDescent="0.3"/>
    <row r="471" s="136" customFormat="1" x14ac:dyDescent="0.3"/>
    <row r="472" s="136" customFormat="1" x14ac:dyDescent="0.3"/>
    <row r="473" s="136" customFormat="1" x14ac:dyDescent="0.3"/>
    <row r="474" s="136" customFormat="1" x14ac:dyDescent="0.3"/>
    <row r="475" s="136" customFormat="1" x14ac:dyDescent="0.3"/>
    <row r="476" s="136" customFormat="1" x14ac:dyDescent="0.3"/>
    <row r="477" s="136" customFormat="1" x14ac:dyDescent="0.3"/>
    <row r="478" s="136" customFormat="1" x14ac:dyDescent="0.3"/>
    <row r="479" s="136" customFormat="1" x14ac:dyDescent="0.3"/>
    <row r="480" s="136" customFormat="1" x14ac:dyDescent="0.3"/>
    <row r="481" s="136" customFormat="1" x14ac:dyDescent="0.3"/>
    <row r="482" s="136" customFormat="1" x14ac:dyDescent="0.3"/>
    <row r="483" s="136" customFormat="1" x14ac:dyDescent="0.3"/>
    <row r="484" s="136" customFormat="1" x14ac:dyDescent="0.3"/>
    <row r="485" s="136" customFormat="1" x14ac:dyDescent="0.3"/>
    <row r="486" s="136" customFormat="1" x14ac:dyDescent="0.3"/>
    <row r="487" s="136" customFormat="1" x14ac:dyDescent="0.3"/>
    <row r="488" s="136" customFormat="1" x14ac:dyDescent="0.3"/>
    <row r="489" s="136" customFormat="1" x14ac:dyDescent="0.3"/>
    <row r="490" s="136" customFormat="1" x14ac:dyDescent="0.3"/>
    <row r="491" s="136" customFormat="1" x14ac:dyDescent="0.3"/>
    <row r="492" s="136" customFormat="1" x14ac:dyDescent="0.3"/>
    <row r="493" s="136" customFormat="1" x14ac:dyDescent="0.3"/>
    <row r="494" s="136" customFormat="1" x14ac:dyDescent="0.3"/>
    <row r="495" s="136" customFormat="1" x14ac:dyDescent="0.3"/>
    <row r="496" s="136" customFormat="1" x14ac:dyDescent="0.3"/>
    <row r="497" s="136" customFormat="1" x14ac:dyDescent="0.3"/>
    <row r="498" s="136" customFormat="1" x14ac:dyDescent="0.3"/>
    <row r="499" s="136" customFormat="1" x14ac:dyDescent="0.3"/>
    <row r="500" s="136" customFormat="1" x14ac:dyDescent="0.3"/>
    <row r="501" s="136" customFormat="1" x14ac:dyDescent="0.3"/>
    <row r="502" s="136" customFormat="1" x14ac:dyDescent="0.3"/>
    <row r="503" s="136" customFormat="1" x14ac:dyDescent="0.3"/>
    <row r="504" s="136" customFormat="1" x14ac:dyDescent="0.3"/>
    <row r="505" s="136" customFormat="1" x14ac:dyDescent="0.3"/>
    <row r="506" s="136" customFormat="1" x14ac:dyDescent="0.3"/>
    <row r="507" s="136" customFormat="1" x14ac:dyDescent="0.3"/>
    <row r="508" s="136" customFormat="1" x14ac:dyDescent="0.3"/>
    <row r="509" s="136" customFormat="1" x14ac:dyDescent="0.3"/>
    <row r="510" s="136" customFormat="1" x14ac:dyDescent="0.3"/>
    <row r="511" s="136" customFormat="1" x14ac:dyDescent="0.3"/>
    <row r="512" s="136" customFormat="1" x14ac:dyDescent="0.3"/>
    <row r="513" s="136" customFormat="1" x14ac:dyDescent="0.3"/>
    <row r="514" s="136" customFormat="1" x14ac:dyDescent="0.3"/>
    <row r="515" s="136" customFormat="1" x14ac:dyDescent="0.3"/>
    <row r="516" s="136" customFormat="1" x14ac:dyDescent="0.3"/>
    <row r="517" s="136" customFormat="1" x14ac:dyDescent="0.3"/>
    <row r="518" s="136" customFormat="1" x14ac:dyDescent="0.3"/>
    <row r="519" s="136" customFormat="1" x14ac:dyDescent="0.3"/>
    <row r="520" s="136" customFormat="1" x14ac:dyDescent="0.3"/>
    <row r="521" s="136" customFormat="1" x14ac:dyDescent="0.3"/>
    <row r="522" s="136" customFormat="1" x14ac:dyDescent="0.3"/>
    <row r="523" s="136" customFormat="1" x14ac:dyDescent="0.3"/>
    <row r="524" s="136" customFormat="1" x14ac:dyDescent="0.3"/>
    <row r="525" s="136" customFormat="1" x14ac:dyDescent="0.3"/>
    <row r="526" s="136" customFormat="1" x14ac:dyDescent="0.3"/>
    <row r="527" s="136" customFormat="1" x14ac:dyDescent="0.3"/>
    <row r="528" s="136" customFormat="1" x14ac:dyDescent="0.3"/>
    <row r="529" s="136" customFormat="1" x14ac:dyDescent="0.3"/>
    <row r="530" s="136" customFormat="1" x14ac:dyDescent="0.3"/>
    <row r="531" s="136" customFormat="1" x14ac:dyDescent="0.3"/>
    <row r="532" s="136" customFormat="1" x14ac:dyDescent="0.3"/>
    <row r="533" s="136" customFormat="1" x14ac:dyDescent="0.3"/>
    <row r="534" s="136" customFormat="1" x14ac:dyDescent="0.3"/>
    <row r="535" s="136" customFormat="1" x14ac:dyDescent="0.3"/>
    <row r="536" s="136" customFormat="1" x14ac:dyDescent="0.3"/>
    <row r="537" s="136" customFormat="1" x14ac:dyDescent="0.3"/>
    <row r="538" s="136" customFormat="1" x14ac:dyDescent="0.3"/>
    <row r="539" s="136" customFormat="1" x14ac:dyDescent="0.3"/>
    <row r="540" s="136" customFormat="1" x14ac:dyDescent="0.3"/>
    <row r="541" s="136" customFormat="1" x14ac:dyDescent="0.3"/>
    <row r="542" s="136" customFormat="1" x14ac:dyDescent="0.3"/>
    <row r="543" s="136" customFormat="1" x14ac:dyDescent="0.3"/>
    <row r="544" s="136" customFormat="1" x14ac:dyDescent="0.3"/>
    <row r="545" s="136" customFormat="1" x14ac:dyDescent="0.3"/>
    <row r="546" s="136" customFormat="1" x14ac:dyDescent="0.3"/>
    <row r="547" s="136" customFormat="1" x14ac:dyDescent="0.3"/>
    <row r="548" s="136" customFormat="1" x14ac:dyDescent="0.3"/>
    <row r="549" s="136" customFormat="1" x14ac:dyDescent="0.3"/>
    <row r="550" s="136" customFormat="1" x14ac:dyDescent="0.3"/>
    <row r="551" s="136" customFormat="1" x14ac:dyDescent="0.3"/>
    <row r="552" s="136" customFormat="1" x14ac:dyDescent="0.3"/>
    <row r="553" s="136" customFormat="1" x14ac:dyDescent="0.3"/>
    <row r="554" s="136" customFormat="1" x14ac:dyDescent="0.3"/>
    <row r="555" s="136" customFormat="1" x14ac:dyDescent="0.3"/>
    <row r="556" s="136" customFormat="1" x14ac:dyDescent="0.3"/>
    <row r="557" s="136" customFormat="1" x14ac:dyDescent="0.3"/>
    <row r="558" s="136" customFormat="1" x14ac:dyDescent="0.3"/>
    <row r="559" s="136" customFormat="1" x14ac:dyDescent="0.3"/>
    <row r="560" s="136" customFormat="1" x14ac:dyDescent="0.3"/>
    <row r="561" s="136" customFormat="1" x14ac:dyDescent="0.3"/>
    <row r="562" s="136" customFormat="1" x14ac:dyDescent="0.3"/>
    <row r="563" s="136" customFormat="1" x14ac:dyDescent="0.3"/>
    <row r="564" s="136" customFormat="1" x14ac:dyDescent="0.3"/>
    <row r="565" s="136" customFormat="1" x14ac:dyDescent="0.3"/>
    <row r="566" s="136" customFormat="1" x14ac:dyDescent="0.3"/>
    <row r="567" s="136" customFormat="1" x14ac:dyDescent="0.3"/>
    <row r="568" s="136" customFormat="1" x14ac:dyDescent="0.3"/>
    <row r="569" s="136" customFormat="1" x14ac:dyDescent="0.3"/>
    <row r="570" s="136" customFormat="1" x14ac:dyDescent="0.3"/>
    <row r="571" s="136" customFormat="1" x14ac:dyDescent="0.3"/>
    <row r="572" s="136" customFormat="1" x14ac:dyDescent="0.3"/>
    <row r="573" s="136" customFormat="1" x14ac:dyDescent="0.3"/>
    <row r="574" s="136" customFormat="1" x14ac:dyDescent="0.3"/>
    <row r="575" s="136" customFormat="1" x14ac:dyDescent="0.3"/>
    <row r="576" s="136" customFormat="1" x14ac:dyDescent="0.3"/>
    <row r="577" s="136" customFormat="1" x14ac:dyDescent="0.3"/>
    <row r="578" s="136" customFormat="1" x14ac:dyDescent="0.3"/>
    <row r="579" s="136" customFormat="1" x14ac:dyDescent="0.3"/>
    <row r="580" s="136" customFormat="1" x14ac:dyDescent="0.3"/>
    <row r="581" s="136" customFormat="1" x14ac:dyDescent="0.3"/>
    <row r="582" s="136" customFormat="1" x14ac:dyDescent="0.3"/>
    <row r="583" s="136" customFormat="1" x14ac:dyDescent="0.3"/>
    <row r="584" s="136" customFormat="1" x14ac:dyDescent="0.3"/>
    <row r="585" s="136" customFormat="1" x14ac:dyDescent="0.3"/>
    <row r="586" s="136" customFormat="1" x14ac:dyDescent="0.3"/>
    <row r="587" s="136" customFormat="1" x14ac:dyDescent="0.3"/>
    <row r="588" s="136" customFormat="1" x14ac:dyDescent="0.3"/>
    <row r="589" s="136" customFormat="1" x14ac:dyDescent="0.3"/>
    <row r="590" s="136" customFormat="1" x14ac:dyDescent="0.3"/>
    <row r="591" s="136" customFormat="1" x14ac:dyDescent="0.3"/>
    <row r="592" s="136" customFormat="1" x14ac:dyDescent="0.3"/>
    <row r="593" s="136" customFormat="1" x14ac:dyDescent="0.3"/>
    <row r="594" s="136" customFormat="1" x14ac:dyDescent="0.3"/>
    <row r="595" s="136" customFormat="1" x14ac:dyDescent="0.3"/>
    <row r="596" s="136" customFormat="1" x14ac:dyDescent="0.3"/>
    <row r="597" s="136" customFormat="1" x14ac:dyDescent="0.3"/>
    <row r="598" s="136" customFormat="1" x14ac:dyDescent="0.3"/>
    <row r="599" s="136" customFormat="1" x14ac:dyDescent="0.3"/>
    <row r="600" s="136" customFormat="1" x14ac:dyDescent="0.3"/>
    <row r="601" s="136" customFormat="1" x14ac:dyDescent="0.3"/>
    <row r="602" s="136" customFormat="1" x14ac:dyDescent="0.3"/>
    <row r="603" s="136" customFormat="1" x14ac:dyDescent="0.3"/>
    <row r="604" s="136" customFormat="1" x14ac:dyDescent="0.3"/>
    <row r="605" s="136" customFormat="1" x14ac:dyDescent="0.3"/>
    <row r="606" s="136" customFormat="1" x14ac:dyDescent="0.3"/>
    <row r="607" s="136" customFormat="1" x14ac:dyDescent="0.3"/>
    <row r="608" s="136" customFormat="1" x14ac:dyDescent="0.3"/>
    <row r="609" s="136" customFormat="1" x14ac:dyDescent="0.3"/>
    <row r="610" s="136" customFormat="1" x14ac:dyDescent="0.3"/>
    <row r="611" s="136" customFormat="1" x14ac:dyDescent="0.3"/>
    <row r="612" s="136" customFormat="1" x14ac:dyDescent="0.3"/>
  </sheetData>
  <sheetProtection sheet="1" objects="1" scenarios="1"/>
  <mergeCells count="4">
    <mergeCell ref="B2:G2"/>
    <mergeCell ref="B7:G7"/>
    <mergeCell ref="B17:G17"/>
    <mergeCell ref="B27:G27"/>
  </mergeCells>
  <phoneticPr fontId="8" type="noConversion"/>
  <pageMargins left="0.7" right="0.7" top="0.75" bottom="0.75" header="0.3" footer="0.3"/>
  <pageSetup orientation="portrait" r:id="rId1"/>
  <legacyDrawing r:id="rId2"/>
  <tableParts count="3">
    <tablePart r:id="rId3"/>
    <tablePart r:id="rId4"/>
    <tablePart r:id="rId5"/>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171B13-07A6-40EE-B776-D6BCFAFFCEBC}">
  <dimension ref="A1:CE326"/>
  <sheetViews>
    <sheetView topLeftCell="A21" zoomScale="70" zoomScaleNormal="70" workbookViewId="0">
      <selection activeCell="L20" sqref="L20"/>
    </sheetView>
  </sheetViews>
  <sheetFormatPr defaultColWidth="8.88671875" defaultRowHeight="14.4" x14ac:dyDescent="0.3"/>
  <cols>
    <col min="1" max="1" width="1.88671875" style="136" customWidth="1"/>
    <col min="2" max="2" width="22" customWidth="1"/>
    <col min="3" max="3" width="20.44140625" customWidth="1"/>
    <col min="4" max="4" width="21.44140625" customWidth="1"/>
    <col min="5" max="5" width="21.109375" customWidth="1"/>
    <col min="6" max="6" width="21.33203125" customWidth="1"/>
    <col min="7" max="7" width="27.5546875" customWidth="1"/>
    <col min="8" max="8" width="3" style="136" customWidth="1"/>
    <col min="9" max="83" width="8.88671875" style="136"/>
  </cols>
  <sheetData>
    <row r="1" spans="1:8" x14ac:dyDescent="0.3">
      <c r="A1" s="144"/>
      <c r="B1" s="6"/>
      <c r="C1" s="6"/>
      <c r="D1" s="6"/>
      <c r="E1" s="6"/>
      <c r="F1" s="6"/>
      <c r="G1" s="6"/>
      <c r="H1" s="148"/>
    </row>
    <row r="2" spans="1:8" ht="18" x14ac:dyDescent="0.35">
      <c r="A2" s="145"/>
      <c r="B2" s="165" t="s">
        <v>25</v>
      </c>
      <c r="C2" s="165"/>
      <c r="D2" s="165"/>
      <c r="E2" s="165"/>
      <c r="F2" s="165"/>
      <c r="G2" s="165"/>
      <c r="H2" s="149"/>
    </row>
    <row r="3" spans="1:8" x14ac:dyDescent="0.3">
      <c r="A3" s="145"/>
      <c r="B3" s="138"/>
      <c r="C3" s="138"/>
      <c r="D3" s="138"/>
      <c r="E3" s="138"/>
      <c r="F3" s="138"/>
      <c r="G3" s="138"/>
      <c r="H3" s="149"/>
    </row>
    <row r="4" spans="1:8" x14ac:dyDescent="0.3">
      <c r="A4" s="145"/>
      <c r="B4" s="138" t="s">
        <v>19</v>
      </c>
      <c r="C4" s="138"/>
      <c r="D4" s="138"/>
      <c r="E4" s="138"/>
      <c r="F4" s="138"/>
      <c r="G4" s="138"/>
      <c r="H4" s="149"/>
    </row>
    <row r="5" spans="1:8" x14ac:dyDescent="0.3">
      <c r="A5" s="145"/>
      <c r="B5" s="138" t="s">
        <v>20</v>
      </c>
      <c r="C5" s="138"/>
      <c r="D5" s="138"/>
      <c r="E5" s="138"/>
      <c r="F5" s="138"/>
      <c r="G5" s="150"/>
      <c r="H5" s="149"/>
    </row>
    <row r="6" spans="1:8" x14ac:dyDescent="0.3">
      <c r="A6" s="145"/>
      <c r="B6" s="138"/>
      <c r="C6" s="138"/>
      <c r="D6" s="138"/>
      <c r="E6" s="138"/>
      <c r="F6" s="138"/>
      <c r="G6" s="138"/>
      <c r="H6" s="149"/>
    </row>
    <row r="7" spans="1:8" ht="15.6" x14ac:dyDescent="0.3">
      <c r="A7" s="145"/>
      <c r="B7" s="166" t="s">
        <v>1</v>
      </c>
      <c r="C7" s="166"/>
      <c r="D7" s="166"/>
      <c r="E7" s="166"/>
      <c r="F7" s="166"/>
      <c r="G7" s="4"/>
      <c r="H7" s="149"/>
    </row>
    <row r="8" spans="1:8" x14ac:dyDescent="0.3">
      <c r="A8" s="145"/>
      <c r="B8" s="4" t="s">
        <v>2</v>
      </c>
      <c r="C8" s="4" t="s">
        <v>26</v>
      </c>
      <c r="D8" s="4" t="s">
        <v>27</v>
      </c>
      <c r="E8" s="4" t="s">
        <v>28</v>
      </c>
      <c r="F8" s="4" t="s">
        <v>29</v>
      </c>
      <c r="G8" s="4"/>
      <c r="H8" s="149"/>
    </row>
    <row r="9" spans="1:8" x14ac:dyDescent="0.3">
      <c r="A9" s="145"/>
      <c r="B9" s="139" t="s">
        <v>363</v>
      </c>
      <c r="C9" s="139" t="s">
        <v>31</v>
      </c>
      <c r="D9" s="151">
        <v>5000</v>
      </c>
      <c r="E9" s="152">
        <v>150</v>
      </c>
      <c r="F9" s="59">
        <f>Table_CostParametric[[#This Row],[Cost per Unit]]*Table_CostParametric[[#This Row],[Number of Units]]</f>
        <v>750000</v>
      </c>
      <c r="G9" s="11"/>
      <c r="H9" s="149"/>
    </row>
    <row r="10" spans="1:8" x14ac:dyDescent="0.3">
      <c r="A10" s="145"/>
      <c r="B10" s="139"/>
      <c r="C10" s="139"/>
      <c r="D10" s="139"/>
      <c r="E10" s="139"/>
      <c r="F10" s="59">
        <f>Table_CostParametric[[#This Row],[Cost per Unit]]*Table_CostParametric[[#This Row],[Number of Units]]</f>
        <v>0</v>
      </c>
      <c r="G10" s="11" t="str">
        <f>IFERROR(Table_CostParametric[[#This Row],[Cost Variable]]/Table_CostParametric[[#This Row],[Cost per Unit]]/Table_CostParametric[[#This Row],[Number of Units]]/Table_CostParametric[[#This Row],[Cost Estimate]],"")</f>
        <v/>
      </c>
      <c r="H10" s="149"/>
    </row>
    <row r="11" spans="1:8" x14ac:dyDescent="0.3">
      <c r="A11" s="145"/>
      <c r="B11" s="139"/>
      <c r="C11" s="139"/>
      <c r="D11" s="139"/>
      <c r="E11" s="139"/>
      <c r="F11" s="59">
        <f>Table_CostParametric[[#This Row],[Cost per Unit]]*Table_CostParametric[[#This Row],[Number of Units]]</f>
        <v>0</v>
      </c>
      <c r="G11" s="11" t="str">
        <f>IFERROR(Table_CostParametric[[#This Row],[Cost Variable]]/Table_CostParametric[[#This Row],[Cost per Unit]]/Table_CostParametric[[#This Row],[Number of Units]]/Table_CostParametric[[#This Row],[Cost Estimate]],"")</f>
        <v/>
      </c>
      <c r="H11" s="149"/>
    </row>
    <row r="12" spans="1:8" x14ac:dyDescent="0.3">
      <c r="A12" s="145"/>
      <c r="B12" s="139"/>
      <c r="C12" s="139"/>
      <c r="D12" s="139"/>
      <c r="E12" s="139"/>
      <c r="F12" s="59">
        <f>Table_CostParametric[[#This Row],[Cost per Unit]]*Table_CostParametric[[#This Row],[Number of Units]]</f>
        <v>0</v>
      </c>
      <c r="G12" s="11" t="str">
        <f>IFERROR(Table_CostParametric[[#This Row],[Cost Variable]]/Table_CostParametric[[#This Row],[Cost per Unit]]/Table_CostParametric[[#This Row],[Number of Units]]/Table_CostParametric[[#This Row],[Cost Estimate]],"")</f>
        <v/>
      </c>
      <c r="H12" s="149"/>
    </row>
    <row r="13" spans="1:8" x14ac:dyDescent="0.3">
      <c r="A13" s="145"/>
      <c r="B13" s="139"/>
      <c r="C13" s="139"/>
      <c r="D13" s="139"/>
      <c r="E13" s="139"/>
      <c r="F13" s="109">
        <f>Table_CostParametric[[#This Row],[Cost per Unit]]*Table_CostParametric[[#This Row],[Number of Units]]</f>
        <v>0</v>
      </c>
      <c r="G13" s="11"/>
      <c r="H13" s="149"/>
    </row>
    <row r="14" spans="1:8" x14ac:dyDescent="0.3">
      <c r="A14" s="145"/>
      <c r="B14" s="139"/>
      <c r="C14" s="139"/>
      <c r="D14" s="139"/>
      <c r="E14" s="139"/>
      <c r="F14" s="109">
        <f>Table_CostParametric[[#This Row],[Cost per Unit]]*Table_CostParametric[[#This Row],[Number of Units]]</f>
        <v>0</v>
      </c>
      <c r="G14" s="11"/>
      <c r="H14" s="149"/>
    </row>
    <row r="15" spans="1:8" x14ac:dyDescent="0.3">
      <c r="A15" s="145"/>
      <c r="B15" s="139"/>
      <c r="C15" s="139"/>
      <c r="D15" s="139"/>
      <c r="E15" s="139"/>
      <c r="F15" s="109">
        <f>Table_CostParametric[[#This Row],[Cost per Unit]]*Table_CostParametric[[#This Row],[Number of Units]]</f>
        <v>0</v>
      </c>
      <c r="G15" s="11"/>
      <c r="H15" s="149"/>
    </row>
    <row r="16" spans="1:8" x14ac:dyDescent="0.3">
      <c r="A16" s="145"/>
      <c r="B16" s="139"/>
      <c r="C16" s="139"/>
      <c r="D16" s="139"/>
      <c r="E16" s="139"/>
      <c r="F16" s="59">
        <f>Table_CostParametric[[#This Row],[Cost per Unit]]*Table_CostParametric[[#This Row],[Number of Units]]</f>
        <v>0</v>
      </c>
      <c r="G16" s="11" t="str">
        <f>IFERROR(Table_CostParametric[[#This Row],[Cost Variable]]/Table_CostParametric[[#This Row],[Cost per Unit]]/Table_CostParametric[[#This Row],[Number of Units]]/Table_CostParametric[[#This Row],[Cost Estimate]],"")</f>
        <v/>
      </c>
      <c r="H16" s="149"/>
    </row>
    <row r="17" spans="1:8" x14ac:dyDescent="0.3">
      <c r="A17" s="145"/>
      <c r="B17" s="139"/>
      <c r="C17" s="139"/>
      <c r="D17" s="139"/>
      <c r="E17" s="139"/>
      <c r="F17" s="59">
        <f>Table_CostParametric[[#This Row],[Cost per Unit]]*Table_CostParametric[[#This Row],[Number of Units]]</f>
        <v>0</v>
      </c>
      <c r="G17" s="11" t="str">
        <f>IFERROR(Table_CostParametric[[#This Row],[Cost Variable]]/Table_CostParametric[[#This Row],[Cost per Unit]]/Table_CostParametric[[#This Row],[Number of Units]]/Table_CostParametric[[#This Row],[Cost Estimate]],"")</f>
        <v/>
      </c>
      <c r="H17" s="149"/>
    </row>
    <row r="18" spans="1:8" x14ac:dyDescent="0.3">
      <c r="A18" s="145"/>
      <c r="B18" s="139"/>
      <c r="C18" s="139"/>
      <c r="D18" s="139"/>
      <c r="E18" s="139"/>
      <c r="F18" s="59">
        <f>Table_CostParametric[[#This Row],[Cost per Unit]]*Table_CostParametric[[#This Row],[Number of Units]]</f>
        <v>0</v>
      </c>
      <c r="G18" s="11" t="str">
        <f>IFERROR(Table_CostParametric[[#This Row],[Cost Variable]]/Table_CostParametric[[#This Row],[Cost per Unit]]/Table_CostParametric[[#This Row],[Number of Units]]/Table_CostParametric[[#This Row],[Cost Estimate]],"")</f>
        <v/>
      </c>
      <c r="H18" s="149"/>
    </row>
    <row r="19" spans="1:8" x14ac:dyDescent="0.3">
      <c r="A19" s="145"/>
      <c r="B19" s="4"/>
      <c r="C19" s="4"/>
      <c r="D19" s="4"/>
      <c r="E19" s="4"/>
      <c r="F19" s="4"/>
      <c r="G19" s="4"/>
      <c r="H19" s="149"/>
    </row>
    <row r="20" spans="1:8" ht="15.6" x14ac:dyDescent="0.3">
      <c r="A20" s="145"/>
      <c r="B20" s="166" t="s">
        <v>12</v>
      </c>
      <c r="C20" s="166"/>
      <c r="D20" s="166"/>
      <c r="E20" s="166"/>
      <c r="F20" s="166"/>
      <c r="G20" s="166"/>
      <c r="H20" s="149"/>
    </row>
    <row r="21" spans="1:8" x14ac:dyDescent="0.3">
      <c r="A21" s="145"/>
      <c r="B21" s="4" t="s">
        <v>2</v>
      </c>
      <c r="C21" s="4" t="s">
        <v>8</v>
      </c>
      <c r="D21" s="4" t="s">
        <v>30</v>
      </c>
      <c r="E21" s="4" t="s">
        <v>10</v>
      </c>
      <c r="F21" s="4" t="s">
        <v>11</v>
      </c>
      <c r="G21" s="4" t="s">
        <v>29</v>
      </c>
      <c r="H21" s="149"/>
    </row>
    <row r="22" spans="1:8" x14ac:dyDescent="0.3">
      <c r="A22" s="145"/>
      <c r="B22" s="106" t="s">
        <v>21</v>
      </c>
      <c r="C22" s="106" t="s">
        <v>22</v>
      </c>
      <c r="D22" s="153">
        <v>500</v>
      </c>
      <c r="E22" s="106" t="s">
        <v>23</v>
      </c>
      <c r="F22" s="106">
        <v>1.5</v>
      </c>
      <c r="G22" s="131">
        <f>Table_Analogous_Estimating6[[#This Row],[Previous Cost]]*Table_Analogous_Estimating6[[#This Row],[Multiplier]]</f>
        <v>750</v>
      </c>
      <c r="H22" s="149"/>
    </row>
    <row r="23" spans="1:8" x14ac:dyDescent="0.3">
      <c r="A23" s="145"/>
      <c r="B23" s="106"/>
      <c r="C23" s="106"/>
      <c r="D23" s="106"/>
      <c r="E23" s="106"/>
      <c r="F23" s="106"/>
      <c r="G23" s="58">
        <f>Table_Analogous_Estimating6[[#This Row],[Previous Cost]]*Table_Analogous_Estimating6[[#This Row],[Multiplier]]</f>
        <v>0</v>
      </c>
      <c r="H23" s="149"/>
    </row>
    <row r="24" spans="1:8" x14ac:dyDescent="0.3">
      <c r="A24" s="145"/>
      <c r="B24" s="106"/>
      <c r="C24" s="106"/>
      <c r="D24" s="106"/>
      <c r="E24" s="106"/>
      <c r="F24" s="106"/>
      <c r="G24" s="58">
        <f>Table_Analogous_Estimating6[[#This Row],[Previous Cost]]*Table_Analogous_Estimating6[[#This Row],[Multiplier]]</f>
        <v>0</v>
      </c>
      <c r="H24" s="149"/>
    </row>
    <row r="25" spans="1:8" x14ac:dyDescent="0.3">
      <c r="A25" s="145"/>
      <c r="B25" s="106"/>
      <c r="C25" s="106"/>
      <c r="D25" s="106"/>
      <c r="E25" s="106"/>
      <c r="F25" s="106"/>
      <c r="G25" s="58">
        <f>Table_Analogous_Estimating6[[#This Row],[Previous Cost]]*Table_Analogous_Estimating6[[#This Row],[Multiplier]]</f>
        <v>0</v>
      </c>
      <c r="H25" s="149"/>
    </row>
    <row r="26" spans="1:8" x14ac:dyDescent="0.3">
      <c r="A26" s="145"/>
      <c r="B26" s="106"/>
      <c r="C26" s="106"/>
      <c r="D26" s="106"/>
      <c r="E26" s="106"/>
      <c r="F26" s="106"/>
      <c r="G26" s="58">
        <f>Table_Analogous_Estimating6[[#This Row],[Previous Cost]]*Table_Analogous_Estimating6[[#This Row],[Multiplier]]</f>
        <v>0</v>
      </c>
      <c r="H26" s="149"/>
    </row>
    <row r="27" spans="1:8" x14ac:dyDescent="0.3">
      <c r="A27" s="145"/>
      <c r="B27" s="106"/>
      <c r="C27" s="106"/>
      <c r="D27" s="106"/>
      <c r="E27" s="106"/>
      <c r="F27" s="106"/>
      <c r="G27" s="58">
        <f>Table_Analogous_Estimating6[[#This Row],[Previous Cost]]*Table_Analogous_Estimating6[[#This Row],[Multiplier]]</f>
        <v>0</v>
      </c>
      <c r="H27" s="149"/>
    </row>
    <row r="28" spans="1:8" x14ac:dyDescent="0.3">
      <c r="A28" s="145"/>
      <c r="B28" s="106"/>
      <c r="C28" s="106"/>
      <c r="D28" s="106"/>
      <c r="E28" s="106"/>
      <c r="F28" s="106"/>
      <c r="G28" s="58">
        <f>Table_Analogous_Estimating6[[#This Row],[Previous Cost]]*Table_Analogous_Estimating6[[#This Row],[Multiplier]]</f>
        <v>0</v>
      </c>
      <c r="H28" s="149"/>
    </row>
    <row r="29" spans="1:8" x14ac:dyDescent="0.3">
      <c r="A29" s="145"/>
      <c r="B29" s="106"/>
      <c r="C29" s="106"/>
      <c r="D29" s="106"/>
      <c r="E29" s="106"/>
      <c r="F29" s="106"/>
      <c r="G29" s="58"/>
      <c r="H29" s="149"/>
    </row>
    <row r="30" spans="1:8" ht="15.6" x14ac:dyDescent="0.3">
      <c r="A30" s="145"/>
      <c r="B30" s="166" t="s">
        <v>13</v>
      </c>
      <c r="C30" s="166"/>
      <c r="D30" s="166"/>
      <c r="E30" s="166"/>
      <c r="F30" s="166"/>
      <c r="G30" s="166"/>
      <c r="H30" s="149"/>
    </row>
    <row r="31" spans="1:8" x14ac:dyDescent="0.3">
      <c r="A31" s="145"/>
      <c r="B31" s="4" t="s">
        <v>2</v>
      </c>
      <c r="C31" s="4" t="s">
        <v>365</v>
      </c>
      <c r="D31" s="4" t="s">
        <v>366</v>
      </c>
      <c r="E31" s="4" t="s">
        <v>367</v>
      </c>
      <c r="F31" s="4" t="s">
        <v>368</v>
      </c>
      <c r="G31" s="4" t="s">
        <v>364</v>
      </c>
      <c r="H31" s="149"/>
    </row>
    <row r="32" spans="1:8" x14ac:dyDescent="0.3">
      <c r="A32" s="145"/>
      <c r="B32" s="154" t="s">
        <v>353</v>
      </c>
      <c r="C32" s="106">
        <v>300</v>
      </c>
      <c r="D32" s="106">
        <v>500</v>
      </c>
      <c r="E32" s="106">
        <v>700</v>
      </c>
      <c r="F32" s="155" t="s">
        <v>667</v>
      </c>
      <c r="G32" s="58">
        <f>(Table_CostThreePoint_Estimates[[#This Row],[Optimistic_Cost]]+4*Table_CostThreePoint_Estimates[[#This Row],[Most_Likely_Cost]]+Table_CostThreePoint_Estimates[[#This Row],[Pessimistic_Cost]])/6</f>
        <v>500</v>
      </c>
      <c r="H32" s="149"/>
    </row>
    <row r="33" spans="1:8" x14ac:dyDescent="0.3">
      <c r="A33" s="145"/>
      <c r="B33" s="154" t="s">
        <v>354</v>
      </c>
      <c r="C33" s="106">
        <v>250</v>
      </c>
      <c r="D33" s="106">
        <v>500</v>
      </c>
      <c r="E33" s="106">
        <v>750</v>
      </c>
      <c r="F33" s="155" t="s">
        <v>667</v>
      </c>
      <c r="G33" s="58">
        <f>(Table_CostThreePoint_Estimates[[#This Row],[Optimistic_Cost]]+4*Table_CostThreePoint_Estimates[[#This Row],[Most_Likely_Cost]]+Table_CostThreePoint_Estimates[[#This Row],[Pessimistic_Cost]])/6</f>
        <v>500</v>
      </c>
      <c r="H33" s="149"/>
    </row>
    <row r="34" spans="1:8" x14ac:dyDescent="0.3">
      <c r="A34" s="145"/>
      <c r="B34" s="154" t="s">
        <v>355</v>
      </c>
      <c r="C34" s="106">
        <v>350</v>
      </c>
      <c r="D34" s="106">
        <v>600</v>
      </c>
      <c r="E34" s="106">
        <v>850</v>
      </c>
      <c r="F34" s="155" t="s">
        <v>667</v>
      </c>
      <c r="G34" s="132">
        <f>(Table_CostThreePoint_Estimates[[#This Row],[Optimistic_Cost]]+4*Table_CostThreePoint_Estimates[[#This Row],[Most_Likely_Cost]]+Table_CostThreePoint_Estimates[[#This Row],[Pessimistic_Cost]])/6</f>
        <v>600</v>
      </c>
      <c r="H34" s="149"/>
    </row>
    <row r="35" spans="1:8" x14ac:dyDescent="0.3">
      <c r="A35" s="145"/>
      <c r="B35" s="154" t="s">
        <v>546</v>
      </c>
      <c r="C35" s="106">
        <v>100</v>
      </c>
      <c r="D35" s="106">
        <v>150</v>
      </c>
      <c r="E35" s="106">
        <v>200</v>
      </c>
      <c r="F35" s="155" t="s">
        <v>668</v>
      </c>
      <c r="G35" s="132">
        <f>(Table_CostThreePoint_Estimates[[#This Row],[Optimistic_Cost]]+4*Table_CostThreePoint_Estimates[[#This Row],[Most_Likely_Cost]]+Table_CostThreePoint_Estimates[[#This Row],[Pessimistic_Cost]])/6</f>
        <v>150</v>
      </c>
      <c r="H35" s="149"/>
    </row>
    <row r="36" spans="1:8" x14ac:dyDescent="0.3">
      <c r="A36" s="145"/>
      <c r="B36" s="154" t="s">
        <v>356</v>
      </c>
      <c r="C36" s="106">
        <v>500</v>
      </c>
      <c r="D36" s="106">
        <v>1500</v>
      </c>
      <c r="E36" s="106">
        <v>2500</v>
      </c>
      <c r="F36" s="155" t="s">
        <v>667</v>
      </c>
      <c r="G36" s="132">
        <f>(Table_CostThreePoint_Estimates[[#This Row],[Optimistic_Cost]]+4*Table_CostThreePoint_Estimates[[#This Row],[Most_Likely_Cost]]+Table_CostThreePoint_Estimates[[#This Row],[Pessimistic_Cost]])/6</f>
        <v>1500</v>
      </c>
      <c r="H36" s="149"/>
    </row>
    <row r="37" spans="1:8" x14ac:dyDescent="0.3">
      <c r="A37" s="145"/>
      <c r="B37" s="154" t="s">
        <v>357</v>
      </c>
      <c r="C37" s="106">
        <v>200</v>
      </c>
      <c r="D37" s="106">
        <v>500</v>
      </c>
      <c r="E37" s="106">
        <v>800</v>
      </c>
      <c r="F37" s="155" t="s">
        <v>667</v>
      </c>
      <c r="G37" s="132">
        <f>(Table_CostThreePoint_Estimates[[#This Row],[Optimistic_Cost]]+4*Table_CostThreePoint_Estimates[[#This Row],[Most_Likely_Cost]]+Table_CostThreePoint_Estimates[[#This Row],[Pessimistic_Cost]])/6</f>
        <v>500</v>
      </c>
      <c r="H37" s="149"/>
    </row>
    <row r="38" spans="1:8" x14ac:dyDescent="0.3">
      <c r="A38" s="145"/>
      <c r="B38" s="154" t="s">
        <v>358</v>
      </c>
      <c r="C38" s="106">
        <v>300</v>
      </c>
      <c r="D38" s="106">
        <v>500</v>
      </c>
      <c r="E38" s="106">
        <v>700</v>
      </c>
      <c r="F38" s="155" t="s">
        <v>667</v>
      </c>
      <c r="G38" s="132">
        <f>(Table_CostThreePoint_Estimates[[#This Row],[Optimistic_Cost]]+4*Table_CostThreePoint_Estimates[[#This Row],[Most_Likely_Cost]]+Table_CostThreePoint_Estimates[[#This Row],[Pessimistic_Cost]])/6</f>
        <v>500</v>
      </c>
      <c r="H38" s="149"/>
    </row>
    <row r="39" spans="1:8" x14ac:dyDescent="0.3">
      <c r="A39" s="145"/>
      <c r="B39" s="154" t="s">
        <v>359</v>
      </c>
      <c r="C39" s="106">
        <v>2250</v>
      </c>
      <c r="D39" s="106">
        <v>2500</v>
      </c>
      <c r="E39" s="106">
        <v>2750</v>
      </c>
      <c r="F39" s="155" t="s">
        <v>667</v>
      </c>
      <c r="G39" s="58">
        <f>(Table_CostThreePoint_Estimates[[#This Row],[Optimistic_Cost]]+4*Table_CostThreePoint_Estimates[[#This Row],[Most_Likely_Cost]]+Table_CostThreePoint_Estimates[[#This Row],[Pessimistic_Cost]])/6</f>
        <v>2500</v>
      </c>
      <c r="H39" s="149"/>
    </row>
    <row r="40" spans="1:8" x14ac:dyDescent="0.3">
      <c r="A40" s="145"/>
      <c r="B40" s="154" t="s">
        <v>360</v>
      </c>
      <c r="C40" s="106">
        <v>250</v>
      </c>
      <c r="D40" s="106">
        <v>500</v>
      </c>
      <c r="E40" s="106">
        <v>750</v>
      </c>
      <c r="F40" s="155" t="s">
        <v>667</v>
      </c>
      <c r="G40" s="58">
        <f>(Table_CostThreePoint_Estimates[[#This Row],[Optimistic_Cost]]+4*Table_CostThreePoint_Estimates[[#This Row],[Most_Likely_Cost]]+Table_CostThreePoint_Estimates[[#This Row],[Pessimistic_Cost]])/6</f>
        <v>500</v>
      </c>
      <c r="H40" s="149"/>
    </row>
    <row r="41" spans="1:8" x14ac:dyDescent="0.3">
      <c r="A41" s="145"/>
      <c r="B41" s="154" t="s">
        <v>361</v>
      </c>
      <c r="C41" s="106">
        <v>200</v>
      </c>
      <c r="D41" s="106">
        <v>250</v>
      </c>
      <c r="E41" s="106">
        <v>300</v>
      </c>
      <c r="F41" s="155" t="s">
        <v>667</v>
      </c>
      <c r="G41" s="58">
        <f>(Table_CostThreePoint_Estimates[[#This Row],[Optimistic_Cost]]+4*Table_CostThreePoint_Estimates[[#This Row],[Most_Likely_Cost]]+Table_CostThreePoint_Estimates[[#This Row],[Pessimistic_Cost]])/6</f>
        <v>250</v>
      </c>
      <c r="H41" s="149"/>
    </row>
    <row r="42" spans="1:8" x14ac:dyDescent="0.3">
      <c r="A42" s="145"/>
      <c r="B42" s="154" t="s">
        <v>362</v>
      </c>
      <c r="C42" s="106">
        <v>100</v>
      </c>
      <c r="D42" s="106">
        <v>200</v>
      </c>
      <c r="E42" s="106">
        <v>300</v>
      </c>
      <c r="F42" s="155" t="s">
        <v>667</v>
      </c>
      <c r="G42" s="58">
        <f>(Table_CostThreePoint_Estimates[[#This Row],[Optimistic_Cost]]+4*Table_CostThreePoint_Estimates[[#This Row],[Most_Likely_Cost]]+Table_CostThreePoint_Estimates[[#This Row],[Pessimistic_Cost]])/6</f>
        <v>200</v>
      </c>
      <c r="H42" s="149"/>
    </row>
    <row r="43" spans="1:8" s="136" customFormat="1" x14ac:dyDescent="0.3"/>
    <row r="44" spans="1:8" s="136" customFormat="1" x14ac:dyDescent="0.3"/>
    <row r="45" spans="1:8" s="136" customFormat="1" x14ac:dyDescent="0.3"/>
    <row r="46" spans="1:8" s="136" customFormat="1" x14ac:dyDescent="0.3"/>
    <row r="47" spans="1:8" s="136" customFormat="1" x14ac:dyDescent="0.3"/>
    <row r="48" spans="1:8" s="136" customFormat="1" x14ac:dyDescent="0.3"/>
    <row r="49" s="136" customFormat="1" x14ac:dyDescent="0.3"/>
    <row r="50" s="136" customFormat="1" x14ac:dyDescent="0.3"/>
    <row r="51" s="136" customFormat="1" x14ac:dyDescent="0.3"/>
    <row r="52" s="136" customFormat="1" x14ac:dyDescent="0.3"/>
    <row r="53" s="136" customFormat="1" x14ac:dyDescent="0.3"/>
    <row r="54" s="136" customFormat="1" x14ac:dyDescent="0.3"/>
    <row r="55" s="136" customFormat="1" x14ac:dyDescent="0.3"/>
    <row r="56" s="136" customFormat="1" x14ac:dyDescent="0.3"/>
    <row r="57" s="136" customFormat="1" x14ac:dyDescent="0.3"/>
    <row r="58" s="136" customFormat="1" x14ac:dyDescent="0.3"/>
    <row r="59" s="136" customFormat="1" x14ac:dyDescent="0.3"/>
    <row r="60" s="136" customFormat="1" x14ac:dyDescent="0.3"/>
    <row r="61" s="136" customFormat="1" x14ac:dyDescent="0.3"/>
    <row r="62" s="136" customFormat="1" x14ac:dyDescent="0.3"/>
    <row r="63" s="136" customFormat="1" x14ac:dyDescent="0.3"/>
    <row r="64" s="136" customFormat="1" x14ac:dyDescent="0.3"/>
    <row r="65" s="136" customFormat="1" x14ac:dyDescent="0.3"/>
    <row r="66" s="136" customFormat="1" x14ac:dyDescent="0.3"/>
    <row r="67" s="136" customFormat="1" x14ac:dyDescent="0.3"/>
    <row r="68" s="136" customFormat="1" x14ac:dyDescent="0.3"/>
    <row r="69" s="136" customFormat="1" x14ac:dyDescent="0.3"/>
    <row r="70" s="136" customFormat="1" x14ac:dyDescent="0.3"/>
    <row r="71" s="136" customFormat="1" x14ac:dyDescent="0.3"/>
    <row r="72" s="136" customFormat="1" x14ac:dyDescent="0.3"/>
    <row r="73" s="136" customFormat="1" x14ac:dyDescent="0.3"/>
    <row r="74" s="136" customFormat="1" x14ac:dyDescent="0.3"/>
    <row r="75" s="136" customFormat="1" x14ac:dyDescent="0.3"/>
    <row r="76" s="136" customFormat="1" x14ac:dyDescent="0.3"/>
    <row r="77" s="136" customFormat="1" x14ac:dyDescent="0.3"/>
    <row r="78" s="136" customFormat="1" x14ac:dyDescent="0.3"/>
    <row r="79" s="136" customFormat="1" x14ac:dyDescent="0.3"/>
    <row r="80" s="136" customFormat="1" x14ac:dyDescent="0.3"/>
    <row r="81" s="136" customFormat="1" x14ac:dyDescent="0.3"/>
    <row r="82" s="136" customFormat="1" x14ac:dyDescent="0.3"/>
    <row r="83" s="136" customFormat="1" x14ac:dyDescent="0.3"/>
    <row r="84" s="136" customFormat="1" x14ac:dyDescent="0.3"/>
    <row r="85" s="136" customFormat="1" x14ac:dyDescent="0.3"/>
    <row r="86" s="136" customFormat="1" x14ac:dyDescent="0.3"/>
    <row r="87" s="136" customFormat="1" x14ac:dyDescent="0.3"/>
    <row r="88" s="136" customFormat="1" x14ac:dyDescent="0.3"/>
    <row r="89" s="136" customFormat="1" x14ac:dyDescent="0.3"/>
    <row r="90" s="136" customFormat="1" x14ac:dyDescent="0.3"/>
    <row r="91" s="136" customFormat="1" x14ac:dyDescent="0.3"/>
    <row r="92" s="136" customFormat="1" x14ac:dyDescent="0.3"/>
    <row r="93" s="136" customFormat="1" x14ac:dyDescent="0.3"/>
    <row r="94" s="136" customFormat="1" x14ac:dyDescent="0.3"/>
    <row r="95" s="136" customFormat="1" x14ac:dyDescent="0.3"/>
    <row r="96" s="136" customFormat="1" x14ac:dyDescent="0.3"/>
    <row r="97" s="136" customFormat="1" x14ac:dyDescent="0.3"/>
    <row r="98" s="136" customFormat="1" x14ac:dyDescent="0.3"/>
    <row r="99" s="136" customFormat="1" x14ac:dyDescent="0.3"/>
    <row r="100" s="136" customFormat="1" x14ac:dyDescent="0.3"/>
    <row r="101" s="136" customFormat="1" x14ac:dyDescent="0.3"/>
    <row r="102" s="136" customFormat="1" x14ac:dyDescent="0.3"/>
    <row r="103" s="136" customFormat="1" x14ac:dyDescent="0.3"/>
    <row r="104" s="136" customFormat="1" x14ac:dyDescent="0.3"/>
    <row r="105" s="136" customFormat="1" x14ac:dyDescent="0.3"/>
    <row r="106" s="136" customFormat="1" x14ac:dyDescent="0.3"/>
    <row r="107" s="136" customFormat="1" x14ac:dyDescent="0.3"/>
    <row r="108" s="136" customFormat="1" x14ac:dyDescent="0.3"/>
    <row r="109" s="136" customFormat="1" x14ac:dyDescent="0.3"/>
    <row r="110" s="136" customFormat="1" x14ac:dyDescent="0.3"/>
    <row r="111" s="136" customFormat="1" x14ac:dyDescent="0.3"/>
    <row r="112" s="136" customFormat="1" x14ac:dyDescent="0.3"/>
    <row r="113" s="136" customFormat="1" x14ac:dyDescent="0.3"/>
    <row r="114" s="136" customFormat="1" x14ac:dyDescent="0.3"/>
    <row r="115" s="136" customFormat="1" x14ac:dyDescent="0.3"/>
    <row r="116" s="136" customFormat="1" x14ac:dyDescent="0.3"/>
    <row r="117" s="136" customFormat="1" x14ac:dyDescent="0.3"/>
    <row r="118" s="136" customFormat="1" x14ac:dyDescent="0.3"/>
    <row r="119" s="136" customFormat="1" x14ac:dyDescent="0.3"/>
    <row r="120" s="136" customFormat="1" x14ac:dyDescent="0.3"/>
    <row r="121" s="136" customFormat="1" x14ac:dyDescent="0.3"/>
    <row r="122" s="136" customFormat="1" x14ac:dyDescent="0.3"/>
    <row r="123" s="136" customFormat="1" x14ac:dyDescent="0.3"/>
    <row r="124" s="136" customFormat="1" x14ac:dyDescent="0.3"/>
    <row r="125" s="136" customFormat="1" x14ac:dyDescent="0.3"/>
    <row r="126" s="136" customFormat="1" x14ac:dyDescent="0.3"/>
    <row r="127" s="136" customFormat="1" x14ac:dyDescent="0.3"/>
    <row r="128" s="136" customFormat="1" x14ac:dyDescent="0.3"/>
    <row r="129" s="136" customFormat="1" x14ac:dyDescent="0.3"/>
    <row r="130" s="136" customFormat="1" x14ac:dyDescent="0.3"/>
    <row r="131" s="136" customFormat="1" x14ac:dyDescent="0.3"/>
    <row r="132" s="136" customFormat="1" x14ac:dyDescent="0.3"/>
    <row r="133" s="136" customFormat="1" x14ac:dyDescent="0.3"/>
    <row r="134" s="136" customFormat="1" x14ac:dyDescent="0.3"/>
    <row r="135" s="136" customFormat="1" x14ac:dyDescent="0.3"/>
    <row r="136" s="136" customFormat="1" x14ac:dyDescent="0.3"/>
    <row r="137" s="136" customFormat="1" x14ac:dyDescent="0.3"/>
    <row r="138" s="136" customFormat="1" x14ac:dyDescent="0.3"/>
    <row r="139" s="136" customFormat="1" x14ac:dyDescent="0.3"/>
    <row r="140" s="136" customFormat="1" x14ac:dyDescent="0.3"/>
    <row r="141" s="136" customFormat="1" x14ac:dyDescent="0.3"/>
    <row r="142" s="136" customFormat="1" x14ac:dyDescent="0.3"/>
    <row r="143" s="136" customFormat="1" x14ac:dyDescent="0.3"/>
    <row r="144" s="136" customFormat="1" x14ac:dyDescent="0.3"/>
    <row r="145" s="136" customFormat="1" x14ac:dyDescent="0.3"/>
    <row r="146" s="136" customFormat="1" x14ac:dyDescent="0.3"/>
    <row r="147" s="136" customFormat="1" x14ac:dyDescent="0.3"/>
    <row r="148" s="136" customFormat="1" x14ac:dyDescent="0.3"/>
    <row r="149" s="136" customFormat="1" x14ac:dyDescent="0.3"/>
    <row r="150" s="136" customFormat="1" x14ac:dyDescent="0.3"/>
    <row r="151" s="136" customFormat="1" x14ac:dyDescent="0.3"/>
    <row r="152" s="136" customFormat="1" x14ac:dyDescent="0.3"/>
    <row r="153" s="136" customFormat="1" x14ac:dyDescent="0.3"/>
    <row r="154" s="136" customFormat="1" x14ac:dyDescent="0.3"/>
    <row r="155" s="136" customFormat="1" x14ac:dyDescent="0.3"/>
    <row r="156" s="136" customFormat="1" x14ac:dyDescent="0.3"/>
    <row r="157" s="136" customFormat="1" x14ac:dyDescent="0.3"/>
    <row r="158" s="136" customFormat="1" x14ac:dyDescent="0.3"/>
    <row r="159" s="136" customFormat="1" x14ac:dyDescent="0.3"/>
    <row r="160" s="136" customFormat="1" x14ac:dyDescent="0.3"/>
    <row r="161" s="136" customFormat="1" x14ac:dyDescent="0.3"/>
    <row r="162" s="136" customFormat="1" x14ac:dyDescent="0.3"/>
    <row r="163" s="136" customFormat="1" x14ac:dyDescent="0.3"/>
    <row r="164" s="136" customFormat="1" x14ac:dyDescent="0.3"/>
    <row r="165" s="136" customFormat="1" x14ac:dyDescent="0.3"/>
    <row r="166" s="136" customFormat="1" x14ac:dyDescent="0.3"/>
    <row r="167" s="136" customFormat="1" x14ac:dyDescent="0.3"/>
    <row r="168" s="136" customFormat="1" x14ac:dyDescent="0.3"/>
    <row r="169" s="136" customFormat="1" x14ac:dyDescent="0.3"/>
    <row r="170" s="136" customFormat="1" x14ac:dyDescent="0.3"/>
    <row r="171" s="136" customFormat="1" x14ac:dyDescent="0.3"/>
    <row r="172" s="136" customFormat="1" x14ac:dyDescent="0.3"/>
    <row r="173" s="136" customFormat="1" x14ac:dyDescent="0.3"/>
    <row r="174" s="136" customFormat="1" x14ac:dyDescent="0.3"/>
    <row r="175" s="136" customFormat="1" x14ac:dyDescent="0.3"/>
    <row r="176" s="136" customFormat="1" x14ac:dyDescent="0.3"/>
    <row r="177" s="136" customFormat="1" x14ac:dyDescent="0.3"/>
    <row r="178" s="136" customFormat="1" x14ac:dyDescent="0.3"/>
    <row r="179" s="136" customFormat="1" x14ac:dyDescent="0.3"/>
    <row r="180" s="136" customFormat="1" x14ac:dyDescent="0.3"/>
    <row r="181" s="136" customFormat="1" x14ac:dyDescent="0.3"/>
    <row r="182" s="136" customFormat="1" x14ac:dyDescent="0.3"/>
    <row r="183" s="136" customFormat="1" x14ac:dyDescent="0.3"/>
    <row r="184" s="136" customFormat="1" x14ac:dyDescent="0.3"/>
    <row r="185" s="136" customFormat="1" x14ac:dyDescent="0.3"/>
    <row r="186" s="136" customFormat="1" x14ac:dyDescent="0.3"/>
    <row r="187" s="136" customFormat="1" x14ac:dyDescent="0.3"/>
    <row r="188" s="136" customFormat="1" x14ac:dyDescent="0.3"/>
    <row r="189" s="136" customFormat="1" x14ac:dyDescent="0.3"/>
    <row r="190" s="136" customFormat="1" x14ac:dyDescent="0.3"/>
    <row r="191" s="136" customFormat="1" x14ac:dyDescent="0.3"/>
    <row r="192" s="136" customFormat="1" x14ac:dyDescent="0.3"/>
    <row r="193" s="136" customFormat="1" x14ac:dyDescent="0.3"/>
    <row r="194" s="136" customFormat="1" x14ac:dyDescent="0.3"/>
    <row r="195" s="136" customFormat="1" x14ac:dyDescent="0.3"/>
    <row r="196" s="136" customFormat="1" x14ac:dyDescent="0.3"/>
    <row r="197" s="136" customFormat="1" x14ac:dyDescent="0.3"/>
    <row r="198" s="136" customFormat="1" x14ac:dyDescent="0.3"/>
    <row r="199" s="136" customFormat="1" x14ac:dyDescent="0.3"/>
    <row r="200" s="136" customFormat="1" x14ac:dyDescent="0.3"/>
    <row r="201" s="136" customFormat="1" x14ac:dyDescent="0.3"/>
    <row r="202" s="136" customFormat="1" x14ac:dyDescent="0.3"/>
    <row r="203" s="136" customFormat="1" x14ac:dyDescent="0.3"/>
    <row r="204" s="136" customFormat="1" x14ac:dyDescent="0.3"/>
    <row r="205" s="136" customFormat="1" x14ac:dyDescent="0.3"/>
    <row r="206" s="136" customFormat="1" x14ac:dyDescent="0.3"/>
    <row r="207" s="136" customFormat="1" x14ac:dyDescent="0.3"/>
    <row r="208" s="136" customFormat="1" x14ac:dyDescent="0.3"/>
    <row r="209" s="136" customFormat="1" x14ac:dyDescent="0.3"/>
    <row r="210" s="136" customFormat="1" x14ac:dyDescent="0.3"/>
    <row r="211" s="136" customFormat="1" x14ac:dyDescent="0.3"/>
    <row r="212" s="136" customFormat="1" x14ac:dyDescent="0.3"/>
    <row r="213" s="136" customFormat="1" x14ac:dyDescent="0.3"/>
    <row r="214" s="136" customFormat="1" x14ac:dyDescent="0.3"/>
    <row r="215" s="136" customFormat="1" x14ac:dyDescent="0.3"/>
    <row r="216" s="136" customFormat="1" x14ac:dyDescent="0.3"/>
    <row r="217" s="136" customFormat="1" x14ac:dyDescent="0.3"/>
    <row r="218" s="136" customFormat="1" x14ac:dyDescent="0.3"/>
    <row r="219" s="136" customFormat="1" x14ac:dyDescent="0.3"/>
    <row r="220" s="136" customFormat="1" x14ac:dyDescent="0.3"/>
    <row r="221" s="136" customFormat="1" x14ac:dyDescent="0.3"/>
    <row r="222" s="136" customFormat="1" x14ac:dyDescent="0.3"/>
    <row r="223" s="136" customFormat="1" x14ac:dyDescent="0.3"/>
    <row r="224" s="136" customFormat="1" x14ac:dyDescent="0.3"/>
    <row r="225" s="136" customFormat="1" x14ac:dyDescent="0.3"/>
    <row r="226" s="136" customFormat="1" x14ac:dyDescent="0.3"/>
    <row r="227" s="136" customFormat="1" x14ac:dyDescent="0.3"/>
    <row r="228" s="136" customFormat="1" x14ac:dyDescent="0.3"/>
    <row r="229" s="136" customFormat="1" x14ac:dyDescent="0.3"/>
    <row r="230" s="136" customFormat="1" x14ac:dyDescent="0.3"/>
    <row r="231" s="136" customFormat="1" x14ac:dyDescent="0.3"/>
    <row r="232" s="136" customFormat="1" x14ac:dyDescent="0.3"/>
    <row r="233" s="136" customFormat="1" x14ac:dyDescent="0.3"/>
    <row r="234" s="136" customFormat="1" x14ac:dyDescent="0.3"/>
    <row r="235" s="136" customFormat="1" x14ac:dyDescent="0.3"/>
    <row r="236" s="136" customFormat="1" x14ac:dyDescent="0.3"/>
    <row r="237" s="136" customFormat="1" x14ac:dyDescent="0.3"/>
    <row r="238" s="136" customFormat="1" x14ac:dyDescent="0.3"/>
    <row r="239" s="136" customFormat="1" x14ac:dyDescent="0.3"/>
    <row r="240" s="136" customFormat="1" x14ac:dyDescent="0.3"/>
    <row r="241" s="136" customFormat="1" x14ac:dyDescent="0.3"/>
    <row r="242" s="136" customFormat="1" x14ac:dyDescent="0.3"/>
    <row r="243" s="136" customFormat="1" x14ac:dyDescent="0.3"/>
    <row r="244" s="136" customFormat="1" x14ac:dyDescent="0.3"/>
    <row r="245" s="136" customFormat="1" x14ac:dyDescent="0.3"/>
    <row r="246" s="136" customFormat="1" x14ac:dyDescent="0.3"/>
    <row r="247" s="136" customFormat="1" x14ac:dyDescent="0.3"/>
    <row r="248" s="136" customFormat="1" x14ac:dyDescent="0.3"/>
    <row r="249" s="136" customFormat="1" x14ac:dyDescent="0.3"/>
    <row r="250" s="136" customFormat="1" x14ac:dyDescent="0.3"/>
    <row r="251" s="136" customFormat="1" x14ac:dyDescent="0.3"/>
    <row r="252" s="136" customFormat="1" x14ac:dyDescent="0.3"/>
    <row r="253" s="136" customFormat="1" x14ac:dyDescent="0.3"/>
    <row r="254" s="136" customFormat="1" x14ac:dyDescent="0.3"/>
    <row r="255" s="136" customFormat="1" x14ac:dyDescent="0.3"/>
    <row r="256" s="136" customFormat="1" x14ac:dyDescent="0.3"/>
    <row r="257" s="136" customFormat="1" x14ac:dyDescent="0.3"/>
    <row r="258" s="136" customFormat="1" x14ac:dyDescent="0.3"/>
    <row r="259" s="136" customFormat="1" x14ac:dyDescent="0.3"/>
    <row r="260" s="136" customFormat="1" x14ac:dyDescent="0.3"/>
    <row r="261" s="136" customFormat="1" x14ac:dyDescent="0.3"/>
    <row r="262" s="136" customFormat="1" x14ac:dyDescent="0.3"/>
    <row r="263" s="136" customFormat="1" x14ac:dyDescent="0.3"/>
    <row r="264" s="136" customFormat="1" x14ac:dyDescent="0.3"/>
    <row r="265" s="136" customFormat="1" x14ac:dyDescent="0.3"/>
    <row r="266" s="136" customFormat="1" x14ac:dyDescent="0.3"/>
    <row r="267" s="136" customFormat="1" x14ac:dyDescent="0.3"/>
    <row r="268" s="136" customFormat="1" x14ac:dyDescent="0.3"/>
    <row r="269" s="136" customFormat="1" x14ac:dyDescent="0.3"/>
    <row r="270" s="136" customFormat="1" x14ac:dyDescent="0.3"/>
    <row r="271" s="136" customFormat="1" x14ac:dyDescent="0.3"/>
    <row r="272" s="136" customFormat="1" x14ac:dyDescent="0.3"/>
    <row r="273" s="136" customFormat="1" x14ac:dyDescent="0.3"/>
    <row r="274" s="136" customFormat="1" x14ac:dyDescent="0.3"/>
    <row r="275" s="136" customFormat="1" x14ac:dyDescent="0.3"/>
    <row r="276" s="136" customFormat="1" x14ac:dyDescent="0.3"/>
    <row r="277" s="136" customFormat="1" x14ac:dyDescent="0.3"/>
    <row r="278" s="136" customFormat="1" x14ac:dyDescent="0.3"/>
    <row r="279" s="136" customFormat="1" x14ac:dyDescent="0.3"/>
    <row r="280" s="136" customFormat="1" x14ac:dyDescent="0.3"/>
    <row r="281" s="136" customFormat="1" x14ac:dyDescent="0.3"/>
    <row r="282" s="136" customFormat="1" x14ac:dyDescent="0.3"/>
    <row r="283" s="136" customFormat="1" x14ac:dyDescent="0.3"/>
    <row r="284" s="136" customFormat="1" x14ac:dyDescent="0.3"/>
    <row r="285" s="136" customFormat="1" x14ac:dyDescent="0.3"/>
    <row r="286" s="136" customFormat="1" x14ac:dyDescent="0.3"/>
    <row r="287" s="136" customFormat="1" x14ac:dyDescent="0.3"/>
    <row r="288" s="136" customFormat="1" x14ac:dyDescent="0.3"/>
    <row r="289" s="136" customFormat="1" x14ac:dyDescent="0.3"/>
    <row r="290" s="136" customFormat="1" x14ac:dyDescent="0.3"/>
    <row r="291" s="136" customFormat="1" x14ac:dyDescent="0.3"/>
    <row r="292" s="136" customFormat="1" x14ac:dyDescent="0.3"/>
    <row r="293" s="136" customFormat="1" x14ac:dyDescent="0.3"/>
    <row r="294" s="136" customFormat="1" x14ac:dyDescent="0.3"/>
    <row r="295" s="136" customFormat="1" x14ac:dyDescent="0.3"/>
    <row r="296" s="136" customFormat="1" x14ac:dyDescent="0.3"/>
    <row r="297" s="136" customFormat="1" x14ac:dyDescent="0.3"/>
    <row r="298" s="136" customFormat="1" x14ac:dyDescent="0.3"/>
    <row r="299" s="136" customFormat="1" x14ac:dyDescent="0.3"/>
    <row r="300" s="136" customFormat="1" x14ac:dyDescent="0.3"/>
    <row r="301" s="136" customFormat="1" x14ac:dyDescent="0.3"/>
    <row r="302" s="136" customFormat="1" x14ac:dyDescent="0.3"/>
    <row r="303" s="136" customFormat="1" x14ac:dyDescent="0.3"/>
    <row r="304" s="136" customFormat="1" x14ac:dyDescent="0.3"/>
    <row r="305" s="136" customFormat="1" x14ac:dyDescent="0.3"/>
    <row r="306" s="136" customFormat="1" x14ac:dyDescent="0.3"/>
    <row r="307" s="136" customFormat="1" x14ac:dyDescent="0.3"/>
    <row r="308" s="136" customFormat="1" x14ac:dyDescent="0.3"/>
    <row r="309" s="136" customFormat="1" x14ac:dyDescent="0.3"/>
    <row r="310" s="136" customFormat="1" x14ac:dyDescent="0.3"/>
    <row r="311" s="136" customFormat="1" x14ac:dyDescent="0.3"/>
    <row r="312" s="136" customFormat="1" x14ac:dyDescent="0.3"/>
    <row r="313" s="136" customFormat="1" x14ac:dyDescent="0.3"/>
    <row r="314" s="136" customFormat="1" x14ac:dyDescent="0.3"/>
    <row r="315" s="136" customFormat="1" x14ac:dyDescent="0.3"/>
    <row r="316" s="136" customFormat="1" x14ac:dyDescent="0.3"/>
    <row r="317" s="136" customFormat="1" x14ac:dyDescent="0.3"/>
    <row r="318" s="136" customFormat="1" x14ac:dyDescent="0.3"/>
    <row r="319" s="136" customFormat="1" x14ac:dyDescent="0.3"/>
    <row r="320" s="136" customFormat="1" x14ac:dyDescent="0.3"/>
    <row r="321" s="136" customFormat="1" x14ac:dyDescent="0.3"/>
    <row r="322" s="136" customFormat="1" x14ac:dyDescent="0.3"/>
    <row r="323" s="136" customFormat="1" x14ac:dyDescent="0.3"/>
    <row r="324" s="136" customFormat="1" x14ac:dyDescent="0.3"/>
    <row r="325" s="136" customFormat="1" x14ac:dyDescent="0.3"/>
    <row r="326" s="136" customFormat="1" x14ac:dyDescent="0.3"/>
  </sheetData>
  <sheetProtection sheet="1" objects="1" scenarios="1"/>
  <mergeCells count="4">
    <mergeCell ref="B2:G2"/>
    <mergeCell ref="B20:G20"/>
    <mergeCell ref="B30:G30"/>
    <mergeCell ref="B7:F7"/>
  </mergeCells>
  <phoneticPr fontId="8" type="noConversion"/>
  <pageMargins left="0.7" right="0.7" top="0.75" bottom="0.75" header="0.3" footer="0.3"/>
  <pageSetup orientation="portrait" r:id="rId1"/>
  <legacyDrawing r:id="rId2"/>
  <tableParts count="3">
    <tablePart r:id="rId3"/>
    <tablePart r:id="rId4"/>
    <tablePart r:id="rId5"/>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C5A1FA-DDF0-4B5F-B2C5-059D6B79EBD4}">
  <dimension ref="A1:BS551"/>
  <sheetViews>
    <sheetView workbookViewId="0">
      <selection activeCell="I5" sqref="I5"/>
    </sheetView>
  </sheetViews>
  <sheetFormatPr defaultColWidth="8.88671875" defaultRowHeight="14.4" x14ac:dyDescent="0.3"/>
  <cols>
    <col min="2" max="2" width="9.33203125" customWidth="1"/>
    <col min="3" max="3" width="9.44140625" customWidth="1"/>
    <col min="4" max="4" width="12.33203125" customWidth="1"/>
    <col min="5" max="5" width="18.5546875" customWidth="1"/>
    <col min="6" max="6" width="11" bestFit="1" customWidth="1"/>
    <col min="7" max="7" width="21.6640625" bestFit="1" customWidth="1"/>
    <col min="8" max="8" width="29.44140625" bestFit="1" customWidth="1"/>
    <col min="9" max="9" width="24.5546875" bestFit="1" customWidth="1"/>
    <col min="10" max="71" width="8.88671875" style="136"/>
  </cols>
  <sheetData>
    <row r="1" spans="1:9" ht="21" x14ac:dyDescent="0.4">
      <c r="A1" s="90" t="s">
        <v>486</v>
      </c>
      <c r="B1" s="21"/>
      <c r="C1" s="21"/>
      <c r="D1" s="21"/>
      <c r="E1" s="21"/>
      <c r="F1" s="21"/>
      <c r="G1" s="21"/>
      <c r="H1" s="21"/>
      <c r="I1" s="21"/>
    </row>
    <row r="2" spans="1:9" ht="21" x14ac:dyDescent="0.4">
      <c r="A2" s="39">
        <f>SUBTOTAL(3,Table_LLDTrackingSheet[SiteID])</f>
        <v>104</v>
      </c>
      <c r="B2" s="128" t="s">
        <v>494</v>
      </c>
      <c r="C2" s="40"/>
      <c r="D2" s="40"/>
      <c r="E2" s="129" t="s">
        <v>500</v>
      </c>
      <c r="F2" s="38"/>
      <c r="G2" s="38"/>
      <c r="H2" s="38"/>
    </row>
    <row r="3" spans="1:9" x14ac:dyDescent="0.3">
      <c r="A3" s="105" t="s">
        <v>33</v>
      </c>
      <c r="B3" s="105" t="s">
        <v>34</v>
      </c>
      <c r="C3" s="105" t="s">
        <v>44</v>
      </c>
      <c r="D3" s="105" t="s">
        <v>54</v>
      </c>
      <c r="E3" s="130" t="s">
        <v>498</v>
      </c>
      <c r="F3" s="130" t="s">
        <v>493</v>
      </c>
      <c r="G3" s="130" t="s">
        <v>499</v>
      </c>
      <c r="H3" s="130" t="s">
        <v>222</v>
      </c>
      <c r="I3" s="130" t="s">
        <v>67</v>
      </c>
    </row>
    <row r="4" spans="1:9" x14ac:dyDescent="0.3">
      <c r="A4" s="79" t="s">
        <v>38</v>
      </c>
      <c r="B4" s="79" t="s">
        <v>35</v>
      </c>
      <c r="C4" s="79" t="s">
        <v>45</v>
      </c>
      <c r="D4" s="79" t="s">
        <v>51</v>
      </c>
      <c r="E4" s="79">
        <v>1</v>
      </c>
      <c r="F4" s="58" t="str">
        <f>Table_LLDTrackingSheet[[#This Row],[SiteID]]&amp;"_"&amp;Table_LLDTrackingSheet[[#This Row],[LLDIterationNum]]</f>
        <v>AA00219_1</v>
      </c>
      <c r="G4" s="84">
        <v>43976</v>
      </c>
      <c r="H4" s="79" t="s">
        <v>491</v>
      </c>
      <c r="I4" s="79" t="s">
        <v>491</v>
      </c>
    </row>
    <row r="5" spans="1:9" x14ac:dyDescent="0.3">
      <c r="A5" s="79" t="s">
        <v>38</v>
      </c>
      <c r="B5" s="79" t="s">
        <v>35</v>
      </c>
      <c r="C5" s="79" t="s">
        <v>45</v>
      </c>
      <c r="D5" s="79" t="s">
        <v>51</v>
      </c>
      <c r="E5" s="79">
        <v>2</v>
      </c>
      <c r="F5" s="58" t="str">
        <f>Table_LLDTrackingSheet[[#This Row],[SiteID]]&amp;"_"&amp;Table_LLDTrackingSheet[[#This Row],[LLDIterationNum]]</f>
        <v>AA00219_2</v>
      </c>
      <c r="G5" s="84">
        <v>43976</v>
      </c>
      <c r="H5" s="79" t="s">
        <v>488</v>
      </c>
      <c r="I5" s="79" t="s">
        <v>487</v>
      </c>
    </row>
    <row r="6" spans="1:9" x14ac:dyDescent="0.3">
      <c r="A6" s="79" t="s">
        <v>38</v>
      </c>
      <c r="B6" s="79" t="s">
        <v>35</v>
      </c>
      <c r="C6" s="79" t="s">
        <v>45</v>
      </c>
      <c r="D6" s="79" t="s">
        <v>51</v>
      </c>
      <c r="E6" s="79">
        <v>3</v>
      </c>
      <c r="F6" s="58" t="str">
        <f>Table_LLDTrackingSheet[[#This Row],[SiteID]]&amp;"_"&amp;Table_LLDTrackingSheet[[#This Row],[LLDIterationNum]]</f>
        <v>AA00219_3</v>
      </c>
      <c r="G6" s="84">
        <v>43977</v>
      </c>
      <c r="H6" s="79" t="s">
        <v>489</v>
      </c>
      <c r="I6" s="79" t="s">
        <v>487</v>
      </c>
    </row>
    <row r="7" spans="1:9" x14ac:dyDescent="0.3">
      <c r="A7" s="79" t="s">
        <v>39</v>
      </c>
      <c r="B7" s="79" t="s">
        <v>35</v>
      </c>
      <c r="C7" s="79" t="s">
        <v>46</v>
      </c>
      <c r="D7" s="79" t="s">
        <v>52</v>
      </c>
      <c r="E7" s="79">
        <v>1</v>
      </c>
      <c r="F7" s="58" t="str">
        <f>Table_LLDTrackingSheet[[#This Row],[SiteID]]&amp;"_"&amp;Table_LLDTrackingSheet[[#This Row],[LLDIterationNum]]</f>
        <v>AA00951_1</v>
      </c>
      <c r="G7" s="84">
        <v>43984</v>
      </c>
      <c r="H7" s="79" t="s">
        <v>491</v>
      </c>
      <c r="I7" s="79" t="s">
        <v>491</v>
      </c>
    </row>
    <row r="8" spans="1:9" x14ac:dyDescent="0.3">
      <c r="A8" s="79" t="s">
        <v>40</v>
      </c>
      <c r="B8" s="79" t="s">
        <v>36</v>
      </c>
      <c r="C8" s="79" t="s">
        <v>47</v>
      </c>
      <c r="D8" s="79" t="s">
        <v>53</v>
      </c>
      <c r="E8" s="79">
        <v>1</v>
      </c>
      <c r="F8" s="58" t="str">
        <f>Table_LLDTrackingSheet[[#This Row],[SiteID]]&amp;"_"&amp;Table_LLDTrackingSheet[[#This Row],[LLDIterationNum]]</f>
        <v>ED00640_1</v>
      </c>
      <c r="G8" s="84">
        <v>43986</v>
      </c>
      <c r="H8" s="79" t="s">
        <v>491</v>
      </c>
      <c r="I8" s="79" t="s">
        <v>491</v>
      </c>
    </row>
    <row r="9" spans="1:9" x14ac:dyDescent="0.3">
      <c r="A9" s="79" t="s">
        <v>41</v>
      </c>
      <c r="B9" s="79" t="s">
        <v>36</v>
      </c>
      <c r="C9" s="79" t="s">
        <v>48</v>
      </c>
      <c r="D9" s="79" t="s">
        <v>51</v>
      </c>
      <c r="E9" s="79">
        <v>1</v>
      </c>
      <c r="F9" s="58" t="str">
        <f>Table_LLDTrackingSheet[[#This Row],[SiteID]]&amp;"_"&amp;Table_LLDTrackingSheet[[#This Row],[LLDIterationNum]]</f>
        <v>FE00941_1</v>
      </c>
      <c r="G9" s="84">
        <v>43986</v>
      </c>
      <c r="H9" s="79" t="s">
        <v>491</v>
      </c>
      <c r="I9" s="79" t="s">
        <v>491</v>
      </c>
    </row>
    <row r="10" spans="1:9" x14ac:dyDescent="0.3">
      <c r="A10" s="79" t="s">
        <v>41</v>
      </c>
      <c r="B10" s="79" t="s">
        <v>36</v>
      </c>
      <c r="C10" s="79" t="s">
        <v>48</v>
      </c>
      <c r="D10" s="79" t="s">
        <v>51</v>
      </c>
      <c r="E10" s="79">
        <v>2</v>
      </c>
      <c r="F10" s="58" t="str">
        <f>Table_LLDTrackingSheet[[#This Row],[SiteID]]&amp;"_"&amp;Table_LLDTrackingSheet[[#This Row],[LLDIterationNum]]</f>
        <v>FE00941_2</v>
      </c>
      <c r="G10" s="84">
        <v>43989</v>
      </c>
      <c r="H10" s="79" t="s">
        <v>534</v>
      </c>
      <c r="I10" s="79" t="s">
        <v>535</v>
      </c>
    </row>
    <row r="11" spans="1:9" x14ac:dyDescent="0.3">
      <c r="A11" s="79" t="s">
        <v>42</v>
      </c>
      <c r="B11" s="79" t="s">
        <v>37</v>
      </c>
      <c r="C11" s="79" t="s">
        <v>49</v>
      </c>
      <c r="D11" s="79" t="s">
        <v>52</v>
      </c>
      <c r="E11" s="79">
        <v>1</v>
      </c>
      <c r="F11" s="58" t="str">
        <f>Table_LLDTrackingSheet[[#This Row],[SiteID]]&amp;"_"&amp;Table_LLDTrackingSheet[[#This Row],[LLDIterationNum]]</f>
        <v>VC00029_1</v>
      </c>
      <c r="G11" s="84">
        <v>43984</v>
      </c>
      <c r="H11" s="79" t="s">
        <v>491</v>
      </c>
      <c r="I11" s="79" t="s">
        <v>491</v>
      </c>
    </row>
    <row r="12" spans="1:9" x14ac:dyDescent="0.3">
      <c r="A12" s="79" t="s">
        <v>43</v>
      </c>
      <c r="B12" s="79" t="s">
        <v>37</v>
      </c>
      <c r="C12" s="79" t="s">
        <v>50</v>
      </c>
      <c r="D12" s="79" t="s">
        <v>53</v>
      </c>
      <c r="E12" s="79">
        <v>1</v>
      </c>
      <c r="F12" s="58" t="str">
        <f>Table_LLDTrackingSheet[[#This Row],[SiteID]]&amp;"_"&amp;Table_LLDTrackingSheet[[#This Row],[LLDIterationNum]]</f>
        <v>CH00128_1</v>
      </c>
      <c r="G12" s="84">
        <v>43985</v>
      </c>
      <c r="H12" s="79" t="s">
        <v>491</v>
      </c>
      <c r="I12" s="79" t="s">
        <v>491</v>
      </c>
    </row>
    <row r="13" spans="1:9" x14ac:dyDescent="0.3">
      <c r="A13" s="79" t="s">
        <v>68</v>
      </c>
      <c r="B13" s="79" t="s">
        <v>35</v>
      </c>
      <c r="C13" s="79" t="s">
        <v>45</v>
      </c>
      <c r="D13" s="79" t="s">
        <v>51</v>
      </c>
      <c r="E13" s="79">
        <v>1</v>
      </c>
      <c r="F13" s="58" t="str">
        <f>Table_LLDTrackingSheet[[#This Row],[SiteID]]&amp;"_"&amp;Table_LLDTrackingSheet[[#This Row],[LLDIterationNum]]</f>
        <v>CA00135_1</v>
      </c>
      <c r="G13" s="84">
        <v>43986</v>
      </c>
      <c r="H13" s="79" t="s">
        <v>491</v>
      </c>
      <c r="I13" s="79" t="s">
        <v>491</v>
      </c>
    </row>
    <row r="14" spans="1:9" x14ac:dyDescent="0.3">
      <c r="A14" s="79" t="s">
        <v>68</v>
      </c>
      <c r="B14" s="79" t="s">
        <v>35</v>
      </c>
      <c r="C14" s="79" t="s">
        <v>45</v>
      </c>
      <c r="D14" s="79" t="s">
        <v>51</v>
      </c>
      <c r="E14" s="79">
        <v>2</v>
      </c>
      <c r="F14" s="58" t="str">
        <f>Table_LLDTrackingSheet[[#This Row],[SiteID]]&amp;"_"&amp;Table_LLDTrackingSheet[[#This Row],[LLDIterationNum]]</f>
        <v>CA00135_2</v>
      </c>
      <c r="G14" s="84">
        <v>43988</v>
      </c>
      <c r="H14" s="79" t="s">
        <v>536</v>
      </c>
      <c r="I14" s="79" t="s">
        <v>535</v>
      </c>
    </row>
    <row r="15" spans="1:9" x14ac:dyDescent="0.3">
      <c r="A15" s="79" t="s">
        <v>69</v>
      </c>
      <c r="B15" s="79" t="s">
        <v>35</v>
      </c>
      <c r="C15" s="79" t="s">
        <v>46</v>
      </c>
      <c r="D15" s="79" t="s">
        <v>52</v>
      </c>
      <c r="E15" s="79">
        <v>1</v>
      </c>
      <c r="F15" s="58" t="str">
        <f>Table_LLDTrackingSheet[[#This Row],[SiteID]]&amp;"_"&amp;Table_LLDTrackingSheet[[#This Row],[LLDIterationNum]]</f>
        <v>CA00216_1</v>
      </c>
      <c r="G15" s="84">
        <v>43993</v>
      </c>
      <c r="H15" s="79" t="s">
        <v>491</v>
      </c>
      <c r="I15" s="79" t="s">
        <v>491</v>
      </c>
    </row>
    <row r="16" spans="1:9" x14ac:dyDescent="0.3">
      <c r="A16" s="79" t="s">
        <v>70</v>
      </c>
      <c r="B16" s="79" t="s">
        <v>36</v>
      </c>
      <c r="C16" s="79" t="s">
        <v>47</v>
      </c>
      <c r="D16" s="79" t="s">
        <v>53</v>
      </c>
      <c r="E16" s="79">
        <v>1</v>
      </c>
      <c r="F16" s="58" t="str">
        <f>Table_LLDTrackingSheet[[#This Row],[SiteID]]&amp;"_"&amp;Table_LLDTrackingSheet[[#This Row],[LLDIterationNum]]</f>
        <v>CA00162_1</v>
      </c>
      <c r="G16" s="84">
        <v>43994</v>
      </c>
      <c r="H16" s="79" t="s">
        <v>491</v>
      </c>
      <c r="I16" s="79" t="s">
        <v>491</v>
      </c>
    </row>
    <row r="17" spans="1:9" x14ac:dyDescent="0.3">
      <c r="A17" s="79" t="s">
        <v>71</v>
      </c>
      <c r="B17" s="79" t="s">
        <v>36</v>
      </c>
      <c r="C17" s="79" t="s">
        <v>48</v>
      </c>
      <c r="D17" s="79" t="s">
        <v>51</v>
      </c>
      <c r="E17" s="79">
        <v>1</v>
      </c>
      <c r="F17" s="58" t="str">
        <f>Table_LLDTrackingSheet[[#This Row],[SiteID]]&amp;"_"&amp;Table_LLDTrackingSheet[[#This Row],[LLDIterationNum]]</f>
        <v>CA00257_1</v>
      </c>
      <c r="G17" s="84">
        <v>43992</v>
      </c>
      <c r="H17" s="79" t="s">
        <v>491</v>
      </c>
      <c r="I17" s="79" t="s">
        <v>491</v>
      </c>
    </row>
    <row r="18" spans="1:9" x14ac:dyDescent="0.3">
      <c r="A18" s="79" t="s">
        <v>72</v>
      </c>
      <c r="B18" s="79" t="s">
        <v>37</v>
      </c>
      <c r="C18" s="79" t="s">
        <v>49</v>
      </c>
      <c r="D18" s="79" t="s">
        <v>52</v>
      </c>
      <c r="E18" s="79">
        <v>1</v>
      </c>
      <c r="F18" s="58" t="str">
        <f>Table_LLDTrackingSheet[[#This Row],[SiteID]]&amp;"_"&amp;Table_LLDTrackingSheet[[#This Row],[LLDIterationNum]]</f>
        <v>CA00391_1</v>
      </c>
      <c r="G18" s="84">
        <v>43995</v>
      </c>
      <c r="H18" s="79" t="s">
        <v>491</v>
      </c>
      <c r="I18" s="79" t="s">
        <v>491</v>
      </c>
    </row>
    <row r="19" spans="1:9" x14ac:dyDescent="0.3">
      <c r="A19" s="79" t="s">
        <v>73</v>
      </c>
      <c r="B19" s="79" t="s">
        <v>37</v>
      </c>
      <c r="C19" s="79" t="s">
        <v>50</v>
      </c>
      <c r="D19" s="79" t="s">
        <v>53</v>
      </c>
      <c r="E19" s="79">
        <v>1</v>
      </c>
      <c r="F19" s="58" t="str">
        <f>Table_LLDTrackingSheet[[#This Row],[SiteID]]&amp;"_"&amp;Table_LLDTrackingSheet[[#This Row],[LLDIterationNum]]</f>
        <v>CA00130_1</v>
      </c>
      <c r="G19" s="84">
        <v>43993</v>
      </c>
      <c r="H19" s="79" t="s">
        <v>491</v>
      </c>
      <c r="I19" s="79" t="s">
        <v>491</v>
      </c>
    </row>
    <row r="20" spans="1:9" x14ac:dyDescent="0.3">
      <c r="A20" s="79" t="s">
        <v>74</v>
      </c>
      <c r="B20" s="79" t="s">
        <v>35</v>
      </c>
      <c r="C20" s="79" t="s">
        <v>45</v>
      </c>
      <c r="D20" s="79" t="s">
        <v>51</v>
      </c>
      <c r="E20" s="79">
        <v>1</v>
      </c>
      <c r="F20" s="58" t="str">
        <f>Table_LLDTrackingSheet[[#This Row],[SiteID]]&amp;"_"&amp;Table_LLDTrackingSheet[[#This Row],[LLDIterationNum]]</f>
        <v>CA00149_1</v>
      </c>
      <c r="G20" s="84">
        <v>43991</v>
      </c>
      <c r="H20" s="79" t="s">
        <v>491</v>
      </c>
      <c r="I20" s="79" t="s">
        <v>491</v>
      </c>
    </row>
    <row r="21" spans="1:9" x14ac:dyDescent="0.3">
      <c r="A21" s="79" t="s">
        <v>75</v>
      </c>
      <c r="B21" s="79" t="s">
        <v>35</v>
      </c>
      <c r="C21" s="79" t="s">
        <v>46</v>
      </c>
      <c r="D21" s="79" t="s">
        <v>52</v>
      </c>
      <c r="E21" s="79">
        <v>1</v>
      </c>
      <c r="F21" s="58" t="str">
        <f>Table_LLDTrackingSheet[[#This Row],[SiteID]]&amp;"_"&amp;Table_LLDTrackingSheet[[#This Row],[LLDIterationNum]]</f>
        <v>CA00199_1</v>
      </c>
      <c r="G21" s="84">
        <v>43991</v>
      </c>
      <c r="H21" s="79" t="s">
        <v>491</v>
      </c>
      <c r="I21" s="79" t="s">
        <v>491</v>
      </c>
    </row>
    <row r="22" spans="1:9" x14ac:dyDescent="0.3">
      <c r="A22" s="79" t="s">
        <v>76</v>
      </c>
      <c r="B22" s="79" t="s">
        <v>36</v>
      </c>
      <c r="C22" s="79" t="s">
        <v>47</v>
      </c>
      <c r="D22" s="79" t="s">
        <v>53</v>
      </c>
      <c r="E22" s="79">
        <v>1</v>
      </c>
      <c r="F22" s="58" t="str">
        <f>Table_LLDTrackingSheet[[#This Row],[SiteID]]&amp;"_"&amp;Table_LLDTrackingSheet[[#This Row],[LLDIterationNum]]</f>
        <v>CA00260_1</v>
      </c>
      <c r="G22" s="84">
        <v>43994</v>
      </c>
      <c r="H22" s="79" t="s">
        <v>491</v>
      </c>
      <c r="I22" s="79" t="s">
        <v>491</v>
      </c>
    </row>
    <row r="23" spans="1:9" x14ac:dyDescent="0.3">
      <c r="A23" s="79" t="s">
        <v>77</v>
      </c>
      <c r="B23" s="79" t="s">
        <v>36</v>
      </c>
      <c r="C23" s="79" t="s">
        <v>48</v>
      </c>
      <c r="D23" s="79" t="s">
        <v>51</v>
      </c>
      <c r="E23" s="79">
        <v>1</v>
      </c>
      <c r="F23" s="58" t="str">
        <f>Table_LLDTrackingSheet[[#This Row],[SiteID]]&amp;"_"&amp;Table_LLDTrackingSheet[[#This Row],[LLDIterationNum]]</f>
        <v>CA00261_1</v>
      </c>
      <c r="G23" s="84">
        <v>43993</v>
      </c>
      <c r="H23" s="79" t="s">
        <v>491</v>
      </c>
      <c r="I23" s="79" t="s">
        <v>491</v>
      </c>
    </row>
    <row r="24" spans="1:9" x14ac:dyDescent="0.3">
      <c r="A24" s="79" t="s">
        <v>78</v>
      </c>
      <c r="B24" s="79" t="s">
        <v>37</v>
      </c>
      <c r="C24" s="79" t="s">
        <v>49</v>
      </c>
      <c r="D24" s="79" t="s">
        <v>52</v>
      </c>
      <c r="E24" s="79">
        <v>1</v>
      </c>
      <c r="F24" s="58" t="str">
        <f>Table_LLDTrackingSheet[[#This Row],[SiteID]]&amp;"_"&amp;Table_LLDTrackingSheet[[#This Row],[LLDIterationNum]]</f>
        <v>CA00262_1</v>
      </c>
      <c r="G24" s="84">
        <v>43998</v>
      </c>
      <c r="H24" s="79" t="s">
        <v>491</v>
      </c>
      <c r="I24" s="79" t="s">
        <v>491</v>
      </c>
    </row>
    <row r="25" spans="1:9" x14ac:dyDescent="0.3">
      <c r="A25" s="79" t="s">
        <v>79</v>
      </c>
      <c r="B25" s="79" t="s">
        <v>37</v>
      </c>
      <c r="C25" s="79" t="s">
        <v>50</v>
      </c>
      <c r="D25" s="79" t="s">
        <v>53</v>
      </c>
      <c r="E25" s="79">
        <v>1</v>
      </c>
      <c r="F25" s="58" t="str">
        <f>Table_LLDTrackingSheet[[#This Row],[SiteID]]&amp;"_"&amp;Table_LLDTrackingSheet[[#This Row],[LLDIterationNum]]</f>
        <v>CA00263_1</v>
      </c>
      <c r="G25" s="84">
        <v>43998</v>
      </c>
      <c r="H25" s="79" t="s">
        <v>491</v>
      </c>
      <c r="I25" s="79" t="s">
        <v>491</v>
      </c>
    </row>
    <row r="26" spans="1:9" x14ac:dyDescent="0.3">
      <c r="A26" s="79" t="s">
        <v>80</v>
      </c>
      <c r="B26" s="79" t="s">
        <v>35</v>
      </c>
      <c r="C26" s="79" t="s">
        <v>45</v>
      </c>
      <c r="D26" s="79" t="s">
        <v>51</v>
      </c>
      <c r="E26" s="79">
        <v>1</v>
      </c>
      <c r="F26" s="58" t="str">
        <f>Table_LLDTrackingSheet[[#This Row],[SiteID]]&amp;"_"&amp;Table_LLDTrackingSheet[[#This Row],[LLDIterationNum]]</f>
        <v>AM00053_1</v>
      </c>
      <c r="G26" s="84">
        <v>44000</v>
      </c>
      <c r="H26" s="79" t="s">
        <v>491</v>
      </c>
      <c r="I26" s="79" t="s">
        <v>491</v>
      </c>
    </row>
    <row r="27" spans="1:9" x14ac:dyDescent="0.3">
      <c r="A27" s="79" t="s">
        <v>81</v>
      </c>
      <c r="B27" s="79" t="s">
        <v>35</v>
      </c>
      <c r="C27" s="79" t="s">
        <v>46</v>
      </c>
      <c r="D27" s="79" t="s">
        <v>52</v>
      </c>
      <c r="E27" s="79">
        <v>1</v>
      </c>
      <c r="F27" s="58" t="str">
        <f>Table_LLDTrackingSheet[[#This Row],[SiteID]]&amp;"_"&amp;Table_LLDTrackingSheet[[#This Row],[LLDIterationNum]]</f>
        <v>CA00264_1</v>
      </c>
      <c r="G27" s="84">
        <v>43998</v>
      </c>
      <c r="H27" s="79" t="s">
        <v>491</v>
      </c>
      <c r="I27" s="79" t="s">
        <v>491</v>
      </c>
    </row>
    <row r="28" spans="1:9" x14ac:dyDescent="0.3">
      <c r="A28" s="79" t="s">
        <v>82</v>
      </c>
      <c r="B28" s="79" t="s">
        <v>36</v>
      </c>
      <c r="C28" s="79" t="s">
        <v>47</v>
      </c>
      <c r="D28" s="79" t="s">
        <v>53</v>
      </c>
      <c r="E28" s="79">
        <v>1</v>
      </c>
      <c r="F28" s="58" t="str">
        <f>Table_LLDTrackingSheet[[#This Row],[SiteID]]&amp;"_"&amp;Table_LLDTrackingSheet[[#This Row],[LLDIterationNum]]</f>
        <v>CA00265_1</v>
      </c>
      <c r="G28" s="84">
        <v>43997</v>
      </c>
      <c r="H28" s="79" t="s">
        <v>491</v>
      </c>
      <c r="I28" s="79" t="s">
        <v>491</v>
      </c>
    </row>
    <row r="29" spans="1:9" x14ac:dyDescent="0.3">
      <c r="A29" s="79" t="s">
        <v>83</v>
      </c>
      <c r="B29" s="79" t="s">
        <v>36</v>
      </c>
      <c r="C29" s="79" t="s">
        <v>48</v>
      </c>
      <c r="D29" s="79" t="s">
        <v>51</v>
      </c>
      <c r="E29" s="79">
        <v>1</v>
      </c>
      <c r="F29" s="58" t="str">
        <f>Table_LLDTrackingSheet[[#This Row],[SiteID]]&amp;"_"&amp;Table_LLDTrackingSheet[[#This Row],[LLDIterationNum]]</f>
        <v>CA00372_1</v>
      </c>
      <c r="G29" s="84">
        <v>44001</v>
      </c>
      <c r="H29" s="79" t="s">
        <v>491</v>
      </c>
      <c r="I29" s="79" t="s">
        <v>491</v>
      </c>
    </row>
    <row r="30" spans="1:9" x14ac:dyDescent="0.3">
      <c r="A30" s="79" t="s">
        <v>84</v>
      </c>
      <c r="B30" s="79" t="s">
        <v>37</v>
      </c>
      <c r="C30" s="79" t="s">
        <v>49</v>
      </c>
      <c r="D30" s="79" t="s">
        <v>52</v>
      </c>
      <c r="E30" s="79">
        <v>1</v>
      </c>
      <c r="F30" s="58" t="str">
        <f>Table_LLDTrackingSheet[[#This Row],[SiteID]]&amp;"_"&amp;Table_LLDTrackingSheet[[#This Row],[LLDIterationNum]]</f>
        <v>CA00565_1</v>
      </c>
      <c r="G30" s="84">
        <v>44001</v>
      </c>
      <c r="H30" s="79" t="s">
        <v>491</v>
      </c>
      <c r="I30" s="79" t="s">
        <v>491</v>
      </c>
    </row>
    <row r="31" spans="1:9" x14ac:dyDescent="0.3">
      <c r="A31" s="79" t="s">
        <v>85</v>
      </c>
      <c r="B31" s="79" t="s">
        <v>37</v>
      </c>
      <c r="C31" s="79" t="s">
        <v>50</v>
      </c>
      <c r="D31" s="79" t="s">
        <v>53</v>
      </c>
      <c r="E31" s="79">
        <v>1</v>
      </c>
      <c r="F31" s="58" t="str">
        <f>Table_LLDTrackingSheet[[#This Row],[SiteID]]&amp;"_"&amp;Table_LLDTrackingSheet[[#This Row],[LLDIterationNum]]</f>
        <v>CA00269_1</v>
      </c>
      <c r="G31" s="84">
        <v>43999</v>
      </c>
      <c r="H31" s="79" t="s">
        <v>491</v>
      </c>
      <c r="I31" s="79" t="s">
        <v>491</v>
      </c>
    </row>
    <row r="32" spans="1:9" x14ac:dyDescent="0.3">
      <c r="A32" s="79" t="s">
        <v>86</v>
      </c>
      <c r="B32" s="79" t="s">
        <v>35</v>
      </c>
      <c r="C32" s="79" t="s">
        <v>45</v>
      </c>
      <c r="D32" s="79" t="s">
        <v>51</v>
      </c>
      <c r="E32" s="79">
        <v>1</v>
      </c>
      <c r="F32" s="58" t="str">
        <f>Table_LLDTrackingSheet[[#This Row],[SiteID]]&amp;"_"&amp;Table_LLDTrackingSheet[[#This Row],[LLDIterationNum]]</f>
        <v>CA00496_1</v>
      </c>
      <c r="G32" s="84">
        <v>43998</v>
      </c>
      <c r="H32" s="79" t="s">
        <v>491</v>
      </c>
      <c r="I32" s="79" t="s">
        <v>491</v>
      </c>
    </row>
    <row r="33" spans="1:9" x14ac:dyDescent="0.3">
      <c r="A33" s="79" t="s">
        <v>87</v>
      </c>
      <c r="B33" s="79" t="s">
        <v>35</v>
      </c>
      <c r="C33" s="79" t="s">
        <v>46</v>
      </c>
      <c r="D33" s="79" t="s">
        <v>52</v>
      </c>
      <c r="E33" s="79">
        <v>1</v>
      </c>
      <c r="F33" s="58" t="str">
        <f>Table_LLDTrackingSheet[[#This Row],[SiteID]]&amp;"_"&amp;Table_LLDTrackingSheet[[#This Row],[LLDIterationNum]]</f>
        <v>CA00241_1</v>
      </c>
      <c r="G33" s="84">
        <v>44000</v>
      </c>
      <c r="H33" s="79" t="s">
        <v>491</v>
      </c>
      <c r="I33" s="79" t="s">
        <v>491</v>
      </c>
    </row>
    <row r="34" spans="1:9" x14ac:dyDescent="0.3">
      <c r="A34" s="79" t="s">
        <v>88</v>
      </c>
      <c r="B34" s="79" t="s">
        <v>36</v>
      </c>
      <c r="C34" s="79" t="s">
        <v>47</v>
      </c>
      <c r="D34" s="79" t="s">
        <v>53</v>
      </c>
      <c r="E34" s="79">
        <v>1</v>
      </c>
      <c r="F34" s="58" t="str">
        <f>Table_LLDTrackingSheet[[#This Row],[SiteID]]&amp;"_"&amp;Table_LLDTrackingSheet[[#This Row],[LLDIterationNum]]</f>
        <v>CA00353_1</v>
      </c>
      <c r="G34" s="84">
        <v>44006</v>
      </c>
      <c r="H34" s="79" t="s">
        <v>491</v>
      </c>
      <c r="I34" s="79" t="s">
        <v>491</v>
      </c>
    </row>
    <row r="35" spans="1:9" x14ac:dyDescent="0.3">
      <c r="A35" s="79" t="s">
        <v>89</v>
      </c>
      <c r="B35" s="79" t="s">
        <v>36</v>
      </c>
      <c r="C35" s="79" t="s">
        <v>48</v>
      </c>
      <c r="D35" s="79" t="s">
        <v>51</v>
      </c>
      <c r="E35" s="79">
        <v>1</v>
      </c>
      <c r="F35" s="58" t="str">
        <f>Table_LLDTrackingSheet[[#This Row],[SiteID]]&amp;"_"&amp;Table_LLDTrackingSheet[[#This Row],[LLDIterationNum]]</f>
        <v>HU00017_1</v>
      </c>
      <c r="G35" s="84">
        <v>44006</v>
      </c>
      <c r="H35" s="79" t="s">
        <v>491</v>
      </c>
      <c r="I35" s="79" t="s">
        <v>491</v>
      </c>
    </row>
    <row r="36" spans="1:9" x14ac:dyDescent="0.3">
      <c r="A36" s="79" t="s">
        <v>90</v>
      </c>
      <c r="B36" s="79" t="s">
        <v>37</v>
      </c>
      <c r="C36" s="79" t="s">
        <v>49</v>
      </c>
      <c r="D36" s="79" t="s">
        <v>52</v>
      </c>
      <c r="E36" s="79">
        <v>1</v>
      </c>
      <c r="F36" s="58" t="str">
        <f>Table_LLDTrackingSheet[[#This Row],[SiteID]]&amp;"_"&amp;Table_LLDTrackingSheet[[#This Row],[LLDIterationNum]]</f>
        <v>HU00060_1</v>
      </c>
      <c r="G36" s="84">
        <v>44005</v>
      </c>
      <c r="H36" s="79" t="s">
        <v>491</v>
      </c>
      <c r="I36" s="79" t="s">
        <v>491</v>
      </c>
    </row>
    <row r="37" spans="1:9" x14ac:dyDescent="0.3">
      <c r="A37" s="79" t="s">
        <v>91</v>
      </c>
      <c r="B37" s="79" t="s">
        <v>37</v>
      </c>
      <c r="C37" s="79" t="s">
        <v>50</v>
      </c>
      <c r="D37" s="79" t="s">
        <v>53</v>
      </c>
      <c r="E37" s="79">
        <v>1</v>
      </c>
      <c r="F37" s="58" t="str">
        <f>Table_LLDTrackingSheet[[#This Row],[SiteID]]&amp;"_"&amp;Table_LLDTrackingSheet[[#This Row],[LLDIterationNum]]</f>
        <v>HU00180_1</v>
      </c>
      <c r="G37" s="84">
        <v>44003</v>
      </c>
      <c r="H37" s="79" t="s">
        <v>491</v>
      </c>
      <c r="I37" s="79" t="s">
        <v>491</v>
      </c>
    </row>
    <row r="38" spans="1:9" x14ac:dyDescent="0.3">
      <c r="A38" s="79" t="s">
        <v>92</v>
      </c>
      <c r="B38" s="79" t="s">
        <v>35</v>
      </c>
      <c r="C38" s="79" t="s">
        <v>45</v>
      </c>
      <c r="D38" s="79" t="s">
        <v>52</v>
      </c>
      <c r="E38" s="79">
        <v>1</v>
      </c>
      <c r="F38" s="58" t="str">
        <f>Table_LLDTrackingSheet[[#This Row],[SiteID]]&amp;"_"&amp;Table_LLDTrackingSheet[[#This Row],[LLDIterationNum]]</f>
        <v>AM00040_1</v>
      </c>
      <c r="G38" s="84">
        <v>44006</v>
      </c>
      <c r="H38" s="79" t="s">
        <v>491</v>
      </c>
      <c r="I38" s="79" t="s">
        <v>491</v>
      </c>
    </row>
    <row r="39" spans="1:9" x14ac:dyDescent="0.3">
      <c r="A39" s="79" t="s">
        <v>93</v>
      </c>
      <c r="B39" s="79" t="s">
        <v>35</v>
      </c>
      <c r="C39" s="79" t="s">
        <v>46</v>
      </c>
      <c r="D39" s="79" t="s">
        <v>53</v>
      </c>
      <c r="E39" s="79">
        <v>1</v>
      </c>
      <c r="F39" s="58" t="str">
        <f>Table_LLDTrackingSheet[[#This Row],[SiteID]]&amp;"_"&amp;Table_LLDTrackingSheet[[#This Row],[LLDIterationNum]]</f>
        <v>AM00041_1</v>
      </c>
      <c r="G39" s="84">
        <v>44004</v>
      </c>
      <c r="H39" s="79" t="s">
        <v>491</v>
      </c>
      <c r="I39" s="79" t="s">
        <v>491</v>
      </c>
    </row>
    <row r="40" spans="1:9" x14ac:dyDescent="0.3">
      <c r="A40" s="79" t="s">
        <v>94</v>
      </c>
      <c r="B40" s="79" t="s">
        <v>36</v>
      </c>
      <c r="C40" s="79" t="s">
        <v>47</v>
      </c>
      <c r="D40" s="79" t="s">
        <v>51</v>
      </c>
      <c r="E40" s="79">
        <v>1</v>
      </c>
      <c r="F40" s="58" t="str">
        <f>Table_LLDTrackingSheet[[#This Row],[SiteID]]&amp;"_"&amp;Table_LLDTrackingSheet[[#This Row],[LLDIterationNum]]</f>
        <v>AM00067_1</v>
      </c>
      <c r="G40" s="84">
        <v>44006</v>
      </c>
      <c r="H40" s="79" t="s">
        <v>491</v>
      </c>
      <c r="I40" s="79" t="s">
        <v>491</v>
      </c>
    </row>
    <row r="41" spans="1:9" x14ac:dyDescent="0.3">
      <c r="A41" s="79" t="s">
        <v>95</v>
      </c>
      <c r="B41" s="79" t="s">
        <v>36</v>
      </c>
      <c r="C41" s="79" t="s">
        <v>48</v>
      </c>
      <c r="D41" s="79" t="s">
        <v>52</v>
      </c>
      <c r="E41" s="79">
        <v>1</v>
      </c>
      <c r="F41" s="58" t="str">
        <f>Table_LLDTrackingSheet[[#This Row],[SiteID]]&amp;"_"&amp;Table_LLDTrackingSheet[[#This Row],[LLDIterationNum]]</f>
        <v>AM00100_1</v>
      </c>
      <c r="G41" s="84">
        <v>44006</v>
      </c>
      <c r="H41" s="79" t="s">
        <v>491</v>
      </c>
      <c r="I41" s="79" t="s">
        <v>491</v>
      </c>
    </row>
    <row r="42" spans="1:9" x14ac:dyDescent="0.3">
      <c r="A42" s="79" t="s">
        <v>96</v>
      </c>
      <c r="B42" s="79" t="s">
        <v>37</v>
      </c>
      <c r="C42" s="79" t="s">
        <v>49</v>
      </c>
      <c r="D42" s="79" t="s">
        <v>53</v>
      </c>
      <c r="E42" s="79">
        <v>1</v>
      </c>
      <c r="F42" s="58" t="str">
        <f>Table_LLDTrackingSheet[[#This Row],[SiteID]]&amp;"_"&amp;Table_LLDTrackingSheet[[#This Row],[LLDIterationNum]]</f>
        <v>AM00118_1</v>
      </c>
      <c r="G42" s="84">
        <v>44005</v>
      </c>
      <c r="H42" s="79" t="s">
        <v>491</v>
      </c>
      <c r="I42" s="79" t="s">
        <v>491</v>
      </c>
    </row>
    <row r="43" spans="1:9" x14ac:dyDescent="0.3">
      <c r="A43" s="79" t="s">
        <v>97</v>
      </c>
      <c r="B43" s="79" t="s">
        <v>37</v>
      </c>
      <c r="C43" s="79" t="s">
        <v>50</v>
      </c>
      <c r="D43" s="79" t="s">
        <v>51</v>
      </c>
      <c r="E43" s="79">
        <v>1</v>
      </c>
      <c r="F43" s="58" t="str">
        <f>Table_LLDTrackingSheet[[#This Row],[SiteID]]&amp;"_"&amp;Table_LLDTrackingSheet[[#This Row],[LLDIterationNum]]</f>
        <v>AM00147_1</v>
      </c>
      <c r="G43" s="84">
        <v>44008</v>
      </c>
      <c r="H43" s="79" t="s">
        <v>491</v>
      </c>
      <c r="I43" s="79" t="s">
        <v>491</v>
      </c>
    </row>
    <row r="44" spans="1:9" x14ac:dyDescent="0.3">
      <c r="A44" s="79" t="s">
        <v>98</v>
      </c>
      <c r="B44" s="79" t="s">
        <v>35</v>
      </c>
      <c r="C44" s="79" t="s">
        <v>45</v>
      </c>
      <c r="D44" s="79" t="s">
        <v>52</v>
      </c>
      <c r="E44" s="79">
        <v>1</v>
      </c>
      <c r="F44" s="58" t="str">
        <f>Table_LLDTrackingSheet[[#This Row],[SiteID]]&amp;"_"&amp;Table_LLDTrackingSheet[[#This Row],[LLDIterationNum]]</f>
        <v>AM00230_1</v>
      </c>
      <c r="G44" s="84">
        <v>44007</v>
      </c>
      <c r="H44" s="79" t="s">
        <v>491</v>
      </c>
      <c r="I44" s="79" t="s">
        <v>491</v>
      </c>
    </row>
    <row r="45" spans="1:9" x14ac:dyDescent="0.3">
      <c r="A45" s="79" t="s">
        <v>99</v>
      </c>
      <c r="B45" s="79" t="s">
        <v>35</v>
      </c>
      <c r="C45" s="79" t="s">
        <v>46</v>
      </c>
      <c r="D45" s="79" t="s">
        <v>53</v>
      </c>
      <c r="E45" s="79">
        <v>1</v>
      </c>
      <c r="F45" s="58" t="str">
        <f>Table_LLDTrackingSheet[[#This Row],[SiteID]]&amp;"_"&amp;Table_LLDTrackingSheet[[#This Row],[LLDIterationNum]]</f>
        <v>AY00031_1</v>
      </c>
      <c r="G45" s="84">
        <v>44005</v>
      </c>
      <c r="H45" s="79" t="s">
        <v>491</v>
      </c>
      <c r="I45" s="79" t="s">
        <v>491</v>
      </c>
    </row>
    <row r="46" spans="1:9" x14ac:dyDescent="0.3">
      <c r="A46" s="79" t="s">
        <v>100</v>
      </c>
      <c r="B46" s="79" t="s">
        <v>36</v>
      </c>
      <c r="C46" s="79" t="s">
        <v>47</v>
      </c>
      <c r="D46" s="79" t="s">
        <v>51</v>
      </c>
      <c r="E46" s="79">
        <v>1</v>
      </c>
      <c r="F46" s="58" t="str">
        <f>Table_LLDTrackingSheet[[#This Row],[SiteID]]&amp;"_"&amp;Table_LLDTrackingSheet[[#This Row],[LLDIterationNum]]</f>
        <v>AY00210_1</v>
      </c>
      <c r="G46" s="84">
        <v>44014</v>
      </c>
      <c r="H46" s="79" t="s">
        <v>491</v>
      </c>
      <c r="I46" s="79" t="s">
        <v>491</v>
      </c>
    </row>
    <row r="47" spans="1:9" x14ac:dyDescent="0.3">
      <c r="A47" s="79" t="s">
        <v>101</v>
      </c>
      <c r="B47" s="79" t="s">
        <v>36</v>
      </c>
      <c r="C47" s="79" t="s">
        <v>48</v>
      </c>
      <c r="D47" s="79" t="s">
        <v>52</v>
      </c>
      <c r="E47" s="79">
        <v>1</v>
      </c>
      <c r="F47" s="58" t="str">
        <f>Table_LLDTrackingSheet[[#This Row],[SiteID]]&amp;"_"&amp;Table_LLDTrackingSheet[[#This Row],[LLDIterationNum]]</f>
        <v>HU00200_1</v>
      </c>
      <c r="G47" s="84">
        <v>44014</v>
      </c>
      <c r="H47" s="79" t="s">
        <v>491</v>
      </c>
      <c r="I47" s="79" t="s">
        <v>491</v>
      </c>
    </row>
    <row r="48" spans="1:9" x14ac:dyDescent="0.3">
      <c r="A48" s="79" t="s">
        <v>102</v>
      </c>
      <c r="B48" s="79" t="s">
        <v>37</v>
      </c>
      <c r="C48" s="79" t="s">
        <v>49</v>
      </c>
      <c r="D48" s="79" t="s">
        <v>53</v>
      </c>
      <c r="E48" s="79">
        <v>1</v>
      </c>
      <c r="F48" s="58" t="str">
        <f>Table_LLDTrackingSheet[[#This Row],[SiteID]]&amp;"_"&amp;Table_LLDTrackingSheet[[#This Row],[LLDIterationNum]]</f>
        <v>AN00035_1</v>
      </c>
      <c r="G48" s="84">
        <v>44014</v>
      </c>
      <c r="H48" s="79" t="s">
        <v>491</v>
      </c>
      <c r="I48" s="79" t="s">
        <v>491</v>
      </c>
    </row>
    <row r="49" spans="1:9" x14ac:dyDescent="0.3">
      <c r="A49" s="79" t="s">
        <v>103</v>
      </c>
      <c r="B49" s="79" t="s">
        <v>37</v>
      </c>
      <c r="C49" s="79" t="s">
        <v>50</v>
      </c>
      <c r="D49" s="79" t="s">
        <v>51</v>
      </c>
      <c r="E49" s="79">
        <v>1</v>
      </c>
      <c r="F49" s="58" t="str">
        <f>Table_LLDTrackingSheet[[#This Row],[SiteID]]&amp;"_"&amp;Table_LLDTrackingSheet[[#This Row],[LLDIterationNum]]</f>
        <v>AN00228_1</v>
      </c>
      <c r="G49" s="84">
        <v>44014</v>
      </c>
      <c r="H49" s="79" t="s">
        <v>491</v>
      </c>
      <c r="I49" s="79" t="s">
        <v>491</v>
      </c>
    </row>
    <row r="50" spans="1:9" x14ac:dyDescent="0.3">
      <c r="A50" s="79" t="s">
        <v>104</v>
      </c>
      <c r="B50" s="79" t="s">
        <v>35</v>
      </c>
      <c r="C50" s="79" t="s">
        <v>45</v>
      </c>
      <c r="D50" s="79" t="s">
        <v>52</v>
      </c>
      <c r="E50" s="79">
        <v>1</v>
      </c>
      <c r="F50" s="58" t="str">
        <f>Table_LLDTrackingSheet[[#This Row],[SiteID]]&amp;"_"&amp;Table_LLDTrackingSheet[[#This Row],[LLDIterationNum]]</f>
        <v>AM00059_1</v>
      </c>
      <c r="G50" s="84">
        <v>44012</v>
      </c>
      <c r="H50" s="79" t="s">
        <v>491</v>
      </c>
      <c r="I50" s="79" t="s">
        <v>491</v>
      </c>
    </row>
    <row r="51" spans="1:9" x14ac:dyDescent="0.3">
      <c r="A51" s="79" t="s">
        <v>105</v>
      </c>
      <c r="B51" s="79" t="s">
        <v>35</v>
      </c>
      <c r="C51" s="79" t="s">
        <v>46</v>
      </c>
      <c r="D51" s="79" t="s">
        <v>53</v>
      </c>
      <c r="E51" s="79">
        <v>1</v>
      </c>
      <c r="F51" s="58" t="str">
        <f>Table_LLDTrackingSheet[[#This Row],[SiteID]]&amp;"_"&amp;Table_LLDTrackingSheet[[#This Row],[LLDIterationNum]]</f>
        <v>AM00227_1</v>
      </c>
      <c r="G51" s="84">
        <v>44011</v>
      </c>
      <c r="H51" s="79" t="s">
        <v>491</v>
      </c>
      <c r="I51" s="79" t="s">
        <v>491</v>
      </c>
    </row>
    <row r="52" spans="1:9" x14ac:dyDescent="0.3">
      <c r="A52" s="79" t="s">
        <v>106</v>
      </c>
      <c r="B52" s="79" t="s">
        <v>36</v>
      </c>
      <c r="C52" s="79" t="s">
        <v>47</v>
      </c>
      <c r="D52" s="79" t="s">
        <v>53</v>
      </c>
      <c r="E52" s="79">
        <v>1</v>
      </c>
      <c r="F52" s="58" t="str">
        <f>Table_LLDTrackingSheet[[#This Row],[SiteID]]&amp;"_"&amp;Table_LLDTrackingSheet[[#This Row],[LLDIterationNum]]</f>
        <v>PI00226_1</v>
      </c>
      <c r="G52" s="84">
        <v>44015</v>
      </c>
      <c r="H52" s="79" t="s">
        <v>491</v>
      </c>
      <c r="I52" s="79" t="s">
        <v>491</v>
      </c>
    </row>
    <row r="53" spans="1:9" x14ac:dyDescent="0.3">
      <c r="A53" s="79" t="s">
        <v>107</v>
      </c>
      <c r="B53" s="79" t="s">
        <v>36</v>
      </c>
      <c r="C53" s="79" t="s">
        <v>48</v>
      </c>
      <c r="D53" s="79" t="s">
        <v>51</v>
      </c>
      <c r="E53" s="79">
        <v>1</v>
      </c>
      <c r="F53" s="58" t="str">
        <f>Table_LLDTrackingSheet[[#This Row],[SiteID]]&amp;"_"&amp;Table_LLDTrackingSheet[[#This Row],[LLDIterationNum]]</f>
        <v>PI00227_1</v>
      </c>
      <c r="G53" s="84">
        <v>44011</v>
      </c>
      <c r="H53" s="79" t="s">
        <v>491</v>
      </c>
      <c r="I53" s="79" t="s">
        <v>491</v>
      </c>
    </row>
    <row r="54" spans="1:9" x14ac:dyDescent="0.3">
      <c r="A54" s="79" t="s">
        <v>108</v>
      </c>
      <c r="B54" s="79" t="s">
        <v>37</v>
      </c>
      <c r="C54" s="79" t="s">
        <v>49</v>
      </c>
      <c r="D54" s="79" t="s">
        <v>52</v>
      </c>
      <c r="E54" s="79">
        <v>1</v>
      </c>
      <c r="F54" s="58" t="str">
        <f>Table_LLDTrackingSheet[[#This Row],[SiteID]]&amp;"_"&amp;Table_LLDTrackingSheet[[#This Row],[LLDIterationNum]]</f>
        <v>PI00229_1</v>
      </c>
      <c r="G54" s="84">
        <v>44010</v>
      </c>
      <c r="H54" s="79" t="s">
        <v>491</v>
      </c>
      <c r="I54" s="79" t="s">
        <v>491</v>
      </c>
    </row>
    <row r="55" spans="1:9" x14ac:dyDescent="0.3">
      <c r="A55" s="79" t="s">
        <v>109</v>
      </c>
      <c r="B55" s="79" t="s">
        <v>37</v>
      </c>
      <c r="C55" s="79" t="s">
        <v>50</v>
      </c>
      <c r="D55" s="79" t="s">
        <v>53</v>
      </c>
      <c r="E55" s="79">
        <v>1</v>
      </c>
      <c r="F55" s="58" t="str">
        <f>Table_LLDTrackingSheet[[#This Row],[SiteID]]&amp;"_"&amp;Table_LLDTrackingSheet[[#This Row],[LLDIterationNum]]</f>
        <v>PI00170_1</v>
      </c>
      <c r="G55" s="84">
        <v>44013</v>
      </c>
      <c r="H55" s="79" t="s">
        <v>491</v>
      </c>
      <c r="I55" s="79" t="s">
        <v>491</v>
      </c>
    </row>
    <row r="56" spans="1:9" x14ac:dyDescent="0.3">
      <c r="A56" s="79" t="s">
        <v>110</v>
      </c>
      <c r="B56" s="79" t="s">
        <v>35</v>
      </c>
      <c r="C56" s="79" t="s">
        <v>46</v>
      </c>
      <c r="D56" s="79" t="s">
        <v>51</v>
      </c>
      <c r="E56" s="79">
        <v>1</v>
      </c>
      <c r="F56" s="58" t="str">
        <f>Table_LLDTrackingSheet[[#This Row],[SiteID]]&amp;"_"&amp;Table_LLDTrackingSheet[[#This Row],[LLDIterationNum]]</f>
        <v>PI00179_1</v>
      </c>
      <c r="G56" s="84">
        <v>44012</v>
      </c>
      <c r="H56" s="79" t="s">
        <v>491</v>
      </c>
      <c r="I56" s="79" t="s">
        <v>491</v>
      </c>
    </row>
    <row r="57" spans="1:9" x14ac:dyDescent="0.3">
      <c r="A57" s="79" t="s">
        <v>111</v>
      </c>
      <c r="B57" s="79" t="s">
        <v>35</v>
      </c>
      <c r="C57" s="79" t="s">
        <v>47</v>
      </c>
      <c r="D57" s="79" t="s">
        <v>52</v>
      </c>
      <c r="E57" s="79">
        <v>1</v>
      </c>
      <c r="F57" s="58" t="str">
        <f>Table_LLDTrackingSheet[[#This Row],[SiteID]]&amp;"_"&amp;Table_LLDTrackingSheet[[#This Row],[LLDIterationNum]]</f>
        <v>PI00244_1</v>
      </c>
      <c r="G57" s="84">
        <v>44010</v>
      </c>
      <c r="H57" s="79" t="s">
        <v>491</v>
      </c>
      <c r="I57" s="79" t="s">
        <v>491</v>
      </c>
    </row>
    <row r="58" spans="1:9" x14ac:dyDescent="0.3">
      <c r="A58" s="79" t="s">
        <v>112</v>
      </c>
      <c r="B58" s="79" t="s">
        <v>36</v>
      </c>
      <c r="C58" s="79" t="s">
        <v>48</v>
      </c>
      <c r="D58" s="79" t="s">
        <v>53</v>
      </c>
      <c r="E58" s="79">
        <v>1</v>
      </c>
      <c r="F58" s="58" t="str">
        <f>Table_LLDTrackingSheet[[#This Row],[SiteID]]&amp;"_"&amp;Table_LLDTrackingSheet[[#This Row],[LLDIterationNum]]</f>
        <v>PI00265_1</v>
      </c>
      <c r="G58" s="84">
        <v>44013</v>
      </c>
      <c r="H58" s="79" t="s">
        <v>491</v>
      </c>
      <c r="I58" s="79" t="s">
        <v>491</v>
      </c>
    </row>
    <row r="59" spans="1:9" x14ac:dyDescent="0.3">
      <c r="A59" s="79" t="s">
        <v>113</v>
      </c>
      <c r="B59" s="79" t="s">
        <v>36</v>
      </c>
      <c r="C59" s="79" t="s">
        <v>49</v>
      </c>
      <c r="D59" s="79" t="s">
        <v>51</v>
      </c>
      <c r="E59" s="79">
        <v>1</v>
      </c>
      <c r="F59" s="58" t="str">
        <f>Table_LLDTrackingSheet[[#This Row],[SiteID]]&amp;"_"&amp;Table_LLDTrackingSheet[[#This Row],[LLDIterationNum]]</f>
        <v>PI00309_1</v>
      </c>
      <c r="G59" s="84">
        <v>44015</v>
      </c>
      <c r="H59" s="79" t="s">
        <v>491</v>
      </c>
      <c r="I59" s="79" t="s">
        <v>491</v>
      </c>
    </row>
    <row r="60" spans="1:9" x14ac:dyDescent="0.3">
      <c r="A60" s="79" t="s">
        <v>114</v>
      </c>
      <c r="B60" s="79" t="s">
        <v>37</v>
      </c>
      <c r="C60" s="79" t="s">
        <v>50</v>
      </c>
      <c r="D60" s="79" t="s">
        <v>52</v>
      </c>
      <c r="E60" s="79">
        <v>1</v>
      </c>
      <c r="F60" s="58" t="str">
        <f>Table_LLDTrackingSheet[[#This Row],[SiteID]]&amp;"_"&amp;Table_LLDTrackingSheet[[#This Row],[LLDIterationNum]]</f>
        <v>PI00188_1</v>
      </c>
      <c r="G60" s="84">
        <v>44013</v>
      </c>
      <c r="H60" s="79" t="s">
        <v>491</v>
      </c>
      <c r="I60" s="79" t="s">
        <v>491</v>
      </c>
    </row>
    <row r="61" spans="1:9" x14ac:dyDescent="0.3">
      <c r="A61" s="79" t="s">
        <v>115</v>
      </c>
      <c r="B61" s="79" t="s">
        <v>37</v>
      </c>
      <c r="C61" s="79" t="s">
        <v>45</v>
      </c>
      <c r="D61" s="79" t="s">
        <v>53</v>
      </c>
      <c r="E61" s="79">
        <v>1</v>
      </c>
      <c r="F61" s="58" t="str">
        <f>Table_LLDTrackingSheet[[#This Row],[SiteID]]&amp;"_"&amp;Table_LLDTrackingSheet[[#This Row],[LLDIterationNum]]</f>
        <v>PI00269_1</v>
      </c>
      <c r="G61" s="84">
        <v>44014</v>
      </c>
      <c r="H61" s="79" t="s">
        <v>491</v>
      </c>
      <c r="I61" s="79" t="s">
        <v>491</v>
      </c>
    </row>
    <row r="62" spans="1:9" x14ac:dyDescent="0.3">
      <c r="A62" s="79" t="s">
        <v>116</v>
      </c>
      <c r="B62" s="79" t="s">
        <v>35</v>
      </c>
      <c r="C62" s="79" t="s">
        <v>46</v>
      </c>
      <c r="D62" s="79" t="s">
        <v>51</v>
      </c>
      <c r="E62" s="79">
        <v>1</v>
      </c>
      <c r="F62" s="58" t="str">
        <f>Table_LLDTrackingSheet[[#This Row],[SiteID]]&amp;"_"&amp;Table_LLDTrackingSheet[[#This Row],[LLDIterationNum]]</f>
        <v>PI00213_1</v>
      </c>
      <c r="G62" s="84">
        <v>44017</v>
      </c>
      <c r="H62" s="79" t="s">
        <v>491</v>
      </c>
      <c r="I62" s="79" t="s">
        <v>491</v>
      </c>
    </row>
    <row r="63" spans="1:9" x14ac:dyDescent="0.3">
      <c r="A63" s="79" t="s">
        <v>117</v>
      </c>
      <c r="B63" s="79" t="s">
        <v>35</v>
      </c>
      <c r="C63" s="79" t="s">
        <v>47</v>
      </c>
      <c r="D63" s="79" t="s">
        <v>52</v>
      </c>
      <c r="E63" s="79">
        <v>1</v>
      </c>
      <c r="F63" s="58" t="str">
        <f>Table_LLDTrackingSheet[[#This Row],[SiteID]]&amp;"_"&amp;Table_LLDTrackingSheet[[#This Row],[LLDIterationNum]]</f>
        <v>PI00225_1</v>
      </c>
      <c r="G63" s="84">
        <v>44014</v>
      </c>
      <c r="H63" s="79" t="s">
        <v>491</v>
      </c>
      <c r="I63" s="79" t="s">
        <v>491</v>
      </c>
    </row>
    <row r="64" spans="1:9" x14ac:dyDescent="0.3">
      <c r="A64" s="79" t="s">
        <v>118</v>
      </c>
      <c r="B64" s="79" t="s">
        <v>36</v>
      </c>
      <c r="C64" s="79" t="s">
        <v>48</v>
      </c>
      <c r="D64" s="79" t="s">
        <v>53</v>
      </c>
      <c r="E64" s="79">
        <v>1</v>
      </c>
      <c r="F64" s="58" t="str">
        <f>Table_LLDTrackingSheet[[#This Row],[SiteID]]&amp;"_"&amp;Table_LLDTrackingSheet[[#This Row],[LLDIterationNum]]</f>
        <v>PI00240_1</v>
      </c>
      <c r="G64" s="84">
        <v>44014</v>
      </c>
      <c r="H64" s="79" t="s">
        <v>491</v>
      </c>
      <c r="I64" s="79" t="s">
        <v>491</v>
      </c>
    </row>
    <row r="65" spans="1:9" x14ac:dyDescent="0.3">
      <c r="A65" s="79" t="s">
        <v>119</v>
      </c>
      <c r="B65" s="79" t="s">
        <v>36</v>
      </c>
      <c r="C65" s="79" t="s">
        <v>45</v>
      </c>
      <c r="D65" s="79" t="s">
        <v>51</v>
      </c>
      <c r="E65" s="79">
        <v>1</v>
      </c>
      <c r="F65" s="58" t="str">
        <f>Table_LLDTrackingSheet[[#This Row],[SiteID]]&amp;"_"&amp;Table_LLDTrackingSheet[[#This Row],[LLDIterationNum]]</f>
        <v>PI00241_1</v>
      </c>
      <c r="G65" s="84">
        <v>44015</v>
      </c>
      <c r="H65" s="79" t="s">
        <v>491</v>
      </c>
      <c r="I65" s="79" t="s">
        <v>491</v>
      </c>
    </row>
    <row r="66" spans="1:9" x14ac:dyDescent="0.3">
      <c r="A66" s="79" t="s">
        <v>120</v>
      </c>
      <c r="B66" s="79" t="s">
        <v>37</v>
      </c>
      <c r="C66" s="79" t="s">
        <v>46</v>
      </c>
      <c r="D66" s="79" t="s">
        <v>52</v>
      </c>
      <c r="E66" s="79">
        <v>1</v>
      </c>
      <c r="F66" s="58" t="str">
        <f>Table_LLDTrackingSheet[[#This Row],[SiteID]]&amp;"_"&amp;Table_LLDTrackingSheet[[#This Row],[LLDIterationNum]]</f>
        <v>AN00231_1</v>
      </c>
      <c r="G66" s="84">
        <v>44014</v>
      </c>
      <c r="H66" s="79" t="s">
        <v>491</v>
      </c>
      <c r="I66" s="79" t="s">
        <v>491</v>
      </c>
    </row>
    <row r="67" spans="1:9" x14ac:dyDescent="0.3">
      <c r="A67" s="79" t="s">
        <v>121</v>
      </c>
      <c r="B67" s="79" t="s">
        <v>37</v>
      </c>
      <c r="C67" s="79" t="s">
        <v>47</v>
      </c>
      <c r="D67" s="79" t="s">
        <v>53</v>
      </c>
      <c r="E67" s="79">
        <v>1</v>
      </c>
      <c r="F67" s="58" t="str">
        <f>Table_LLDTrackingSheet[[#This Row],[SiteID]]&amp;"_"&amp;Table_LLDTrackingSheet[[#This Row],[LLDIterationNum]]</f>
        <v>AN00262_1</v>
      </c>
      <c r="G67" s="84">
        <v>44015</v>
      </c>
      <c r="H67" s="79" t="s">
        <v>491</v>
      </c>
      <c r="I67" s="79" t="s">
        <v>491</v>
      </c>
    </row>
    <row r="68" spans="1:9" x14ac:dyDescent="0.3">
      <c r="A68" s="79" t="s">
        <v>122</v>
      </c>
      <c r="B68" s="79" t="s">
        <v>35</v>
      </c>
      <c r="C68" s="79" t="s">
        <v>48</v>
      </c>
      <c r="D68" s="79" t="s">
        <v>51</v>
      </c>
      <c r="E68" s="79">
        <v>1</v>
      </c>
      <c r="F68" s="58" t="str">
        <f>Table_LLDTrackingSheet[[#This Row],[SiteID]]&amp;"_"&amp;Table_LLDTrackingSheet[[#This Row],[LLDIterationNum]]</f>
        <v>PI00256_1</v>
      </c>
      <c r="G68" s="84">
        <v>44013</v>
      </c>
      <c r="H68" s="79" t="s">
        <v>491</v>
      </c>
      <c r="I68" s="79" t="s">
        <v>491</v>
      </c>
    </row>
    <row r="69" spans="1:9" x14ac:dyDescent="0.3">
      <c r="A69" s="79" t="s">
        <v>123</v>
      </c>
      <c r="B69" s="79" t="s">
        <v>35</v>
      </c>
      <c r="C69" s="79" t="s">
        <v>49</v>
      </c>
      <c r="D69" s="79" t="s">
        <v>52</v>
      </c>
      <c r="E69" s="79">
        <v>1</v>
      </c>
      <c r="F69" s="58" t="str">
        <f>Table_LLDTrackingSheet[[#This Row],[SiteID]]&amp;"_"&amp;Table_LLDTrackingSheet[[#This Row],[LLDIterationNum]]</f>
        <v>PI00257_1</v>
      </c>
      <c r="G69" s="84">
        <v>44015</v>
      </c>
      <c r="H69" s="79" t="s">
        <v>491</v>
      </c>
      <c r="I69" s="79" t="s">
        <v>491</v>
      </c>
    </row>
    <row r="70" spans="1:9" x14ac:dyDescent="0.3">
      <c r="A70" s="79" t="s">
        <v>124</v>
      </c>
      <c r="B70" s="79" t="s">
        <v>36</v>
      </c>
      <c r="C70" s="79" t="s">
        <v>50</v>
      </c>
      <c r="D70" s="79" t="s">
        <v>53</v>
      </c>
      <c r="E70" s="79">
        <v>1</v>
      </c>
      <c r="F70" s="58" t="str">
        <f>Table_LLDTrackingSheet[[#This Row],[SiteID]]&amp;"_"&amp;Table_LLDTrackingSheet[[#This Row],[LLDIterationNum]]</f>
        <v>PI00277_1</v>
      </c>
      <c r="G70" s="84">
        <v>44017</v>
      </c>
      <c r="H70" s="79" t="s">
        <v>491</v>
      </c>
      <c r="I70" s="79" t="s">
        <v>491</v>
      </c>
    </row>
    <row r="71" spans="1:9" x14ac:dyDescent="0.3">
      <c r="A71" s="79" t="s">
        <v>125</v>
      </c>
      <c r="B71" s="79" t="s">
        <v>36</v>
      </c>
      <c r="C71" s="79" t="s">
        <v>45</v>
      </c>
      <c r="D71" s="79" t="s">
        <v>51</v>
      </c>
      <c r="E71" s="79">
        <v>1</v>
      </c>
      <c r="F71" s="58" t="str">
        <f>Table_LLDTrackingSheet[[#This Row],[SiteID]]&amp;"_"&amp;Table_LLDTrackingSheet[[#This Row],[LLDIterationNum]]</f>
        <v>PI00308_1</v>
      </c>
      <c r="G71" s="84">
        <v>44018</v>
      </c>
      <c r="H71" s="79" t="s">
        <v>491</v>
      </c>
      <c r="I71" s="79" t="s">
        <v>491</v>
      </c>
    </row>
    <row r="72" spans="1:9" x14ac:dyDescent="0.3">
      <c r="A72" s="79" t="s">
        <v>126</v>
      </c>
      <c r="B72" s="79" t="s">
        <v>37</v>
      </c>
      <c r="C72" s="79" t="s">
        <v>46</v>
      </c>
      <c r="D72" s="79" t="s">
        <v>52</v>
      </c>
      <c r="E72" s="79">
        <v>1</v>
      </c>
      <c r="F72" s="58" t="str">
        <f>Table_LLDTrackingSheet[[#This Row],[SiteID]]&amp;"_"&amp;Table_LLDTrackingSheet[[#This Row],[LLDIterationNum]]</f>
        <v>PI00313_1</v>
      </c>
      <c r="G72" s="84">
        <v>44014</v>
      </c>
      <c r="H72" s="79" t="s">
        <v>491</v>
      </c>
      <c r="I72" s="79" t="s">
        <v>491</v>
      </c>
    </row>
    <row r="73" spans="1:9" x14ac:dyDescent="0.3">
      <c r="A73" s="79" t="s">
        <v>127</v>
      </c>
      <c r="B73" s="79" t="s">
        <v>37</v>
      </c>
      <c r="C73" s="79" t="s">
        <v>47</v>
      </c>
      <c r="D73" s="79" t="s">
        <v>53</v>
      </c>
      <c r="E73" s="79">
        <v>1</v>
      </c>
      <c r="F73" s="58" t="str">
        <f>Table_LLDTrackingSheet[[#This Row],[SiteID]]&amp;"_"&amp;Table_LLDTrackingSheet[[#This Row],[LLDIterationNum]]</f>
        <v>AP00049_1</v>
      </c>
      <c r="G73" s="84">
        <v>44015</v>
      </c>
      <c r="H73" s="79" t="s">
        <v>491</v>
      </c>
      <c r="I73" s="79" t="s">
        <v>491</v>
      </c>
    </row>
    <row r="74" spans="1:9" x14ac:dyDescent="0.3">
      <c r="A74" s="79" t="s">
        <v>128</v>
      </c>
      <c r="B74" s="79" t="s">
        <v>35</v>
      </c>
      <c r="C74" s="79" t="s">
        <v>48</v>
      </c>
      <c r="D74" s="79" t="s">
        <v>51</v>
      </c>
      <c r="E74" s="79">
        <v>1</v>
      </c>
      <c r="F74" s="58" t="str">
        <f>Table_LLDTrackingSheet[[#This Row],[SiteID]]&amp;"_"&amp;Table_LLDTrackingSheet[[#This Row],[LLDIterationNum]]</f>
        <v>PI00135_1</v>
      </c>
      <c r="G74" s="84">
        <v>44017</v>
      </c>
      <c r="H74" s="79" t="s">
        <v>491</v>
      </c>
      <c r="I74" s="79" t="s">
        <v>491</v>
      </c>
    </row>
    <row r="75" spans="1:9" x14ac:dyDescent="0.3">
      <c r="A75" s="79" t="s">
        <v>129</v>
      </c>
      <c r="B75" s="79" t="s">
        <v>35</v>
      </c>
      <c r="C75" s="79" t="s">
        <v>49</v>
      </c>
      <c r="D75" s="79" t="s">
        <v>52</v>
      </c>
      <c r="E75" s="79">
        <v>1</v>
      </c>
      <c r="F75" s="58" t="str">
        <f>Table_LLDTrackingSheet[[#This Row],[SiteID]]&amp;"_"&amp;Table_LLDTrackingSheet[[#This Row],[LLDIterationNum]]</f>
        <v>PI00184_1</v>
      </c>
      <c r="G75" s="84">
        <v>44021</v>
      </c>
      <c r="H75" s="79" t="s">
        <v>491</v>
      </c>
      <c r="I75" s="79" t="s">
        <v>491</v>
      </c>
    </row>
    <row r="76" spans="1:9" x14ac:dyDescent="0.3">
      <c r="A76" s="79" t="s">
        <v>130</v>
      </c>
      <c r="B76" s="79" t="s">
        <v>36</v>
      </c>
      <c r="C76" s="79" t="s">
        <v>50</v>
      </c>
      <c r="D76" s="79" t="s">
        <v>53</v>
      </c>
      <c r="E76" s="79">
        <v>1</v>
      </c>
      <c r="F76" s="58" t="str">
        <f>Table_LLDTrackingSheet[[#This Row],[SiteID]]&amp;"_"&amp;Table_LLDTrackingSheet[[#This Row],[LLDIterationNum]]</f>
        <v>AP00092_1</v>
      </c>
      <c r="G76" s="84">
        <v>44021</v>
      </c>
      <c r="H76" s="79" t="s">
        <v>491</v>
      </c>
      <c r="I76" s="79" t="s">
        <v>491</v>
      </c>
    </row>
    <row r="77" spans="1:9" x14ac:dyDescent="0.3">
      <c r="A77" s="79" t="s">
        <v>131</v>
      </c>
      <c r="B77" s="79" t="s">
        <v>36</v>
      </c>
      <c r="C77" s="79" t="s">
        <v>45</v>
      </c>
      <c r="D77" s="79" t="s">
        <v>51</v>
      </c>
      <c r="E77" s="79">
        <v>1</v>
      </c>
      <c r="F77" s="58" t="str">
        <f>Table_LLDTrackingSheet[[#This Row],[SiteID]]&amp;"_"&amp;Table_LLDTrackingSheet[[#This Row],[LLDIterationNum]]</f>
        <v>AP00146_1</v>
      </c>
      <c r="G77" s="84">
        <v>44023</v>
      </c>
      <c r="H77" s="79" t="s">
        <v>491</v>
      </c>
      <c r="I77" s="79" t="s">
        <v>491</v>
      </c>
    </row>
    <row r="78" spans="1:9" x14ac:dyDescent="0.3">
      <c r="A78" s="79" t="s">
        <v>132</v>
      </c>
      <c r="B78" s="79" t="s">
        <v>37</v>
      </c>
      <c r="C78" s="79" t="s">
        <v>46</v>
      </c>
      <c r="D78" s="79" t="s">
        <v>52</v>
      </c>
      <c r="E78" s="79">
        <v>1</v>
      </c>
      <c r="F78" s="58" t="str">
        <f>Table_LLDTrackingSheet[[#This Row],[SiteID]]&amp;"_"&amp;Table_LLDTrackingSheet[[#This Row],[LLDIterationNum]]</f>
        <v>AP00231_1</v>
      </c>
      <c r="G78" s="84">
        <v>44021</v>
      </c>
      <c r="H78" s="79" t="s">
        <v>491</v>
      </c>
      <c r="I78" s="79" t="s">
        <v>491</v>
      </c>
    </row>
    <row r="79" spans="1:9" x14ac:dyDescent="0.3">
      <c r="A79" s="79" t="s">
        <v>133</v>
      </c>
      <c r="B79" s="79" t="s">
        <v>37</v>
      </c>
      <c r="C79" s="79" t="s">
        <v>47</v>
      </c>
      <c r="D79" s="79" t="s">
        <v>53</v>
      </c>
      <c r="E79" s="79">
        <v>1</v>
      </c>
      <c r="F79" s="58" t="str">
        <f>Table_LLDTrackingSheet[[#This Row],[SiteID]]&amp;"_"&amp;Table_LLDTrackingSheet[[#This Row],[LLDIterationNum]]</f>
        <v>AP00235_1</v>
      </c>
      <c r="G79" s="84">
        <v>44022</v>
      </c>
      <c r="H79" s="79" t="s">
        <v>491</v>
      </c>
      <c r="I79" s="79" t="s">
        <v>491</v>
      </c>
    </row>
    <row r="80" spans="1:9" x14ac:dyDescent="0.3">
      <c r="A80" s="79" t="s">
        <v>134</v>
      </c>
      <c r="B80" s="79" t="s">
        <v>35</v>
      </c>
      <c r="C80" s="79" t="s">
        <v>48</v>
      </c>
      <c r="D80" s="79" t="s">
        <v>51</v>
      </c>
      <c r="E80" s="79">
        <v>1</v>
      </c>
      <c r="F80" s="58" t="str">
        <f>Table_LLDTrackingSheet[[#This Row],[SiteID]]&amp;"_"&amp;Table_LLDTrackingSheet[[#This Row],[LLDIterationNum]]</f>
        <v>AP00239_1</v>
      </c>
      <c r="G80" s="84">
        <v>44024</v>
      </c>
      <c r="H80" s="79" t="s">
        <v>491</v>
      </c>
      <c r="I80" s="79" t="s">
        <v>491</v>
      </c>
    </row>
    <row r="81" spans="1:9" x14ac:dyDescent="0.3">
      <c r="A81" s="79" t="s">
        <v>135</v>
      </c>
      <c r="B81" s="79" t="s">
        <v>35</v>
      </c>
      <c r="C81" s="79" t="s">
        <v>49</v>
      </c>
      <c r="D81" s="79" t="s">
        <v>52</v>
      </c>
      <c r="E81" s="79">
        <v>1</v>
      </c>
      <c r="F81" s="58" t="str">
        <f>Table_LLDTrackingSheet[[#This Row],[SiteID]]&amp;"_"&amp;Table_LLDTrackingSheet[[#This Row],[LLDIterationNum]]</f>
        <v>PI00189_1</v>
      </c>
      <c r="G81" s="84">
        <v>44023</v>
      </c>
      <c r="H81" s="79" t="s">
        <v>491</v>
      </c>
      <c r="I81" s="79" t="s">
        <v>491</v>
      </c>
    </row>
    <row r="82" spans="1:9" x14ac:dyDescent="0.3">
      <c r="A82" s="79" t="s">
        <v>136</v>
      </c>
      <c r="B82" s="79" t="s">
        <v>36</v>
      </c>
      <c r="C82" s="79" t="s">
        <v>50</v>
      </c>
      <c r="D82" s="79" t="s">
        <v>53</v>
      </c>
      <c r="E82" s="79">
        <v>1</v>
      </c>
      <c r="F82" s="58" t="str">
        <f>Table_LLDTrackingSheet[[#This Row],[SiteID]]&amp;"_"&amp;Table_LLDTrackingSheet[[#This Row],[LLDIterationNum]]</f>
        <v>PI00282_1</v>
      </c>
      <c r="G82" s="84">
        <v>44021</v>
      </c>
      <c r="H82" s="79" t="s">
        <v>491</v>
      </c>
      <c r="I82" s="79" t="s">
        <v>491</v>
      </c>
    </row>
    <row r="83" spans="1:9" x14ac:dyDescent="0.3">
      <c r="A83" s="79" t="s">
        <v>137</v>
      </c>
      <c r="B83" s="79" t="s">
        <v>36</v>
      </c>
      <c r="C83" s="79" t="s">
        <v>45</v>
      </c>
      <c r="D83" s="79" t="s">
        <v>51</v>
      </c>
      <c r="E83" s="79">
        <v>1</v>
      </c>
      <c r="F83" s="58" t="str">
        <f>Table_LLDTrackingSheet[[#This Row],[SiteID]]&amp;"_"&amp;Table_LLDTrackingSheet[[#This Row],[LLDIterationNum]]</f>
        <v>PI00284_1</v>
      </c>
      <c r="G83" s="84">
        <v>44022</v>
      </c>
      <c r="H83" s="79" t="s">
        <v>491</v>
      </c>
      <c r="I83" s="79" t="s">
        <v>491</v>
      </c>
    </row>
    <row r="84" spans="1:9" x14ac:dyDescent="0.3">
      <c r="A84" s="79" t="s">
        <v>138</v>
      </c>
      <c r="B84" s="79" t="s">
        <v>37</v>
      </c>
      <c r="C84" s="79" t="s">
        <v>46</v>
      </c>
      <c r="D84" s="79" t="s">
        <v>52</v>
      </c>
      <c r="E84" s="79">
        <v>1</v>
      </c>
      <c r="F84" s="58" t="str">
        <f>Table_LLDTrackingSheet[[#This Row],[SiteID]]&amp;"_"&amp;Table_LLDTrackingSheet[[#This Row],[LLDIterationNum]]</f>
        <v>LO00158_1</v>
      </c>
      <c r="G84" s="84">
        <v>44022</v>
      </c>
      <c r="H84" s="79" t="s">
        <v>491</v>
      </c>
      <c r="I84" s="79" t="s">
        <v>491</v>
      </c>
    </row>
    <row r="85" spans="1:9" x14ac:dyDescent="0.3">
      <c r="A85" s="79" t="s">
        <v>139</v>
      </c>
      <c r="B85" s="79" t="s">
        <v>37</v>
      </c>
      <c r="C85" s="79" t="s">
        <v>47</v>
      </c>
      <c r="D85" s="79" t="s">
        <v>53</v>
      </c>
      <c r="E85" s="79">
        <v>1</v>
      </c>
      <c r="F85" s="58" t="str">
        <f>Table_LLDTrackingSheet[[#This Row],[SiteID]]&amp;"_"&amp;Table_LLDTrackingSheet[[#This Row],[LLDIterationNum]]</f>
        <v>LO00159_1</v>
      </c>
      <c r="G85" s="84">
        <v>44022</v>
      </c>
      <c r="H85" s="79" t="s">
        <v>491</v>
      </c>
      <c r="I85" s="79" t="s">
        <v>491</v>
      </c>
    </row>
    <row r="86" spans="1:9" x14ac:dyDescent="0.3">
      <c r="A86" s="79" t="s">
        <v>140</v>
      </c>
      <c r="B86" s="79" t="s">
        <v>35</v>
      </c>
      <c r="C86" s="79" t="s">
        <v>48</v>
      </c>
      <c r="D86" s="79" t="s">
        <v>51</v>
      </c>
      <c r="E86" s="79">
        <v>1</v>
      </c>
      <c r="F86" s="58" t="str">
        <f>Table_LLDTrackingSheet[[#This Row],[SiteID]]&amp;"_"&amp;Table_LLDTrackingSheet[[#This Row],[LLDIterationNum]]</f>
        <v>CA00351_1</v>
      </c>
      <c r="G86" s="84">
        <v>44024</v>
      </c>
      <c r="H86" s="79" t="s">
        <v>491</v>
      </c>
      <c r="I86" s="79" t="s">
        <v>491</v>
      </c>
    </row>
    <row r="87" spans="1:9" x14ac:dyDescent="0.3">
      <c r="A87" s="79" t="s">
        <v>141</v>
      </c>
      <c r="B87" s="79" t="s">
        <v>35</v>
      </c>
      <c r="C87" s="79" t="s">
        <v>49</v>
      </c>
      <c r="D87" s="79" t="s">
        <v>52</v>
      </c>
      <c r="E87" s="79">
        <v>1</v>
      </c>
      <c r="F87" s="58" t="str">
        <f>Table_LLDTrackingSheet[[#This Row],[SiteID]]&amp;"_"&amp;Table_LLDTrackingSheet[[#This Row],[LLDIterationNum]]</f>
        <v>CA00514_1</v>
      </c>
      <c r="G87" s="84">
        <v>44025</v>
      </c>
      <c r="H87" s="79" t="s">
        <v>491</v>
      </c>
      <c r="I87" s="79" t="s">
        <v>491</v>
      </c>
    </row>
    <row r="88" spans="1:9" x14ac:dyDescent="0.3">
      <c r="A88" s="79" t="s">
        <v>142</v>
      </c>
      <c r="B88" s="79" t="s">
        <v>36</v>
      </c>
      <c r="C88" s="79" t="s">
        <v>50</v>
      </c>
      <c r="D88" s="79" t="s">
        <v>53</v>
      </c>
      <c r="E88" s="79">
        <v>1</v>
      </c>
      <c r="F88" s="58" t="str">
        <f>Table_LLDTrackingSheet[[#This Row],[SiteID]]&amp;"_"&amp;Table_LLDTrackingSheet[[#This Row],[LLDIterationNum]]</f>
        <v>JU00157_1</v>
      </c>
      <c r="G88" s="84">
        <v>44021</v>
      </c>
      <c r="H88" s="79" t="s">
        <v>491</v>
      </c>
      <c r="I88" s="79" t="s">
        <v>491</v>
      </c>
    </row>
    <row r="89" spans="1:9" x14ac:dyDescent="0.3">
      <c r="A89" s="79" t="s">
        <v>143</v>
      </c>
      <c r="B89" s="79" t="s">
        <v>36</v>
      </c>
      <c r="C89" s="79" t="s">
        <v>45</v>
      </c>
      <c r="D89" s="79" t="s">
        <v>51</v>
      </c>
      <c r="E89" s="79">
        <v>1</v>
      </c>
      <c r="F89" s="58" t="str">
        <f>Table_LLDTrackingSheet[[#This Row],[SiteID]]&amp;"_"&amp;Table_LLDTrackingSheet[[#This Row],[LLDIterationNum]]</f>
        <v>JU00247_1</v>
      </c>
      <c r="G89" s="84">
        <v>44020</v>
      </c>
      <c r="H89" s="79" t="s">
        <v>491</v>
      </c>
      <c r="I89" s="79" t="s">
        <v>491</v>
      </c>
    </row>
    <row r="90" spans="1:9" x14ac:dyDescent="0.3">
      <c r="A90" s="79" t="s">
        <v>144</v>
      </c>
      <c r="B90" s="79" t="s">
        <v>37</v>
      </c>
      <c r="C90" s="79" t="s">
        <v>46</v>
      </c>
      <c r="D90" s="79" t="s">
        <v>52</v>
      </c>
      <c r="E90" s="79">
        <v>1</v>
      </c>
      <c r="F90" s="58" t="str">
        <f>Table_LLDTrackingSheet[[#This Row],[SiteID]]&amp;"_"&amp;Table_LLDTrackingSheet[[#This Row],[LLDIterationNum]]</f>
        <v>JU00229_1</v>
      </c>
      <c r="G90" s="84">
        <v>44021</v>
      </c>
      <c r="H90" s="79" t="s">
        <v>491</v>
      </c>
      <c r="I90" s="79" t="s">
        <v>491</v>
      </c>
    </row>
    <row r="91" spans="1:9" x14ac:dyDescent="0.3">
      <c r="A91" s="79" t="s">
        <v>145</v>
      </c>
      <c r="B91" s="79" t="s">
        <v>37</v>
      </c>
      <c r="C91" s="79" t="s">
        <v>47</v>
      </c>
      <c r="D91" s="79" t="s">
        <v>53</v>
      </c>
      <c r="E91" s="79">
        <v>1</v>
      </c>
      <c r="F91" s="58" t="str">
        <f>Table_LLDTrackingSheet[[#This Row],[SiteID]]&amp;"_"&amp;Table_LLDTrackingSheet[[#This Row],[LLDIterationNum]]</f>
        <v>JU00415_1</v>
      </c>
      <c r="G91" s="84">
        <v>44023</v>
      </c>
      <c r="H91" s="79" t="s">
        <v>491</v>
      </c>
      <c r="I91" s="79" t="s">
        <v>491</v>
      </c>
    </row>
    <row r="92" spans="1:9" x14ac:dyDescent="0.3">
      <c r="A92" s="79" t="s">
        <v>146</v>
      </c>
      <c r="B92" s="79" t="s">
        <v>35</v>
      </c>
      <c r="C92" s="79" t="s">
        <v>48</v>
      </c>
      <c r="D92" s="79" t="s">
        <v>51</v>
      </c>
      <c r="E92" s="79">
        <v>1</v>
      </c>
      <c r="F92" s="58" t="str">
        <f>Table_LLDTrackingSheet[[#This Row],[SiteID]]&amp;"_"&amp;Table_LLDTrackingSheet[[#This Row],[LLDIterationNum]]</f>
        <v>LA00134_1</v>
      </c>
      <c r="G92" s="84">
        <v>44023</v>
      </c>
      <c r="H92" s="79" t="s">
        <v>491</v>
      </c>
      <c r="I92" s="79" t="s">
        <v>491</v>
      </c>
    </row>
    <row r="93" spans="1:9" x14ac:dyDescent="0.3">
      <c r="A93" s="79" t="s">
        <v>147</v>
      </c>
      <c r="B93" s="79" t="s">
        <v>35</v>
      </c>
      <c r="C93" s="79" t="s">
        <v>49</v>
      </c>
      <c r="D93" s="79" t="s">
        <v>52</v>
      </c>
      <c r="E93" s="79">
        <v>1</v>
      </c>
      <c r="F93" s="58" t="str">
        <f>Table_LLDTrackingSheet[[#This Row],[SiteID]]&amp;"_"&amp;Table_LLDTrackingSheet[[#This Row],[LLDIterationNum]]</f>
        <v>LA00613_1</v>
      </c>
      <c r="G93" s="84">
        <v>44021</v>
      </c>
      <c r="H93" s="79" t="s">
        <v>491</v>
      </c>
      <c r="I93" s="79" t="s">
        <v>491</v>
      </c>
    </row>
    <row r="94" spans="1:9" x14ac:dyDescent="0.3">
      <c r="A94" s="79" t="s">
        <v>148</v>
      </c>
      <c r="B94" s="79" t="s">
        <v>36</v>
      </c>
      <c r="C94" s="79" t="s">
        <v>50</v>
      </c>
      <c r="D94" s="79" t="s">
        <v>53</v>
      </c>
      <c r="E94" s="79">
        <v>1</v>
      </c>
      <c r="F94" s="58" t="str">
        <f>Table_LLDTrackingSheet[[#This Row],[SiteID]]&amp;"_"&amp;Table_LLDTrackingSheet[[#This Row],[LLDIterationNum]]</f>
        <v>LI01455_1</v>
      </c>
      <c r="G94" s="84">
        <v>44027</v>
      </c>
      <c r="H94" s="79" t="s">
        <v>491</v>
      </c>
      <c r="I94" s="79" t="s">
        <v>491</v>
      </c>
    </row>
    <row r="95" spans="1:9" x14ac:dyDescent="0.3">
      <c r="A95" s="79" t="s">
        <v>149</v>
      </c>
      <c r="B95" s="79" t="s">
        <v>36</v>
      </c>
      <c r="C95" s="79" t="s">
        <v>45</v>
      </c>
      <c r="D95" s="79" t="s">
        <v>52</v>
      </c>
      <c r="E95" s="79">
        <v>1</v>
      </c>
      <c r="F95" s="58" t="str">
        <f>Table_LLDTrackingSheet[[#This Row],[SiteID]]&amp;"_"&amp;Table_LLDTrackingSheet[[#This Row],[LLDIterationNum]]</f>
        <v>LI01461_1</v>
      </c>
      <c r="G95" s="84">
        <v>44032</v>
      </c>
      <c r="H95" s="79" t="s">
        <v>491</v>
      </c>
      <c r="I95" s="79" t="s">
        <v>491</v>
      </c>
    </row>
    <row r="96" spans="1:9" x14ac:dyDescent="0.3">
      <c r="A96" s="79" t="s">
        <v>150</v>
      </c>
      <c r="B96" s="79" t="s">
        <v>37</v>
      </c>
      <c r="C96" s="79" t="s">
        <v>46</v>
      </c>
      <c r="D96" s="79" t="s">
        <v>53</v>
      </c>
      <c r="E96" s="79">
        <v>1</v>
      </c>
      <c r="F96" s="58" t="str">
        <f>Table_LLDTrackingSheet[[#This Row],[SiteID]]&amp;"_"&amp;Table_LLDTrackingSheet[[#This Row],[LLDIterationNum]]</f>
        <v>LI01476_1</v>
      </c>
      <c r="G96" s="84">
        <v>44030</v>
      </c>
      <c r="H96" s="79" t="s">
        <v>491</v>
      </c>
      <c r="I96" s="79" t="s">
        <v>491</v>
      </c>
    </row>
    <row r="97" spans="1:9" x14ac:dyDescent="0.3">
      <c r="A97" s="79" t="s">
        <v>151</v>
      </c>
      <c r="B97" s="79" t="s">
        <v>37</v>
      </c>
      <c r="C97" s="79" t="s">
        <v>47</v>
      </c>
      <c r="D97" s="79" t="s">
        <v>51</v>
      </c>
      <c r="E97" s="79">
        <v>1</v>
      </c>
      <c r="F97" s="58" t="str">
        <f>Table_LLDTrackingSheet[[#This Row],[SiteID]]&amp;"_"&amp;Table_LLDTrackingSheet[[#This Row],[LLDIterationNum]]</f>
        <v>LI01542_1</v>
      </c>
      <c r="G97" s="84">
        <v>44027</v>
      </c>
      <c r="H97" s="79" t="s">
        <v>491</v>
      </c>
      <c r="I97" s="79" t="s">
        <v>491</v>
      </c>
    </row>
    <row r="98" spans="1:9" x14ac:dyDescent="0.3">
      <c r="A98" s="79" t="s">
        <v>152</v>
      </c>
      <c r="B98" s="79" t="s">
        <v>35</v>
      </c>
      <c r="C98" s="79" t="s">
        <v>48</v>
      </c>
      <c r="D98" s="79" t="s">
        <v>52</v>
      </c>
      <c r="E98" s="79">
        <v>1</v>
      </c>
      <c r="F98" s="58" t="str">
        <f>Table_LLDTrackingSheet[[#This Row],[SiteID]]&amp;"_"&amp;Table_LLDTrackingSheet[[#This Row],[LLDIterationNum]]</f>
        <v>LI02051_1</v>
      </c>
      <c r="G98" s="84" t="s">
        <v>235</v>
      </c>
      <c r="H98" s="79" t="s">
        <v>491</v>
      </c>
      <c r="I98" s="79" t="s">
        <v>490</v>
      </c>
    </row>
    <row r="99" spans="1:9" x14ac:dyDescent="0.3">
      <c r="A99" s="79" t="s">
        <v>153</v>
      </c>
      <c r="B99" s="79" t="s">
        <v>35</v>
      </c>
      <c r="C99" s="79" t="s">
        <v>49</v>
      </c>
      <c r="D99" s="79" t="s">
        <v>53</v>
      </c>
      <c r="E99" s="79">
        <v>1</v>
      </c>
      <c r="F99" s="58" t="str">
        <f>Table_LLDTrackingSheet[[#This Row],[SiteID]]&amp;"_"&amp;Table_LLDTrackingSheet[[#This Row],[LLDIterationNum]]</f>
        <v>LI02052_1</v>
      </c>
      <c r="G99" s="84" t="s">
        <v>235</v>
      </c>
      <c r="H99" s="79" t="s">
        <v>491</v>
      </c>
      <c r="I99" s="79" t="s">
        <v>490</v>
      </c>
    </row>
    <row r="100" spans="1:9" x14ac:dyDescent="0.3">
      <c r="A100" s="79" t="s">
        <v>154</v>
      </c>
      <c r="B100" s="79" t="s">
        <v>36</v>
      </c>
      <c r="C100" s="79" t="s">
        <v>50</v>
      </c>
      <c r="D100" s="79" t="s">
        <v>51</v>
      </c>
      <c r="E100" s="79">
        <v>1</v>
      </c>
      <c r="F100" s="58" t="str">
        <f>Table_LLDTrackingSheet[[#This Row],[SiteID]]&amp;"_"&amp;Table_LLDTrackingSheet[[#This Row],[LLDIterationNum]]</f>
        <v>LI01472_1</v>
      </c>
      <c r="G100" s="84" t="s">
        <v>235</v>
      </c>
      <c r="H100" s="79" t="s">
        <v>491</v>
      </c>
      <c r="I100" s="79" t="s">
        <v>490</v>
      </c>
    </row>
    <row r="101" spans="1:9" x14ac:dyDescent="0.3">
      <c r="A101" s="79" t="s">
        <v>155</v>
      </c>
      <c r="B101" s="79" t="s">
        <v>36</v>
      </c>
      <c r="C101" s="79" t="s">
        <v>45</v>
      </c>
      <c r="D101" s="79" t="s">
        <v>52</v>
      </c>
      <c r="E101" s="79">
        <v>1</v>
      </c>
      <c r="F101" s="58" t="str">
        <f>Table_LLDTrackingSheet[[#This Row],[SiteID]]&amp;"_"&amp;Table_LLDTrackingSheet[[#This Row],[LLDIterationNum]]</f>
        <v>LI01483_1</v>
      </c>
      <c r="G101" s="84" t="s">
        <v>235</v>
      </c>
      <c r="H101" s="79" t="s">
        <v>491</v>
      </c>
      <c r="I101" s="79" t="s">
        <v>490</v>
      </c>
    </row>
    <row r="102" spans="1:9" x14ac:dyDescent="0.3">
      <c r="A102" s="79" t="s">
        <v>156</v>
      </c>
      <c r="B102" s="79" t="s">
        <v>37</v>
      </c>
      <c r="C102" s="79" t="s">
        <v>46</v>
      </c>
      <c r="D102" s="79" t="s">
        <v>53</v>
      </c>
      <c r="E102" s="79">
        <v>1</v>
      </c>
      <c r="F102" s="58" t="str">
        <f>Table_LLDTrackingSheet[[#This Row],[SiteID]]&amp;"_"&amp;Table_LLDTrackingSheet[[#This Row],[LLDIterationNum]]</f>
        <v>LI01550_1</v>
      </c>
      <c r="G102" s="84" t="s">
        <v>235</v>
      </c>
      <c r="H102" s="79" t="s">
        <v>491</v>
      </c>
      <c r="I102" s="79" t="s">
        <v>490</v>
      </c>
    </row>
    <row r="103" spans="1:9" x14ac:dyDescent="0.3">
      <c r="A103" s="79" t="s">
        <v>157</v>
      </c>
      <c r="B103" s="79" t="s">
        <v>37</v>
      </c>
      <c r="C103" s="79" t="s">
        <v>47</v>
      </c>
      <c r="D103" s="79" t="s">
        <v>51</v>
      </c>
      <c r="E103" s="79">
        <v>1</v>
      </c>
      <c r="F103" s="58" t="str">
        <f>Table_LLDTrackingSheet[[#This Row],[SiteID]]&amp;"_"&amp;Table_LLDTrackingSheet[[#This Row],[LLDIterationNum]]</f>
        <v>PI00220_1</v>
      </c>
      <c r="G103" s="84" t="s">
        <v>235</v>
      </c>
      <c r="H103" s="79" t="s">
        <v>491</v>
      </c>
      <c r="I103" s="79" t="s">
        <v>490</v>
      </c>
    </row>
    <row r="104" spans="1:9" x14ac:dyDescent="0.3">
      <c r="A104" s="79" t="s">
        <v>158</v>
      </c>
      <c r="B104" s="79" t="s">
        <v>35</v>
      </c>
      <c r="C104" s="79" t="s">
        <v>48</v>
      </c>
      <c r="D104" s="79" t="s">
        <v>52</v>
      </c>
      <c r="E104" s="79">
        <v>1</v>
      </c>
      <c r="F104" s="58" t="str">
        <f>Table_LLDTrackingSheet[[#This Row],[SiteID]]&amp;"_"&amp;Table_LLDTrackingSheet[[#This Row],[LLDIterationNum]]</f>
        <v>PI00246_1</v>
      </c>
      <c r="G104" s="84" t="s">
        <v>235</v>
      </c>
      <c r="H104" s="79" t="s">
        <v>491</v>
      </c>
      <c r="I104" s="79" t="s">
        <v>490</v>
      </c>
    </row>
    <row r="105" spans="1:9" x14ac:dyDescent="0.3">
      <c r="A105" s="79" t="s">
        <v>159</v>
      </c>
      <c r="B105" s="79" t="s">
        <v>35</v>
      </c>
      <c r="C105" s="79" t="s">
        <v>49</v>
      </c>
      <c r="D105" s="79" t="s">
        <v>53</v>
      </c>
      <c r="E105" s="79">
        <v>1</v>
      </c>
      <c r="F105" s="58" t="str">
        <f>Table_LLDTrackingSheet[[#This Row],[SiteID]]&amp;"_"&amp;Table_LLDTrackingSheet[[#This Row],[LLDIterationNum]]</f>
        <v>AM00004_1</v>
      </c>
      <c r="G105" s="84" t="s">
        <v>235</v>
      </c>
      <c r="H105" s="79" t="s">
        <v>491</v>
      </c>
      <c r="I105" s="79" t="s">
        <v>490</v>
      </c>
    </row>
    <row r="106" spans="1:9" x14ac:dyDescent="0.3">
      <c r="A106" s="79" t="s">
        <v>160</v>
      </c>
      <c r="B106" s="79" t="s">
        <v>36</v>
      </c>
      <c r="C106" s="79" t="s">
        <v>50</v>
      </c>
      <c r="D106" s="79" t="s">
        <v>51</v>
      </c>
      <c r="E106" s="79">
        <v>1</v>
      </c>
      <c r="F106" s="58" t="str">
        <f>Table_LLDTrackingSheet[[#This Row],[SiteID]]&amp;"_"&amp;Table_LLDTrackingSheet[[#This Row],[LLDIterationNum]]</f>
        <v>AM00226_1</v>
      </c>
      <c r="G106" s="84" t="s">
        <v>235</v>
      </c>
      <c r="H106" s="79" t="s">
        <v>491</v>
      </c>
      <c r="I106" s="79" t="s">
        <v>490</v>
      </c>
    </row>
    <row r="107" spans="1:9" x14ac:dyDescent="0.3">
      <c r="A107" s="79" t="s">
        <v>161</v>
      </c>
      <c r="B107" s="79" t="s">
        <v>36</v>
      </c>
      <c r="C107" s="79" t="s">
        <v>45</v>
      </c>
      <c r="D107" s="79" t="s">
        <v>52</v>
      </c>
      <c r="E107" s="79">
        <v>1</v>
      </c>
      <c r="F107" s="58" t="str">
        <f>Table_LLDTrackingSheet[[#This Row],[SiteID]]&amp;"_"&amp;Table_LLDTrackingSheet[[#This Row],[LLDIterationNum]]</f>
        <v>AP00017_1</v>
      </c>
      <c r="G107" s="84" t="s">
        <v>235</v>
      </c>
      <c r="H107" s="79" t="s">
        <v>491</v>
      </c>
      <c r="I107" s="79" t="s">
        <v>490</v>
      </c>
    </row>
    <row r="108" spans="1:9" s="136" customFormat="1" x14ac:dyDescent="0.3"/>
    <row r="109" spans="1:9" s="136" customFormat="1" x14ac:dyDescent="0.3"/>
    <row r="110" spans="1:9" s="136" customFormat="1" x14ac:dyDescent="0.3"/>
    <row r="111" spans="1:9" s="136" customFormat="1" x14ac:dyDescent="0.3"/>
    <row r="112" spans="1:9" s="136" customFormat="1" x14ac:dyDescent="0.3"/>
    <row r="113" s="136" customFormat="1" x14ac:dyDescent="0.3"/>
    <row r="114" s="136" customFormat="1" x14ac:dyDescent="0.3"/>
    <row r="115" s="136" customFormat="1" x14ac:dyDescent="0.3"/>
    <row r="116" s="136" customFormat="1" x14ac:dyDescent="0.3"/>
    <row r="117" s="136" customFormat="1" x14ac:dyDescent="0.3"/>
    <row r="118" s="136" customFormat="1" x14ac:dyDescent="0.3"/>
    <row r="119" s="136" customFormat="1" x14ac:dyDescent="0.3"/>
    <row r="120" s="136" customFormat="1" x14ac:dyDescent="0.3"/>
    <row r="121" s="136" customFormat="1" x14ac:dyDescent="0.3"/>
    <row r="122" s="136" customFormat="1" x14ac:dyDescent="0.3"/>
    <row r="123" s="136" customFormat="1" x14ac:dyDescent="0.3"/>
    <row r="124" s="136" customFormat="1" x14ac:dyDescent="0.3"/>
    <row r="125" s="136" customFormat="1" x14ac:dyDescent="0.3"/>
    <row r="126" s="136" customFormat="1" x14ac:dyDescent="0.3"/>
    <row r="127" s="136" customFormat="1" x14ac:dyDescent="0.3"/>
    <row r="128" s="136" customFormat="1" x14ac:dyDescent="0.3"/>
    <row r="129" s="136" customFormat="1" x14ac:dyDescent="0.3"/>
    <row r="130" s="136" customFormat="1" x14ac:dyDescent="0.3"/>
    <row r="131" s="136" customFormat="1" x14ac:dyDescent="0.3"/>
    <row r="132" s="136" customFormat="1" x14ac:dyDescent="0.3"/>
    <row r="133" s="136" customFormat="1" x14ac:dyDescent="0.3"/>
    <row r="134" s="136" customFormat="1" x14ac:dyDescent="0.3"/>
    <row r="135" s="136" customFormat="1" x14ac:dyDescent="0.3"/>
    <row r="136" s="136" customFormat="1" x14ac:dyDescent="0.3"/>
    <row r="137" s="136" customFormat="1" x14ac:dyDescent="0.3"/>
    <row r="138" s="136" customFormat="1" x14ac:dyDescent="0.3"/>
    <row r="139" s="136" customFormat="1" x14ac:dyDescent="0.3"/>
    <row r="140" s="136" customFormat="1" x14ac:dyDescent="0.3"/>
    <row r="141" s="136" customFormat="1" x14ac:dyDescent="0.3"/>
    <row r="142" s="136" customFormat="1" x14ac:dyDescent="0.3"/>
    <row r="143" s="136" customFormat="1" x14ac:dyDescent="0.3"/>
    <row r="144" s="136" customFormat="1" x14ac:dyDescent="0.3"/>
    <row r="145" s="136" customFormat="1" x14ac:dyDescent="0.3"/>
    <row r="146" s="136" customFormat="1" x14ac:dyDescent="0.3"/>
    <row r="147" s="136" customFormat="1" x14ac:dyDescent="0.3"/>
    <row r="148" s="136" customFormat="1" x14ac:dyDescent="0.3"/>
    <row r="149" s="136" customFormat="1" x14ac:dyDescent="0.3"/>
    <row r="150" s="136" customFormat="1" x14ac:dyDescent="0.3"/>
    <row r="151" s="136" customFormat="1" x14ac:dyDescent="0.3"/>
    <row r="152" s="136" customFormat="1" x14ac:dyDescent="0.3"/>
    <row r="153" s="136" customFormat="1" x14ac:dyDescent="0.3"/>
    <row r="154" s="136" customFormat="1" x14ac:dyDescent="0.3"/>
    <row r="155" s="136" customFormat="1" x14ac:dyDescent="0.3"/>
    <row r="156" s="136" customFormat="1" x14ac:dyDescent="0.3"/>
    <row r="157" s="136" customFormat="1" x14ac:dyDescent="0.3"/>
    <row r="158" s="136" customFormat="1" x14ac:dyDescent="0.3"/>
    <row r="159" s="136" customFormat="1" x14ac:dyDescent="0.3"/>
    <row r="160" s="136" customFormat="1" x14ac:dyDescent="0.3"/>
    <row r="161" s="136" customFormat="1" x14ac:dyDescent="0.3"/>
    <row r="162" s="136" customFormat="1" x14ac:dyDescent="0.3"/>
    <row r="163" s="136" customFormat="1" x14ac:dyDescent="0.3"/>
    <row r="164" s="136" customFormat="1" x14ac:dyDescent="0.3"/>
    <row r="165" s="136" customFormat="1" x14ac:dyDescent="0.3"/>
    <row r="166" s="136" customFormat="1" x14ac:dyDescent="0.3"/>
    <row r="167" s="136" customFormat="1" x14ac:dyDescent="0.3"/>
    <row r="168" s="136" customFormat="1" x14ac:dyDescent="0.3"/>
    <row r="169" s="136" customFormat="1" x14ac:dyDescent="0.3"/>
    <row r="170" s="136" customFormat="1" x14ac:dyDescent="0.3"/>
    <row r="171" s="136" customFormat="1" x14ac:dyDescent="0.3"/>
    <row r="172" s="136" customFormat="1" x14ac:dyDescent="0.3"/>
    <row r="173" s="136" customFormat="1" x14ac:dyDescent="0.3"/>
    <row r="174" s="136" customFormat="1" x14ac:dyDescent="0.3"/>
    <row r="175" s="136" customFormat="1" x14ac:dyDescent="0.3"/>
    <row r="176" s="136" customFormat="1" x14ac:dyDescent="0.3"/>
    <row r="177" s="136" customFormat="1" x14ac:dyDescent="0.3"/>
    <row r="178" s="136" customFormat="1" x14ac:dyDescent="0.3"/>
    <row r="179" s="136" customFormat="1" x14ac:dyDescent="0.3"/>
    <row r="180" s="136" customFormat="1" x14ac:dyDescent="0.3"/>
    <row r="181" s="136" customFormat="1" x14ac:dyDescent="0.3"/>
    <row r="182" s="136" customFormat="1" x14ac:dyDescent="0.3"/>
    <row r="183" s="136" customFormat="1" x14ac:dyDescent="0.3"/>
    <row r="184" s="136" customFormat="1" x14ac:dyDescent="0.3"/>
    <row r="185" s="136" customFormat="1" x14ac:dyDescent="0.3"/>
    <row r="186" s="136" customFormat="1" x14ac:dyDescent="0.3"/>
    <row r="187" s="136" customFormat="1" x14ac:dyDescent="0.3"/>
    <row r="188" s="136" customFormat="1" x14ac:dyDescent="0.3"/>
    <row r="189" s="136" customFormat="1" x14ac:dyDescent="0.3"/>
    <row r="190" s="136" customFormat="1" x14ac:dyDescent="0.3"/>
    <row r="191" s="136" customFormat="1" x14ac:dyDescent="0.3"/>
    <row r="192" s="136" customFormat="1" x14ac:dyDescent="0.3"/>
    <row r="193" s="136" customFormat="1" x14ac:dyDescent="0.3"/>
    <row r="194" s="136" customFormat="1" x14ac:dyDescent="0.3"/>
    <row r="195" s="136" customFormat="1" x14ac:dyDescent="0.3"/>
    <row r="196" s="136" customFormat="1" x14ac:dyDescent="0.3"/>
    <row r="197" s="136" customFormat="1" x14ac:dyDescent="0.3"/>
    <row r="198" s="136" customFormat="1" x14ac:dyDescent="0.3"/>
    <row r="199" s="136" customFormat="1" x14ac:dyDescent="0.3"/>
    <row r="200" s="136" customFormat="1" x14ac:dyDescent="0.3"/>
    <row r="201" s="136" customFormat="1" x14ac:dyDescent="0.3"/>
    <row r="202" s="136" customFormat="1" x14ac:dyDescent="0.3"/>
    <row r="203" s="136" customFormat="1" x14ac:dyDescent="0.3"/>
    <row r="204" s="136" customFormat="1" x14ac:dyDescent="0.3"/>
    <row r="205" s="136" customFormat="1" x14ac:dyDescent="0.3"/>
    <row r="206" s="136" customFormat="1" x14ac:dyDescent="0.3"/>
    <row r="207" s="136" customFormat="1" x14ac:dyDescent="0.3"/>
    <row r="208" s="136" customFormat="1" x14ac:dyDescent="0.3"/>
    <row r="209" s="136" customFormat="1" x14ac:dyDescent="0.3"/>
    <row r="210" s="136" customFormat="1" x14ac:dyDescent="0.3"/>
    <row r="211" s="136" customFormat="1" x14ac:dyDescent="0.3"/>
    <row r="212" s="136" customFormat="1" x14ac:dyDescent="0.3"/>
    <row r="213" s="136" customFormat="1" x14ac:dyDescent="0.3"/>
    <row r="214" s="136" customFormat="1" x14ac:dyDescent="0.3"/>
    <row r="215" s="136" customFormat="1" x14ac:dyDescent="0.3"/>
    <row r="216" s="136" customFormat="1" x14ac:dyDescent="0.3"/>
    <row r="217" s="136" customFormat="1" x14ac:dyDescent="0.3"/>
    <row r="218" s="136" customFormat="1" x14ac:dyDescent="0.3"/>
    <row r="219" s="136" customFormat="1" x14ac:dyDescent="0.3"/>
    <row r="220" s="136" customFormat="1" x14ac:dyDescent="0.3"/>
    <row r="221" s="136" customFormat="1" x14ac:dyDescent="0.3"/>
    <row r="222" s="136" customFormat="1" x14ac:dyDescent="0.3"/>
    <row r="223" s="136" customFormat="1" x14ac:dyDescent="0.3"/>
    <row r="224" s="136" customFormat="1" x14ac:dyDescent="0.3"/>
    <row r="225" s="136" customFormat="1" x14ac:dyDescent="0.3"/>
    <row r="226" s="136" customFormat="1" x14ac:dyDescent="0.3"/>
    <row r="227" s="136" customFormat="1" x14ac:dyDescent="0.3"/>
    <row r="228" s="136" customFormat="1" x14ac:dyDescent="0.3"/>
    <row r="229" s="136" customFormat="1" x14ac:dyDescent="0.3"/>
    <row r="230" s="136" customFormat="1" x14ac:dyDescent="0.3"/>
    <row r="231" s="136" customFormat="1" x14ac:dyDescent="0.3"/>
    <row r="232" s="136" customFormat="1" x14ac:dyDescent="0.3"/>
    <row r="233" s="136" customFormat="1" x14ac:dyDescent="0.3"/>
    <row r="234" s="136" customFormat="1" x14ac:dyDescent="0.3"/>
    <row r="235" s="136" customFormat="1" x14ac:dyDescent="0.3"/>
    <row r="236" s="136" customFormat="1" x14ac:dyDescent="0.3"/>
    <row r="237" s="136" customFormat="1" x14ac:dyDescent="0.3"/>
    <row r="238" s="136" customFormat="1" x14ac:dyDescent="0.3"/>
    <row r="239" s="136" customFormat="1" x14ac:dyDescent="0.3"/>
    <row r="240" s="136" customFormat="1" x14ac:dyDescent="0.3"/>
    <row r="241" s="136" customFormat="1" x14ac:dyDescent="0.3"/>
    <row r="242" s="136" customFormat="1" x14ac:dyDescent="0.3"/>
    <row r="243" s="136" customFormat="1" x14ac:dyDescent="0.3"/>
    <row r="244" s="136" customFormat="1" x14ac:dyDescent="0.3"/>
    <row r="245" s="136" customFormat="1" x14ac:dyDescent="0.3"/>
    <row r="246" s="136" customFormat="1" x14ac:dyDescent="0.3"/>
    <row r="247" s="136" customFormat="1" x14ac:dyDescent="0.3"/>
    <row r="248" s="136" customFormat="1" x14ac:dyDescent="0.3"/>
    <row r="249" s="136" customFormat="1" x14ac:dyDescent="0.3"/>
    <row r="250" s="136" customFormat="1" x14ac:dyDescent="0.3"/>
    <row r="251" s="136" customFormat="1" x14ac:dyDescent="0.3"/>
    <row r="252" s="136" customFormat="1" x14ac:dyDescent="0.3"/>
    <row r="253" s="136" customFormat="1" x14ac:dyDescent="0.3"/>
    <row r="254" s="136" customFormat="1" x14ac:dyDescent="0.3"/>
    <row r="255" s="136" customFormat="1" x14ac:dyDescent="0.3"/>
    <row r="256" s="136" customFormat="1" x14ac:dyDescent="0.3"/>
    <row r="257" s="136" customFormat="1" x14ac:dyDescent="0.3"/>
    <row r="258" s="136" customFormat="1" x14ac:dyDescent="0.3"/>
    <row r="259" s="136" customFormat="1" x14ac:dyDescent="0.3"/>
    <row r="260" s="136" customFormat="1" x14ac:dyDescent="0.3"/>
    <row r="261" s="136" customFormat="1" x14ac:dyDescent="0.3"/>
    <row r="262" s="136" customFormat="1" x14ac:dyDescent="0.3"/>
    <row r="263" s="136" customFormat="1" x14ac:dyDescent="0.3"/>
    <row r="264" s="136" customFormat="1" x14ac:dyDescent="0.3"/>
    <row r="265" s="136" customFormat="1" x14ac:dyDescent="0.3"/>
    <row r="266" s="136" customFormat="1" x14ac:dyDescent="0.3"/>
    <row r="267" s="136" customFormat="1" x14ac:dyDescent="0.3"/>
    <row r="268" s="136" customFormat="1" x14ac:dyDescent="0.3"/>
    <row r="269" s="136" customFormat="1" x14ac:dyDescent="0.3"/>
    <row r="270" s="136" customFormat="1" x14ac:dyDescent="0.3"/>
    <row r="271" s="136" customFormat="1" x14ac:dyDescent="0.3"/>
    <row r="272" s="136" customFormat="1" x14ac:dyDescent="0.3"/>
    <row r="273" s="136" customFormat="1" x14ac:dyDescent="0.3"/>
    <row r="274" s="136" customFormat="1" x14ac:dyDescent="0.3"/>
    <row r="275" s="136" customFormat="1" x14ac:dyDescent="0.3"/>
    <row r="276" s="136" customFormat="1" x14ac:dyDescent="0.3"/>
    <row r="277" s="136" customFormat="1" x14ac:dyDescent="0.3"/>
    <row r="278" s="136" customFormat="1" x14ac:dyDescent="0.3"/>
    <row r="279" s="136" customFormat="1" x14ac:dyDescent="0.3"/>
    <row r="280" s="136" customFormat="1" x14ac:dyDescent="0.3"/>
    <row r="281" s="136" customFormat="1" x14ac:dyDescent="0.3"/>
    <row r="282" s="136" customFormat="1" x14ac:dyDescent="0.3"/>
    <row r="283" s="136" customFormat="1" x14ac:dyDescent="0.3"/>
    <row r="284" s="136" customFormat="1" x14ac:dyDescent="0.3"/>
    <row r="285" s="136" customFormat="1" x14ac:dyDescent="0.3"/>
    <row r="286" s="136" customFormat="1" x14ac:dyDescent="0.3"/>
    <row r="287" s="136" customFormat="1" x14ac:dyDescent="0.3"/>
    <row r="288" s="136" customFormat="1" x14ac:dyDescent="0.3"/>
    <row r="289" s="136" customFormat="1" x14ac:dyDescent="0.3"/>
    <row r="290" s="136" customFormat="1" x14ac:dyDescent="0.3"/>
    <row r="291" s="136" customFormat="1" x14ac:dyDescent="0.3"/>
    <row r="292" s="136" customFormat="1" x14ac:dyDescent="0.3"/>
    <row r="293" s="136" customFormat="1" x14ac:dyDescent="0.3"/>
    <row r="294" s="136" customFormat="1" x14ac:dyDescent="0.3"/>
    <row r="295" s="136" customFormat="1" x14ac:dyDescent="0.3"/>
    <row r="296" s="136" customFormat="1" x14ac:dyDescent="0.3"/>
    <row r="297" s="136" customFormat="1" x14ac:dyDescent="0.3"/>
    <row r="298" s="136" customFormat="1" x14ac:dyDescent="0.3"/>
    <row r="299" s="136" customFormat="1" x14ac:dyDescent="0.3"/>
    <row r="300" s="136" customFormat="1" x14ac:dyDescent="0.3"/>
    <row r="301" s="136" customFormat="1" x14ac:dyDescent="0.3"/>
    <row r="302" s="136" customFormat="1" x14ac:dyDescent="0.3"/>
    <row r="303" s="136" customFormat="1" x14ac:dyDescent="0.3"/>
    <row r="304" s="136" customFormat="1" x14ac:dyDescent="0.3"/>
    <row r="305" s="136" customFormat="1" x14ac:dyDescent="0.3"/>
    <row r="306" s="136" customFormat="1" x14ac:dyDescent="0.3"/>
    <row r="307" s="136" customFormat="1" x14ac:dyDescent="0.3"/>
    <row r="308" s="136" customFormat="1" x14ac:dyDescent="0.3"/>
    <row r="309" s="136" customFormat="1" x14ac:dyDescent="0.3"/>
    <row r="310" s="136" customFormat="1" x14ac:dyDescent="0.3"/>
    <row r="311" s="136" customFormat="1" x14ac:dyDescent="0.3"/>
    <row r="312" s="136" customFormat="1" x14ac:dyDescent="0.3"/>
    <row r="313" s="136" customFormat="1" x14ac:dyDescent="0.3"/>
    <row r="314" s="136" customFormat="1" x14ac:dyDescent="0.3"/>
    <row r="315" s="136" customFormat="1" x14ac:dyDescent="0.3"/>
    <row r="316" s="136" customFormat="1" x14ac:dyDescent="0.3"/>
    <row r="317" s="136" customFormat="1" x14ac:dyDescent="0.3"/>
    <row r="318" s="136" customFormat="1" x14ac:dyDescent="0.3"/>
    <row r="319" s="136" customFormat="1" x14ac:dyDescent="0.3"/>
    <row r="320" s="136" customFormat="1" x14ac:dyDescent="0.3"/>
    <row r="321" s="136" customFormat="1" x14ac:dyDescent="0.3"/>
    <row r="322" s="136" customFormat="1" x14ac:dyDescent="0.3"/>
    <row r="323" s="136" customFormat="1" x14ac:dyDescent="0.3"/>
    <row r="324" s="136" customFormat="1" x14ac:dyDescent="0.3"/>
    <row r="325" s="136" customFormat="1" x14ac:dyDescent="0.3"/>
    <row r="326" s="136" customFormat="1" x14ac:dyDescent="0.3"/>
    <row r="327" s="136" customFormat="1" x14ac:dyDescent="0.3"/>
    <row r="328" s="136" customFormat="1" x14ac:dyDescent="0.3"/>
    <row r="329" s="136" customFormat="1" x14ac:dyDescent="0.3"/>
    <row r="330" s="136" customFormat="1" x14ac:dyDescent="0.3"/>
    <row r="331" s="136" customFormat="1" x14ac:dyDescent="0.3"/>
    <row r="332" s="136" customFormat="1" x14ac:dyDescent="0.3"/>
    <row r="333" s="136" customFormat="1" x14ac:dyDescent="0.3"/>
    <row r="334" s="136" customFormat="1" x14ac:dyDescent="0.3"/>
    <row r="335" s="136" customFormat="1" x14ac:dyDescent="0.3"/>
    <row r="336" s="136" customFormat="1" x14ac:dyDescent="0.3"/>
    <row r="337" s="136" customFormat="1" x14ac:dyDescent="0.3"/>
    <row r="338" s="136" customFormat="1" x14ac:dyDescent="0.3"/>
    <row r="339" s="136" customFormat="1" x14ac:dyDescent="0.3"/>
    <row r="340" s="136" customFormat="1" x14ac:dyDescent="0.3"/>
    <row r="341" s="136" customFormat="1" x14ac:dyDescent="0.3"/>
    <row r="342" s="136" customFormat="1" x14ac:dyDescent="0.3"/>
    <row r="343" s="136" customFormat="1" x14ac:dyDescent="0.3"/>
    <row r="344" s="136" customFormat="1" x14ac:dyDescent="0.3"/>
    <row r="345" s="136" customFormat="1" x14ac:dyDescent="0.3"/>
    <row r="346" s="136" customFormat="1" x14ac:dyDescent="0.3"/>
    <row r="347" s="136" customFormat="1" x14ac:dyDescent="0.3"/>
    <row r="348" s="136" customFormat="1" x14ac:dyDescent="0.3"/>
    <row r="349" s="136" customFormat="1" x14ac:dyDescent="0.3"/>
    <row r="350" s="136" customFormat="1" x14ac:dyDescent="0.3"/>
    <row r="351" s="136" customFormat="1" x14ac:dyDescent="0.3"/>
    <row r="352" s="136" customFormat="1" x14ac:dyDescent="0.3"/>
    <row r="353" s="136" customFormat="1" x14ac:dyDescent="0.3"/>
    <row r="354" s="136" customFormat="1" x14ac:dyDescent="0.3"/>
    <row r="355" s="136" customFormat="1" x14ac:dyDescent="0.3"/>
    <row r="356" s="136" customFormat="1" x14ac:dyDescent="0.3"/>
    <row r="357" s="136" customFormat="1" x14ac:dyDescent="0.3"/>
    <row r="358" s="136" customFormat="1" x14ac:dyDescent="0.3"/>
    <row r="359" s="136" customFormat="1" x14ac:dyDescent="0.3"/>
    <row r="360" s="136" customFormat="1" x14ac:dyDescent="0.3"/>
    <row r="361" s="136" customFormat="1" x14ac:dyDescent="0.3"/>
    <row r="362" s="136" customFormat="1" x14ac:dyDescent="0.3"/>
    <row r="363" s="136" customFormat="1" x14ac:dyDescent="0.3"/>
    <row r="364" s="136" customFormat="1" x14ac:dyDescent="0.3"/>
    <row r="365" s="136" customFormat="1" x14ac:dyDescent="0.3"/>
    <row r="366" s="136" customFormat="1" x14ac:dyDescent="0.3"/>
    <row r="367" s="136" customFormat="1" x14ac:dyDescent="0.3"/>
    <row r="368" s="136" customFormat="1" x14ac:dyDescent="0.3"/>
    <row r="369" s="136" customFormat="1" x14ac:dyDescent="0.3"/>
    <row r="370" s="136" customFormat="1" x14ac:dyDescent="0.3"/>
    <row r="371" s="136" customFormat="1" x14ac:dyDescent="0.3"/>
    <row r="372" s="136" customFormat="1" x14ac:dyDescent="0.3"/>
    <row r="373" s="136" customFormat="1" x14ac:dyDescent="0.3"/>
    <row r="374" s="136" customFormat="1" x14ac:dyDescent="0.3"/>
    <row r="375" s="136" customFormat="1" x14ac:dyDescent="0.3"/>
    <row r="376" s="136" customFormat="1" x14ac:dyDescent="0.3"/>
    <row r="377" s="136" customFormat="1" x14ac:dyDescent="0.3"/>
    <row r="378" s="136" customFormat="1" x14ac:dyDescent="0.3"/>
    <row r="379" s="136" customFormat="1" x14ac:dyDescent="0.3"/>
    <row r="380" s="136" customFormat="1" x14ac:dyDescent="0.3"/>
    <row r="381" s="136" customFormat="1" x14ac:dyDescent="0.3"/>
    <row r="382" s="136" customFormat="1" x14ac:dyDescent="0.3"/>
    <row r="383" s="136" customFormat="1" x14ac:dyDescent="0.3"/>
    <row r="384" s="136" customFormat="1" x14ac:dyDescent="0.3"/>
    <row r="385" s="136" customFormat="1" x14ac:dyDescent="0.3"/>
    <row r="386" s="136" customFormat="1" x14ac:dyDescent="0.3"/>
    <row r="387" s="136" customFormat="1" x14ac:dyDescent="0.3"/>
    <row r="388" s="136" customFormat="1" x14ac:dyDescent="0.3"/>
    <row r="389" s="136" customFormat="1" x14ac:dyDescent="0.3"/>
    <row r="390" s="136" customFormat="1" x14ac:dyDescent="0.3"/>
    <row r="391" s="136" customFormat="1" x14ac:dyDescent="0.3"/>
    <row r="392" s="136" customFormat="1" x14ac:dyDescent="0.3"/>
    <row r="393" s="136" customFormat="1" x14ac:dyDescent="0.3"/>
    <row r="394" s="136" customFormat="1" x14ac:dyDescent="0.3"/>
    <row r="395" s="136" customFormat="1" x14ac:dyDescent="0.3"/>
    <row r="396" s="136" customFormat="1" x14ac:dyDescent="0.3"/>
    <row r="397" s="136" customFormat="1" x14ac:dyDescent="0.3"/>
    <row r="398" s="136" customFormat="1" x14ac:dyDescent="0.3"/>
    <row r="399" s="136" customFormat="1" x14ac:dyDescent="0.3"/>
    <row r="400" s="136" customFormat="1" x14ac:dyDescent="0.3"/>
    <row r="401" s="136" customFormat="1" x14ac:dyDescent="0.3"/>
    <row r="402" s="136" customFormat="1" x14ac:dyDescent="0.3"/>
    <row r="403" s="136" customFormat="1" x14ac:dyDescent="0.3"/>
    <row r="404" s="136" customFormat="1" x14ac:dyDescent="0.3"/>
    <row r="405" s="136" customFormat="1" x14ac:dyDescent="0.3"/>
    <row r="406" s="136" customFormat="1" x14ac:dyDescent="0.3"/>
    <row r="407" s="136" customFormat="1" x14ac:dyDescent="0.3"/>
    <row r="408" s="136" customFormat="1" x14ac:dyDescent="0.3"/>
    <row r="409" s="136" customFormat="1" x14ac:dyDescent="0.3"/>
    <row r="410" s="136" customFormat="1" x14ac:dyDescent="0.3"/>
    <row r="411" s="136" customFormat="1" x14ac:dyDescent="0.3"/>
    <row r="412" s="136" customFormat="1" x14ac:dyDescent="0.3"/>
    <row r="413" s="136" customFormat="1" x14ac:dyDescent="0.3"/>
    <row r="414" s="136" customFormat="1" x14ac:dyDescent="0.3"/>
    <row r="415" s="136" customFormat="1" x14ac:dyDescent="0.3"/>
    <row r="416" s="136" customFormat="1" x14ac:dyDescent="0.3"/>
    <row r="417" s="136" customFormat="1" x14ac:dyDescent="0.3"/>
    <row r="418" s="136" customFormat="1" x14ac:dyDescent="0.3"/>
    <row r="419" s="136" customFormat="1" x14ac:dyDescent="0.3"/>
    <row r="420" s="136" customFormat="1" x14ac:dyDescent="0.3"/>
    <row r="421" s="136" customFormat="1" x14ac:dyDescent="0.3"/>
    <row r="422" s="136" customFormat="1" x14ac:dyDescent="0.3"/>
    <row r="423" s="136" customFormat="1" x14ac:dyDescent="0.3"/>
    <row r="424" s="136" customFormat="1" x14ac:dyDescent="0.3"/>
    <row r="425" s="136" customFormat="1" x14ac:dyDescent="0.3"/>
    <row r="426" s="136" customFormat="1" x14ac:dyDescent="0.3"/>
    <row r="427" s="136" customFormat="1" x14ac:dyDescent="0.3"/>
    <row r="428" s="136" customFormat="1" x14ac:dyDescent="0.3"/>
    <row r="429" s="136" customFormat="1" x14ac:dyDescent="0.3"/>
    <row r="430" s="136" customFormat="1" x14ac:dyDescent="0.3"/>
    <row r="431" s="136" customFormat="1" x14ac:dyDescent="0.3"/>
    <row r="432" s="136" customFormat="1" x14ac:dyDescent="0.3"/>
    <row r="433" s="136" customFormat="1" x14ac:dyDescent="0.3"/>
    <row r="434" s="136" customFormat="1" x14ac:dyDescent="0.3"/>
    <row r="435" s="136" customFormat="1" x14ac:dyDescent="0.3"/>
    <row r="436" s="136" customFormat="1" x14ac:dyDescent="0.3"/>
    <row r="437" s="136" customFormat="1" x14ac:dyDescent="0.3"/>
    <row r="438" s="136" customFormat="1" x14ac:dyDescent="0.3"/>
    <row r="439" s="136" customFormat="1" x14ac:dyDescent="0.3"/>
    <row r="440" s="136" customFormat="1" x14ac:dyDescent="0.3"/>
    <row r="441" s="136" customFormat="1" x14ac:dyDescent="0.3"/>
    <row r="442" s="136" customFormat="1" x14ac:dyDescent="0.3"/>
    <row r="443" s="136" customFormat="1" x14ac:dyDescent="0.3"/>
    <row r="444" s="136" customFormat="1" x14ac:dyDescent="0.3"/>
    <row r="445" s="136" customFormat="1" x14ac:dyDescent="0.3"/>
    <row r="446" s="136" customFormat="1" x14ac:dyDescent="0.3"/>
    <row r="447" s="136" customFormat="1" x14ac:dyDescent="0.3"/>
    <row r="448" s="136" customFormat="1" x14ac:dyDescent="0.3"/>
    <row r="449" s="136" customFormat="1" x14ac:dyDescent="0.3"/>
    <row r="450" s="136" customFormat="1" x14ac:dyDescent="0.3"/>
    <row r="451" s="136" customFormat="1" x14ac:dyDescent="0.3"/>
    <row r="452" s="136" customFormat="1" x14ac:dyDescent="0.3"/>
    <row r="453" s="136" customFormat="1" x14ac:dyDescent="0.3"/>
    <row r="454" s="136" customFormat="1" x14ac:dyDescent="0.3"/>
    <row r="455" s="136" customFormat="1" x14ac:dyDescent="0.3"/>
    <row r="456" s="136" customFormat="1" x14ac:dyDescent="0.3"/>
    <row r="457" s="136" customFormat="1" x14ac:dyDescent="0.3"/>
    <row r="458" s="136" customFormat="1" x14ac:dyDescent="0.3"/>
    <row r="459" s="136" customFormat="1" x14ac:dyDescent="0.3"/>
    <row r="460" s="136" customFormat="1" x14ac:dyDescent="0.3"/>
    <row r="461" s="136" customFormat="1" x14ac:dyDescent="0.3"/>
    <row r="462" s="136" customFormat="1" x14ac:dyDescent="0.3"/>
    <row r="463" s="136" customFormat="1" x14ac:dyDescent="0.3"/>
    <row r="464" s="136" customFormat="1" x14ac:dyDescent="0.3"/>
    <row r="465" s="136" customFormat="1" x14ac:dyDescent="0.3"/>
    <row r="466" s="136" customFormat="1" x14ac:dyDescent="0.3"/>
    <row r="467" s="136" customFormat="1" x14ac:dyDescent="0.3"/>
    <row r="468" s="136" customFormat="1" x14ac:dyDescent="0.3"/>
    <row r="469" s="136" customFormat="1" x14ac:dyDescent="0.3"/>
    <row r="470" s="136" customFormat="1" x14ac:dyDescent="0.3"/>
    <row r="471" s="136" customFormat="1" x14ac:dyDescent="0.3"/>
    <row r="472" s="136" customFormat="1" x14ac:dyDescent="0.3"/>
    <row r="473" s="136" customFormat="1" x14ac:dyDescent="0.3"/>
    <row r="474" s="136" customFormat="1" x14ac:dyDescent="0.3"/>
    <row r="475" s="136" customFormat="1" x14ac:dyDescent="0.3"/>
    <row r="476" s="136" customFormat="1" x14ac:dyDescent="0.3"/>
    <row r="477" s="136" customFormat="1" x14ac:dyDescent="0.3"/>
    <row r="478" s="136" customFormat="1" x14ac:dyDescent="0.3"/>
    <row r="479" s="136" customFormat="1" x14ac:dyDescent="0.3"/>
    <row r="480" s="136" customFormat="1" x14ac:dyDescent="0.3"/>
    <row r="481" s="136" customFormat="1" x14ac:dyDescent="0.3"/>
    <row r="482" s="136" customFormat="1" x14ac:dyDescent="0.3"/>
    <row r="483" s="136" customFormat="1" x14ac:dyDescent="0.3"/>
    <row r="484" s="136" customFormat="1" x14ac:dyDescent="0.3"/>
    <row r="485" s="136" customFormat="1" x14ac:dyDescent="0.3"/>
    <row r="486" s="136" customFormat="1" x14ac:dyDescent="0.3"/>
    <row r="487" s="136" customFormat="1" x14ac:dyDescent="0.3"/>
    <row r="488" s="136" customFormat="1" x14ac:dyDescent="0.3"/>
    <row r="489" s="136" customFormat="1" x14ac:dyDescent="0.3"/>
    <row r="490" s="136" customFormat="1" x14ac:dyDescent="0.3"/>
    <row r="491" s="136" customFormat="1" x14ac:dyDescent="0.3"/>
    <row r="492" s="136" customFormat="1" x14ac:dyDescent="0.3"/>
    <row r="493" s="136" customFormat="1" x14ac:dyDescent="0.3"/>
    <row r="494" s="136" customFormat="1" x14ac:dyDescent="0.3"/>
    <row r="495" s="136" customFormat="1" x14ac:dyDescent="0.3"/>
    <row r="496" s="136" customFormat="1" x14ac:dyDescent="0.3"/>
    <row r="497" s="136" customFormat="1" x14ac:dyDescent="0.3"/>
    <row r="498" s="136" customFormat="1" x14ac:dyDescent="0.3"/>
    <row r="499" s="136" customFormat="1" x14ac:dyDescent="0.3"/>
    <row r="500" s="136" customFormat="1" x14ac:dyDescent="0.3"/>
    <row r="501" s="136" customFormat="1" x14ac:dyDescent="0.3"/>
    <row r="502" s="136" customFormat="1" x14ac:dyDescent="0.3"/>
    <row r="503" s="136" customFormat="1" x14ac:dyDescent="0.3"/>
    <row r="504" s="136" customFormat="1" x14ac:dyDescent="0.3"/>
    <row r="505" s="136" customFormat="1" x14ac:dyDescent="0.3"/>
    <row r="506" s="136" customFormat="1" x14ac:dyDescent="0.3"/>
    <row r="507" s="136" customFormat="1" x14ac:dyDescent="0.3"/>
    <row r="508" s="136" customFormat="1" x14ac:dyDescent="0.3"/>
    <row r="509" s="136" customFormat="1" x14ac:dyDescent="0.3"/>
    <row r="510" s="136" customFormat="1" x14ac:dyDescent="0.3"/>
    <row r="511" s="136" customFormat="1" x14ac:dyDescent="0.3"/>
    <row r="512" s="136" customFormat="1" x14ac:dyDescent="0.3"/>
    <row r="513" s="136" customFormat="1" x14ac:dyDescent="0.3"/>
    <row r="514" s="136" customFormat="1" x14ac:dyDescent="0.3"/>
    <row r="515" s="136" customFormat="1" x14ac:dyDescent="0.3"/>
    <row r="516" s="136" customFormat="1" x14ac:dyDescent="0.3"/>
    <row r="517" s="136" customFormat="1" x14ac:dyDescent="0.3"/>
    <row r="518" s="136" customFormat="1" x14ac:dyDescent="0.3"/>
    <row r="519" s="136" customFormat="1" x14ac:dyDescent="0.3"/>
    <row r="520" s="136" customFormat="1" x14ac:dyDescent="0.3"/>
    <row r="521" s="136" customFormat="1" x14ac:dyDescent="0.3"/>
    <row r="522" s="136" customFormat="1" x14ac:dyDescent="0.3"/>
    <row r="523" s="136" customFormat="1" x14ac:dyDescent="0.3"/>
    <row r="524" s="136" customFormat="1" x14ac:dyDescent="0.3"/>
    <row r="525" s="136" customFormat="1" x14ac:dyDescent="0.3"/>
    <row r="526" s="136" customFormat="1" x14ac:dyDescent="0.3"/>
    <row r="527" s="136" customFormat="1" x14ac:dyDescent="0.3"/>
    <row r="528" s="136" customFormat="1" x14ac:dyDescent="0.3"/>
    <row r="529" s="136" customFormat="1" x14ac:dyDescent="0.3"/>
    <row r="530" s="136" customFormat="1" x14ac:dyDescent="0.3"/>
    <row r="531" s="136" customFormat="1" x14ac:dyDescent="0.3"/>
    <row r="532" s="136" customFormat="1" x14ac:dyDescent="0.3"/>
    <row r="533" s="136" customFormat="1" x14ac:dyDescent="0.3"/>
    <row r="534" s="136" customFormat="1" x14ac:dyDescent="0.3"/>
    <row r="535" s="136" customFormat="1" x14ac:dyDescent="0.3"/>
    <row r="536" s="136" customFormat="1" x14ac:dyDescent="0.3"/>
    <row r="537" s="136" customFormat="1" x14ac:dyDescent="0.3"/>
    <row r="538" s="136" customFormat="1" x14ac:dyDescent="0.3"/>
    <row r="539" s="136" customFormat="1" x14ac:dyDescent="0.3"/>
    <row r="540" s="136" customFormat="1" x14ac:dyDescent="0.3"/>
    <row r="541" s="136" customFormat="1" x14ac:dyDescent="0.3"/>
    <row r="542" s="136" customFormat="1" x14ac:dyDescent="0.3"/>
    <row r="543" s="136" customFormat="1" x14ac:dyDescent="0.3"/>
    <row r="544" s="136" customFormat="1" x14ac:dyDescent="0.3"/>
    <row r="545" s="136" customFormat="1" x14ac:dyDescent="0.3"/>
    <row r="546" s="136" customFormat="1" x14ac:dyDescent="0.3"/>
    <row r="547" s="136" customFormat="1" x14ac:dyDescent="0.3"/>
    <row r="548" s="136" customFormat="1" x14ac:dyDescent="0.3"/>
    <row r="549" s="136" customFormat="1" x14ac:dyDescent="0.3"/>
    <row r="550" s="136" customFormat="1" x14ac:dyDescent="0.3"/>
    <row r="551" s="136" customFormat="1" x14ac:dyDescent="0.3"/>
  </sheetData>
  <sheetProtection sheet="1" objects="1" scenarios="1"/>
  <pageMargins left="0.7" right="0.7" top="0.75" bottom="0.75" header="0.3" footer="0.3"/>
  <legacyDrawing r:id="rId1"/>
  <tableParts count="1">
    <tablePart r:id="rId2"/>
  </tablePar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A7600E-3BA1-406E-9B7D-F405AC532D4C}">
  <dimension ref="A1:CS747"/>
  <sheetViews>
    <sheetView workbookViewId="0">
      <selection activeCell="C5" sqref="C5"/>
    </sheetView>
  </sheetViews>
  <sheetFormatPr defaultColWidth="8.88671875" defaultRowHeight="14.4" x14ac:dyDescent="0.3"/>
  <cols>
    <col min="2" max="2" width="9.44140625" bestFit="1" customWidth="1"/>
    <col min="3" max="3" width="9.5546875" bestFit="1" customWidth="1"/>
    <col min="4" max="4" width="12.44140625" bestFit="1" customWidth="1"/>
    <col min="5" max="5" width="22.88671875" bestFit="1" customWidth="1"/>
    <col min="6" max="6" width="18.88671875" bestFit="1" customWidth="1"/>
    <col min="7" max="7" width="14.44140625" bestFit="1" customWidth="1"/>
    <col min="8" max="8" width="27.109375" bestFit="1" customWidth="1"/>
    <col min="9" max="9" width="16" bestFit="1" customWidth="1"/>
    <col min="10" max="97" width="8.88671875" style="136"/>
  </cols>
  <sheetData>
    <row r="1" spans="1:10" ht="21" x14ac:dyDescent="0.4">
      <c r="A1" s="167" t="s">
        <v>492</v>
      </c>
      <c r="B1" s="167"/>
      <c r="C1" s="167"/>
      <c r="D1" s="167"/>
      <c r="E1" s="167"/>
      <c r="F1" s="167"/>
      <c r="G1" s="167"/>
      <c r="H1" s="167"/>
      <c r="I1" s="167"/>
    </row>
    <row r="2" spans="1:10" hidden="1" x14ac:dyDescent="0.3">
      <c r="A2" s="102">
        <f>SUBTOTAL(3,Table_LLDTrackingSummary[SiteID])</f>
        <v>100</v>
      </c>
      <c r="I2" s="103">
        <f>SUBTOTAL(101,Table_LLDTrackingSummary[LLD_TotalDays])</f>
        <v>2.7111111111111112</v>
      </c>
      <c r="J2" s="136" t="s">
        <v>502</v>
      </c>
    </row>
    <row r="3" spans="1:10" s="136" customFormat="1" x14ac:dyDescent="0.3">
      <c r="A3" s="159"/>
      <c r="I3" s="160"/>
    </row>
    <row r="4" spans="1:10" x14ac:dyDescent="0.3">
      <c r="A4" t="s">
        <v>33</v>
      </c>
      <c r="B4" t="s">
        <v>34</v>
      </c>
      <c r="C4" t="s">
        <v>44</v>
      </c>
      <c r="D4" t="s">
        <v>54</v>
      </c>
      <c r="E4" t="s">
        <v>338</v>
      </c>
      <c r="F4" t="s">
        <v>497</v>
      </c>
      <c r="G4" t="s">
        <v>496</v>
      </c>
      <c r="H4" t="s">
        <v>495</v>
      </c>
      <c r="I4" t="s">
        <v>501</v>
      </c>
    </row>
    <row r="5" spans="1:10" x14ac:dyDescent="0.3">
      <c r="A5" s="79" t="s">
        <v>38</v>
      </c>
      <c r="B5" s="79" t="s">
        <v>35</v>
      </c>
      <c r="C5" s="79" t="s">
        <v>45</v>
      </c>
      <c r="D5" s="79" t="s">
        <v>51</v>
      </c>
      <c r="E5" s="63">
        <f>INDEX(Table_SiteMilestoneTracking[SiteDesignStarted_AC],MATCH(Table_LLDTrackingSummary[[#This Row],[SiteID]],Table_SiteMilestoneTracking[SiteID],0))</f>
        <v>43976</v>
      </c>
      <c r="F5" s="60">
        <f>COUNTIF(Table_LLDTrackingSheet[SiteID],Table_LLDTrackingSummary[[#This Row],[SiteID]])</f>
        <v>3</v>
      </c>
      <c r="G5" s="60" t="str">
        <f>Table_LLDTrackingSummary[[#This Row],[SiteID]]&amp;"_"&amp;Table_LLDTrackingSummary[[#This Row],[SumLLDIterations]]</f>
        <v>AA00219_3</v>
      </c>
      <c r="H5" s="63">
        <f>INDEX(Table_LLDTrackingSheet[LLDIterationEndDate],MATCH(Table_LLDTrackingSummary[[#This Row],[LatestLLD_ID]],Table_LLDTrackingSheet[LLD_ID],0))</f>
        <v>43977</v>
      </c>
      <c r="I5" s="60">
        <f>IFERROR(Table_LLDTrackingSummary[[#This Row],[LatestLLDIterationEndDate]]-Table_LLDTrackingSummary[[#This Row],[SiteDesignStarted_AC]],"-")</f>
        <v>1</v>
      </c>
    </row>
    <row r="6" spans="1:10" x14ac:dyDescent="0.3">
      <c r="A6" s="79" t="s">
        <v>39</v>
      </c>
      <c r="B6" s="79" t="s">
        <v>35</v>
      </c>
      <c r="C6" s="79" t="s">
        <v>46</v>
      </c>
      <c r="D6" s="79" t="s">
        <v>52</v>
      </c>
      <c r="E6" s="63">
        <f>INDEX(Table_SiteMilestoneTracking[SiteDesignStarted_AC],MATCH(Table_LLDTrackingSummary[[#This Row],[SiteID]],Table_SiteMilestoneTracking[SiteID],0))</f>
        <v>43982</v>
      </c>
      <c r="F6" s="60">
        <f>COUNTIF(Table_LLDTrackingSheet[SiteID],Table_LLDTrackingSummary[[#This Row],[SiteID]])</f>
        <v>1</v>
      </c>
      <c r="G6" s="60" t="str">
        <f>Table_LLDTrackingSummary[[#This Row],[SiteID]]&amp;"_"&amp;Table_LLDTrackingSummary[[#This Row],[SumLLDIterations]]</f>
        <v>AA00951_1</v>
      </c>
      <c r="H6" s="63">
        <f>INDEX(Table_LLDTrackingSheet[LLDIterationEndDate],MATCH(Table_LLDTrackingSummary[[#This Row],[LatestLLD_ID]],Table_LLDTrackingSheet[LLD_ID],0))</f>
        <v>43984</v>
      </c>
      <c r="I6" s="60">
        <f>IFERROR(Table_LLDTrackingSummary[[#This Row],[LatestLLDIterationEndDate]]-Table_LLDTrackingSummary[[#This Row],[SiteDesignStarted_AC]],"-")</f>
        <v>2</v>
      </c>
    </row>
    <row r="7" spans="1:10" x14ac:dyDescent="0.3">
      <c r="A7" s="79" t="s">
        <v>40</v>
      </c>
      <c r="B7" s="79" t="s">
        <v>36</v>
      </c>
      <c r="C7" s="79" t="s">
        <v>47</v>
      </c>
      <c r="D7" s="79" t="s">
        <v>53</v>
      </c>
      <c r="E7" s="63">
        <f>INDEX(Table_SiteMilestoneTracking[SiteDesignStarted_AC],MATCH(Table_LLDTrackingSummary[[#This Row],[SiteID]],Table_SiteMilestoneTracking[SiteID],0))</f>
        <v>43983</v>
      </c>
      <c r="F7" s="60">
        <f>COUNTIF(Table_LLDTrackingSheet[SiteID],Table_LLDTrackingSummary[[#This Row],[SiteID]])</f>
        <v>1</v>
      </c>
      <c r="G7" s="60" t="str">
        <f>Table_LLDTrackingSummary[[#This Row],[SiteID]]&amp;"_"&amp;Table_LLDTrackingSummary[[#This Row],[SumLLDIterations]]</f>
        <v>ED00640_1</v>
      </c>
      <c r="H7" s="63">
        <f>INDEX(Table_LLDTrackingSheet[LLDIterationEndDate],MATCH(Table_LLDTrackingSummary[[#This Row],[LatestLLD_ID]],Table_LLDTrackingSheet[LLD_ID],0))</f>
        <v>43986</v>
      </c>
      <c r="I7" s="60">
        <f>IFERROR(Table_LLDTrackingSummary[[#This Row],[LatestLLDIterationEndDate]]-Table_LLDTrackingSummary[[#This Row],[SiteDesignStarted_AC]],"-")</f>
        <v>3</v>
      </c>
    </row>
    <row r="8" spans="1:10" x14ac:dyDescent="0.3">
      <c r="A8" s="79" t="s">
        <v>41</v>
      </c>
      <c r="B8" s="79" t="s">
        <v>36</v>
      </c>
      <c r="C8" s="79" t="s">
        <v>48</v>
      </c>
      <c r="D8" s="79" t="s">
        <v>51</v>
      </c>
      <c r="E8" s="63">
        <f>INDEX(Table_SiteMilestoneTracking[SiteDesignStarted_AC],MATCH(Table_LLDTrackingSummary[[#This Row],[SiteID]],Table_SiteMilestoneTracking[SiteID],0))</f>
        <v>43983</v>
      </c>
      <c r="F8" s="60">
        <f>COUNTIF(Table_LLDTrackingSheet[SiteID],Table_LLDTrackingSummary[[#This Row],[SiteID]])</f>
        <v>2</v>
      </c>
      <c r="G8" s="60" t="str">
        <f>Table_LLDTrackingSummary[[#This Row],[SiteID]]&amp;"_"&amp;Table_LLDTrackingSummary[[#This Row],[SumLLDIterations]]</f>
        <v>FE00941_2</v>
      </c>
      <c r="H8" s="63">
        <f>INDEX(Table_LLDTrackingSheet[LLDIterationEndDate],MATCH(Table_LLDTrackingSummary[[#This Row],[LatestLLD_ID]],Table_LLDTrackingSheet[LLD_ID],0))</f>
        <v>43989</v>
      </c>
      <c r="I8" s="60">
        <f>IFERROR(Table_LLDTrackingSummary[[#This Row],[LatestLLDIterationEndDate]]-Table_LLDTrackingSummary[[#This Row],[SiteDesignStarted_AC]],"-")</f>
        <v>6</v>
      </c>
    </row>
    <row r="9" spans="1:10" x14ac:dyDescent="0.3">
      <c r="A9" s="79" t="s">
        <v>42</v>
      </c>
      <c r="B9" s="79" t="s">
        <v>37</v>
      </c>
      <c r="C9" s="79" t="s">
        <v>49</v>
      </c>
      <c r="D9" s="79" t="s">
        <v>52</v>
      </c>
      <c r="E9" s="63">
        <f>INDEX(Table_SiteMilestoneTracking[SiteDesignStarted_AC],MATCH(Table_LLDTrackingSummary[[#This Row],[SiteID]],Table_SiteMilestoneTracking[SiteID],0))</f>
        <v>43983</v>
      </c>
      <c r="F9" s="60">
        <f>COUNTIF(Table_LLDTrackingSheet[SiteID],Table_LLDTrackingSummary[[#This Row],[SiteID]])</f>
        <v>1</v>
      </c>
      <c r="G9" s="60" t="str">
        <f>Table_LLDTrackingSummary[[#This Row],[SiteID]]&amp;"_"&amp;Table_LLDTrackingSummary[[#This Row],[SumLLDIterations]]</f>
        <v>VC00029_1</v>
      </c>
      <c r="H9" s="63">
        <f>INDEX(Table_LLDTrackingSheet[LLDIterationEndDate],MATCH(Table_LLDTrackingSummary[[#This Row],[LatestLLD_ID]],Table_LLDTrackingSheet[LLD_ID],0))</f>
        <v>43984</v>
      </c>
      <c r="I9" s="60">
        <f>IFERROR(Table_LLDTrackingSummary[[#This Row],[LatestLLDIterationEndDate]]-Table_LLDTrackingSummary[[#This Row],[SiteDesignStarted_AC]],"-")</f>
        <v>1</v>
      </c>
    </row>
    <row r="10" spans="1:10" x14ac:dyDescent="0.3">
      <c r="A10" s="79" t="s">
        <v>43</v>
      </c>
      <c r="B10" s="79" t="s">
        <v>37</v>
      </c>
      <c r="C10" s="79" t="s">
        <v>50</v>
      </c>
      <c r="D10" s="79" t="s">
        <v>53</v>
      </c>
      <c r="E10" s="63">
        <f>INDEX(Table_SiteMilestoneTracking[SiteDesignStarted_AC],MATCH(Table_LLDTrackingSummary[[#This Row],[SiteID]],Table_SiteMilestoneTracking[SiteID],0))</f>
        <v>43983</v>
      </c>
      <c r="F10" s="60">
        <f>COUNTIF(Table_LLDTrackingSheet[SiteID],Table_LLDTrackingSummary[[#This Row],[SiteID]])</f>
        <v>1</v>
      </c>
      <c r="G10" s="60" t="str">
        <f>Table_LLDTrackingSummary[[#This Row],[SiteID]]&amp;"_"&amp;Table_LLDTrackingSummary[[#This Row],[SumLLDIterations]]</f>
        <v>CH00128_1</v>
      </c>
      <c r="H10" s="63">
        <f>INDEX(Table_LLDTrackingSheet[LLDIterationEndDate],MATCH(Table_LLDTrackingSummary[[#This Row],[LatestLLD_ID]],Table_LLDTrackingSheet[LLD_ID],0))</f>
        <v>43985</v>
      </c>
      <c r="I10" s="60">
        <f>IFERROR(Table_LLDTrackingSummary[[#This Row],[LatestLLDIterationEndDate]]-Table_LLDTrackingSummary[[#This Row],[SiteDesignStarted_AC]],"-")</f>
        <v>2</v>
      </c>
    </row>
    <row r="11" spans="1:10" x14ac:dyDescent="0.3">
      <c r="A11" s="79" t="s">
        <v>68</v>
      </c>
      <c r="B11" s="79" t="s">
        <v>35</v>
      </c>
      <c r="C11" s="79" t="s">
        <v>45</v>
      </c>
      <c r="D11" s="79" t="s">
        <v>51</v>
      </c>
      <c r="E11" s="63">
        <f>INDEX(Table_SiteMilestoneTracking[SiteDesignStarted_AC],MATCH(Table_LLDTrackingSummary[[#This Row],[SiteID]],Table_SiteMilestoneTracking[SiteID],0))</f>
        <v>43983</v>
      </c>
      <c r="F11" s="60">
        <f>COUNTIF(Table_LLDTrackingSheet[SiteID],Table_LLDTrackingSummary[[#This Row],[SiteID]])</f>
        <v>2</v>
      </c>
      <c r="G11" s="60" t="str">
        <f>Table_LLDTrackingSummary[[#This Row],[SiteID]]&amp;"_"&amp;Table_LLDTrackingSummary[[#This Row],[SumLLDIterations]]</f>
        <v>CA00135_2</v>
      </c>
      <c r="H11" s="63">
        <f>INDEX(Table_LLDTrackingSheet[LLDIterationEndDate],MATCH(Table_LLDTrackingSummary[[#This Row],[LatestLLD_ID]],Table_LLDTrackingSheet[LLD_ID],0))</f>
        <v>43988</v>
      </c>
      <c r="I11" s="60">
        <f>IFERROR(Table_LLDTrackingSummary[[#This Row],[LatestLLDIterationEndDate]]-Table_LLDTrackingSummary[[#This Row],[SiteDesignStarted_AC]],"-")</f>
        <v>5</v>
      </c>
    </row>
    <row r="12" spans="1:10" x14ac:dyDescent="0.3">
      <c r="A12" s="79" t="s">
        <v>69</v>
      </c>
      <c r="B12" s="79" t="s">
        <v>35</v>
      </c>
      <c r="C12" s="79" t="s">
        <v>46</v>
      </c>
      <c r="D12" s="79" t="s">
        <v>52</v>
      </c>
      <c r="E12" s="63">
        <f>INDEX(Table_SiteMilestoneTracking[SiteDesignStarted_AC],MATCH(Table_LLDTrackingSummary[[#This Row],[SiteID]],Table_SiteMilestoneTracking[SiteID],0))</f>
        <v>43990</v>
      </c>
      <c r="F12" s="60">
        <f>COUNTIF(Table_LLDTrackingSheet[SiteID],Table_LLDTrackingSummary[[#This Row],[SiteID]])</f>
        <v>1</v>
      </c>
      <c r="G12" s="60" t="str">
        <f>Table_LLDTrackingSummary[[#This Row],[SiteID]]&amp;"_"&amp;Table_LLDTrackingSummary[[#This Row],[SumLLDIterations]]</f>
        <v>CA00216_1</v>
      </c>
      <c r="H12" s="63">
        <f>INDEX(Table_LLDTrackingSheet[LLDIterationEndDate],MATCH(Table_LLDTrackingSummary[[#This Row],[LatestLLD_ID]],Table_LLDTrackingSheet[LLD_ID],0))</f>
        <v>43993</v>
      </c>
      <c r="I12" s="60">
        <f>IFERROR(Table_LLDTrackingSummary[[#This Row],[LatestLLDIterationEndDate]]-Table_LLDTrackingSummary[[#This Row],[SiteDesignStarted_AC]],"-")</f>
        <v>3</v>
      </c>
    </row>
    <row r="13" spans="1:10" x14ac:dyDescent="0.3">
      <c r="A13" s="79" t="s">
        <v>70</v>
      </c>
      <c r="B13" s="79" t="s">
        <v>36</v>
      </c>
      <c r="C13" s="79" t="s">
        <v>47</v>
      </c>
      <c r="D13" s="79" t="s">
        <v>53</v>
      </c>
      <c r="E13" s="63">
        <f>INDEX(Table_SiteMilestoneTracking[SiteDesignStarted_AC],MATCH(Table_LLDTrackingSummary[[#This Row],[SiteID]],Table_SiteMilestoneTracking[SiteID],0))</f>
        <v>43989</v>
      </c>
      <c r="F13" s="60">
        <f>COUNTIF(Table_LLDTrackingSheet[SiteID],Table_LLDTrackingSummary[[#This Row],[SiteID]])</f>
        <v>1</v>
      </c>
      <c r="G13" s="60" t="str">
        <f>Table_LLDTrackingSummary[[#This Row],[SiteID]]&amp;"_"&amp;Table_LLDTrackingSummary[[#This Row],[SumLLDIterations]]</f>
        <v>CA00162_1</v>
      </c>
      <c r="H13" s="63">
        <f>INDEX(Table_LLDTrackingSheet[LLDIterationEndDate],MATCH(Table_LLDTrackingSummary[[#This Row],[LatestLLD_ID]],Table_LLDTrackingSheet[LLD_ID],0))</f>
        <v>43994</v>
      </c>
      <c r="I13" s="60">
        <f>IFERROR(Table_LLDTrackingSummary[[#This Row],[LatestLLDIterationEndDate]]-Table_LLDTrackingSummary[[#This Row],[SiteDesignStarted_AC]],"-")</f>
        <v>5</v>
      </c>
    </row>
    <row r="14" spans="1:10" x14ac:dyDescent="0.3">
      <c r="A14" s="79" t="s">
        <v>71</v>
      </c>
      <c r="B14" s="79" t="s">
        <v>36</v>
      </c>
      <c r="C14" s="79" t="s">
        <v>48</v>
      </c>
      <c r="D14" s="79" t="s">
        <v>51</v>
      </c>
      <c r="E14" s="63">
        <f>INDEX(Table_SiteMilestoneTracking[SiteDesignStarted_AC],MATCH(Table_LLDTrackingSummary[[#This Row],[SiteID]],Table_SiteMilestoneTracking[SiteID],0))</f>
        <v>43990</v>
      </c>
      <c r="F14" s="60">
        <f>COUNTIF(Table_LLDTrackingSheet[SiteID],Table_LLDTrackingSummary[[#This Row],[SiteID]])</f>
        <v>1</v>
      </c>
      <c r="G14" s="60" t="str">
        <f>Table_LLDTrackingSummary[[#This Row],[SiteID]]&amp;"_"&amp;Table_LLDTrackingSummary[[#This Row],[SumLLDIterations]]</f>
        <v>CA00257_1</v>
      </c>
      <c r="H14" s="63">
        <f>INDEX(Table_LLDTrackingSheet[LLDIterationEndDate],MATCH(Table_LLDTrackingSummary[[#This Row],[LatestLLD_ID]],Table_LLDTrackingSheet[LLD_ID],0))</f>
        <v>43992</v>
      </c>
      <c r="I14" s="60">
        <f>IFERROR(Table_LLDTrackingSummary[[#This Row],[LatestLLDIterationEndDate]]-Table_LLDTrackingSummary[[#This Row],[SiteDesignStarted_AC]],"-")</f>
        <v>2</v>
      </c>
    </row>
    <row r="15" spans="1:10" x14ac:dyDescent="0.3">
      <c r="A15" s="79" t="s">
        <v>72</v>
      </c>
      <c r="B15" s="79" t="s">
        <v>37</v>
      </c>
      <c r="C15" s="79" t="s">
        <v>49</v>
      </c>
      <c r="D15" s="79" t="s">
        <v>52</v>
      </c>
      <c r="E15" s="63">
        <f>INDEX(Table_SiteMilestoneTracking[SiteDesignStarted_AC],MATCH(Table_LLDTrackingSummary[[#This Row],[SiteID]],Table_SiteMilestoneTracking[SiteID],0))</f>
        <v>43989</v>
      </c>
      <c r="F15" s="60">
        <f>COUNTIF(Table_LLDTrackingSheet[SiteID],Table_LLDTrackingSummary[[#This Row],[SiteID]])</f>
        <v>1</v>
      </c>
      <c r="G15" s="60" t="str">
        <f>Table_LLDTrackingSummary[[#This Row],[SiteID]]&amp;"_"&amp;Table_LLDTrackingSummary[[#This Row],[SumLLDIterations]]</f>
        <v>CA00391_1</v>
      </c>
      <c r="H15" s="63">
        <f>INDEX(Table_LLDTrackingSheet[LLDIterationEndDate],MATCH(Table_LLDTrackingSummary[[#This Row],[LatestLLD_ID]],Table_LLDTrackingSheet[LLD_ID],0))</f>
        <v>43995</v>
      </c>
      <c r="I15" s="60">
        <f>IFERROR(Table_LLDTrackingSummary[[#This Row],[LatestLLDIterationEndDate]]-Table_LLDTrackingSummary[[#This Row],[SiteDesignStarted_AC]],"-")</f>
        <v>6</v>
      </c>
    </row>
    <row r="16" spans="1:10" x14ac:dyDescent="0.3">
      <c r="A16" s="79" t="s">
        <v>73</v>
      </c>
      <c r="B16" s="79" t="s">
        <v>37</v>
      </c>
      <c r="C16" s="79" t="s">
        <v>50</v>
      </c>
      <c r="D16" s="79" t="s">
        <v>53</v>
      </c>
      <c r="E16" s="63">
        <f>INDEX(Table_SiteMilestoneTracking[SiteDesignStarted_AC],MATCH(Table_LLDTrackingSummary[[#This Row],[SiteID]],Table_SiteMilestoneTracking[SiteID],0))</f>
        <v>43990</v>
      </c>
      <c r="F16" s="60">
        <f>COUNTIF(Table_LLDTrackingSheet[SiteID],Table_LLDTrackingSummary[[#This Row],[SiteID]])</f>
        <v>1</v>
      </c>
      <c r="G16" s="60" t="str">
        <f>Table_LLDTrackingSummary[[#This Row],[SiteID]]&amp;"_"&amp;Table_LLDTrackingSummary[[#This Row],[SumLLDIterations]]</f>
        <v>CA00130_1</v>
      </c>
      <c r="H16" s="63">
        <f>INDEX(Table_LLDTrackingSheet[LLDIterationEndDate],MATCH(Table_LLDTrackingSummary[[#This Row],[LatestLLD_ID]],Table_LLDTrackingSheet[LLD_ID],0))</f>
        <v>43993</v>
      </c>
      <c r="I16" s="60">
        <f>IFERROR(Table_LLDTrackingSummary[[#This Row],[LatestLLDIterationEndDate]]-Table_LLDTrackingSummary[[#This Row],[SiteDesignStarted_AC]],"-")</f>
        <v>3</v>
      </c>
    </row>
    <row r="17" spans="1:9" x14ac:dyDescent="0.3">
      <c r="A17" s="79" t="s">
        <v>74</v>
      </c>
      <c r="B17" s="79" t="s">
        <v>35</v>
      </c>
      <c r="C17" s="79" t="s">
        <v>45</v>
      </c>
      <c r="D17" s="79" t="s">
        <v>51</v>
      </c>
      <c r="E17" s="63">
        <f>INDEX(Table_SiteMilestoneTracking[SiteDesignStarted_AC],MATCH(Table_LLDTrackingSummary[[#This Row],[SiteID]],Table_SiteMilestoneTracking[SiteID],0))</f>
        <v>43990</v>
      </c>
      <c r="F17" s="60">
        <f>COUNTIF(Table_LLDTrackingSheet[SiteID],Table_LLDTrackingSummary[[#This Row],[SiteID]])</f>
        <v>1</v>
      </c>
      <c r="G17" s="60" t="str">
        <f>Table_LLDTrackingSummary[[#This Row],[SiteID]]&amp;"_"&amp;Table_LLDTrackingSummary[[#This Row],[SumLLDIterations]]</f>
        <v>CA00149_1</v>
      </c>
      <c r="H17" s="63">
        <f>INDEX(Table_LLDTrackingSheet[LLDIterationEndDate],MATCH(Table_LLDTrackingSummary[[#This Row],[LatestLLD_ID]],Table_LLDTrackingSheet[LLD_ID],0))</f>
        <v>43991</v>
      </c>
      <c r="I17" s="60">
        <f>IFERROR(Table_LLDTrackingSummary[[#This Row],[LatestLLDIterationEndDate]]-Table_LLDTrackingSummary[[#This Row],[SiteDesignStarted_AC]],"-")</f>
        <v>1</v>
      </c>
    </row>
    <row r="18" spans="1:9" x14ac:dyDescent="0.3">
      <c r="A18" s="79" t="s">
        <v>75</v>
      </c>
      <c r="B18" s="79" t="s">
        <v>35</v>
      </c>
      <c r="C18" s="79" t="s">
        <v>46</v>
      </c>
      <c r="D18" s="79" t="s">
        <v>52</v>
      </c>
      <c r="E18" s="63">
        <f>INDEX(Table_SiteMilestoneTracking[SiteDesignStarted_AC],MATCH(Table_LLDTrackingSummary[[#This Row],[SiteID]],Table_SiteMilestoneTracking[SiteID],0))</f>
        <v>43990</v>
      </c>
      <c r="F18" s="60">
        <f>COUNTIF(Table_LLDTrackingSheet[SiteID],Table_LLDTrackingSummary[[#This Row],[SiteID]])</f>
        <v>1</v>
      </c>
      <c r="G18" s="60" t="str">
        <f>Table_LLDTrackingSummary[[#This Row],[SiteID]]&amp;"_"&amp;Table_LLDTrackingSummary[[#This Row],[SumLLDIterations]]</f>
        <v>CA00199_1</v>
      </c>
      <c r="H18" s="63">
        <f>INDEX(Table_LLDTrackingSheet[LLDIterationEndDate],MATCH(Table_LLDTrackingSummary[[#This Row],[LatestLLD_ID]],Table_LLDTrackingSheet[LLD_ID],0))</f>
        <v>43991</v>
      </c>
      <c r="I18" s="60">
        <f>IFERROR(Table_LLDTrackingSummary[[#This Row],[LatestLLDIterationEndDate]]-Table_LLDTrackingSummary[[#This Row],[SiteDesignStarted_AC]],"-")</f>
        <v>1</v>
      </c>
    </row>
    <row r="19" spans="1:9" x14ac:dyDescent="0.3">
      <c r="A19" s="79" t="s">
        <v>76</v>
      </c>
      <c r="B19" s="79" t="s">
        <v>36</v>
      </c>
      <c r="C19" s="79" t="s">
        <v>47</v>
      </c>
      <c r="D19" s="79" t="s">
        <v>53</v>
      </c>
      <c r="E19" s="63">
        <f>INDEX(Table_SiteMilestoneTracking[SiteDesignStarted_AC],MATCH(Table_LLDTrackingSummary[[#This Row],[SiteID]],Table_SiteMilestoneTracking[SiteID],0))</f>
        <v>43990</v>
      </c>
      <c r="F19" s="60">
        <f>COUNTIF(Table_LLDTrackingSheet[SiteID],Table_LLDTrackingSummary[[#This Row],[SiteID]])</f>
        <v>1</v>
      </c>
      <c r="G19" s="60" t="str">
        <f>Table_LLDTrackingSummary[[#This Row],[SiteID]]&amp;"_"&amp;Table_LLDTrackingSummary[[#This Row],[SumLLDIterations]]</f>
        <v>CA00260_1</v>
      </c>
      <c r="H19" s="63">
        <f>INDEX(Table_LLDTrackingSheet[LLDIterationEndDate],MATCH(Table_LLDTrackingSummary[[#This Row],[LatestLLD_ID]],Table_LLDTrackingSheet[LLD_ID],0))</f>
        <v>43994</v>
      </c>
      <c r="I19" s="60">
        <f>IFERROR(Table_LLDTrackingSummary[[#This Row],[LatestLLDIterationEndDate]]-Table_LLDTrackingSummary[[#This Row],[SiteDesignStarted_AC]],"-")</f>
        <v>4</v>
      </c>
    </row>
    <row r="20" spans="1:9" x14ac:dyDescent="0.3">
      <c r="A20" s="79" t="s">
        <v>77</v>
      </c>
      <c r="B20" s="79" t="s">
        <v>36</v>
      </c>
      <c r="C20" s="79" t="s">
        <v>48</v>
      </c>
      <c r="D20" s="79" t="s">
        <v>51</v>
      </c>
      <c r="E20" s="63">
        <f>INDEX(Table_SiteMilestoneTracking[SiteDesignStarted_AC],MATCH(Table_LLDTrackingSummary[[#This Row],[SiteID]],Table_SiteMilestoneTracking[SiteID],0))</f>
        <v>43989</v>
      </c>
      <c r="F20" s="60">
        <f>COUNTIF(Table_LLDTrackingSheet[SiteID],Table_LLDTrackingSummary[[#This Row],[SiteID]])</f>
        <v>1</v>
      </c>
      <c r="G20" s="60" t="str">
        <f>Table_LLDTrackingSummary[[#This Row],[SiteID]]&amp;"_"&amp;Table_LLDTrackingSummary[[#This Row],[SumLLDIterations]]</f>
        <v>CA00261_1</v>
      </c>
      <c r="H20" s="63">
        <f>INDEX(Table_LLDTrackingSheet[LLDIterationEndDate],MATCH(Table_LLDTrackingSummary[[#This Row],[LatestLLD_ID]],Table_LLDTrackingSheet[LLD_ID],0))</f>
        <v>43993</v>
      </c>
      <c r="I20" s="60">
        <f>IFERROR(Table_LLDTrackingSummary[[#This Row],[LatestLLDIterationEndDate]]-Table_LLDTrackingSummary[[#This Row],[SiteDesignStarted_AC]],"-")</f>
        <v>4</v>
      </c>
    </row>
    <row r="21" spans="1:9" x14ac:dyDescent="0.3">
      <c r="A21" s="79" t="s">
        <v>78</v>
      </c>
      <c r="B21" s="79" t="s">
        <v>37</v>
      </c>
      <c r="C21" s="79" t="s">
        <v>49</v>
      </c>
      <c r="D21" s="79" t="s">
        <v>52</v>
      </c>
      <c r="E21" s="63">
        <f>INDEX(Table_SiteMilestoneTracking[SiteDesignStarted_AC],MATCH(Table_LLDTrackingSummary[[#This Row],[SiteID]],Table_SiteMilestoneTracking[SiteID],0))</f>
        <v>43997</v>
      </c>
      <c r="F21" s="60">
        <f>COUNTIF(Table_LLDTrackingSheet[SiteID],Table_LLDTrackingSummary[[#This Row],[SiteID]])</f>
        <v>1</v>
      </c>
      <c r="G21" s="60" t="str">
        <f>Table_LLDTrackingSummary[[#This Row],[SiteID]]&amp;"_"&amp;Table_LLDTrackingSummary[[#This Row],[SumLLDIterations]]</f>
        <v>CA00262_1</v>
      </c>
      <c r="H21" s="63">
        <f>INDEX(Table_LLDTrackingSheet[LLDIterationEndDate],MATCH(Table_LLDTrackingSummary[[#This Row],[LatestLLD_ID]],Table_LLDTrackingSheet[LLD_ID],0))</f>
        <v>43998</v>
      </c>
      <c r="I21" s="60">
        <f>IFERROR(Table_LLDTrackingSummary[[#This Row],[LatestLLDIterationEndDate]]-Table_LLDTrackingSummary[[#This Row],[SiteDesignStarted_AC]],"-")</f>
        <v>1</v>
      </c>
    </row>
    <row r="22" spans="1:9" x14ac:dyDescent="0.3">
      <c r="A22" s="79" t="s">
        <v>79</v>
      </c>
      <c r="B22" s="79" t="s">
        <v>37</v>
      </c>
      <c r="C22" s="79" t="s">
        <v>50</v>
      </c>
      <c r="D22" s="79" t="s">
        <v>53</v>
      </c>
      <c r="E22" s="63">
        <f>INDEX(Table_SiteMilestoneTracking[SiteDesignStarted_AC],MATCH(Table_LLDTrackingSummary[[#This Row],[SiteID]],Table_SiteMilestoneTracking[SiteID],0))</f>
        <v>43996</v>
      </c>
      <c r="F22" s="60">
        <f>COUNTIF(Table_LLDTrackingSheet[SiteID],Table_LLDTrackingSummary[[#This Row],[SiteID]])</f>
        <v>1</v>
      </c>
      <c r="G22" s="60" t="str">
        <f>Table_LLDTrackingSummary[[#This Row],[SiteID]]&amp;"_"&amp;Table_LLDTrackingSummary[[#This Row],[SumLLDIterations]]</f>
        <v>CA00263_1</v>
      </c>
      <c r="H22" s="63">
        <f>INDEX(Table_LLDTrackingSheet[LLDIterationEndDate],MATCH(Table_LLDTrackingSummary[[#This Row],[LatestLLD_ID]],Table_LLDTrackingSheet[LLD_ID],0))</f>
        <v>43998</v>
      </c>
      <c r="I22" s="60">
        <f>IFERROR(Table_LLDTrackingSummary[[#This Row],[LatestLLDIterationEndDate]]-Table_LLDTrackingSummary[[#This Row],[SiteDesignStarted_AC]],"-")</f>
        <v>2</v>
      </c>
    </row>
    <row r="23" spans="1:9" x14ac:dyDescent="0.3">
      <c r="A23" s="79" t="s">
        <v>80</v>
      </c>
      <c r="B23" s="79" t="s">
        <v>35</v>
      </c>
      <c r="C23" s="79" t="s">
        <v>45</v>
      </c>
      <c r="D23" s="79" t="s">
        <v>51</v>
      </c>
      <c r="E23" s="63">
        <f>INDEX(Table_SiteMilestoneTracking[SiteDesignStarted_AC],MATCH(Table_LLDTrackingSummary[[#This Row],[SiteID]],Table_SiteMilestoneTracking[SiteID],0))</f>
        <v>43996</v>
      </c>
      <c r="F23" s="60">
        <f>COUNTIF(Table_LLDTrackingSheet[SiteID],Table_LLDTrackingSummary[[#This Row],[SiteID]])</f>
        <v>1</v>
      </c>
      <c r="G23" s="60" t="str">
        <f>Table_LLDTrackingSummary[[#This Row],[SiteID]]&amp;"_"&amp;Table_LLDTrackingSummary[[#This Row],[SumLLDIterations]]</f>
        <v>AM00053_1</v>
      </c>
      <c r="H23" s="63">
        <f>INDEX(Table_LLDTrackingSheet[LLDIterationEndDate],MATCH(Table_LLDTrackingSummary[[#This Row],[LatestLLD_ID]],Table_LLDTrackingSheet[LLD_ID],0))</f>
        <v>44000</v>
      </c>
      <c r="I23" s="60">
        <f>IFERROR(Table_LLDTrackingSummary[[#This Row],[LatestLLDIterationEndDate]]-Table_LLDTrackingSummary[[#This Row],[SiteDesignStarted_AC]],"-")</f>
        <v>4</v>
      </c>
    </row>
    <row r="24" spans="1:9" x14ac:dyDescent="0.3">
      <c r="A24" s="79" t="s">
        <v>81</v>
      </c>
      <c r="B24" s="79" t="s">
        <v>35</v>
      </c>
      <c r="C24" s="79" t="s">
        <v>46</v>
      </c>
      <c r="D24" s="79" t="s">
        <v>52</v>
      </c>
      <c r="E24" s="63">
        <f>INDEX(Table_SiteMilestoneTracking[SiteDesignStarted_AC],MATCH(Table_LLDTrackingSummary[[#This Row],[SiteID]],Table_SiteMilestoneTracking[SiteID],0))</f>
        <v>43997</v>
      </c>
      <c r="F24" s="60">
        <f>COUNTIF(Table_LLDTrackingSheet[SiteID],Table_LLDTrackingSummary[[#This Row],[SiteID]])</f>
        <v>1</v>
      </c>
      <c r="G24" s="60" t="str">
        <f>Table_LLDTrackingSummary[[#This Row],[SiteID]]&amp;"_"&amp;Table_LLDTrackingSummary[[#This Row],[SumLLDIterations]]</f>
        <v>CA00264_1</v>
      </c>
      <c r="H24" s="63">
        <f>INDEX(Table_LLDTrackingSheet[LLDIterationEndDate],MATCH(Table_LLDTrackingSummary[[#This Row],[LatestLLD_ID]],Table_LLDTrackingSheet[LLD_ID],0))</f>
        <v>43998</v>
      </c>
      <c r="I24" s="60">
        <f>IFERROR(Table_LLDTrackingSummary[[#This Row],[LatestLLDIterationEndDate]]-Table_LLDTrackingSummary[[#This Row],[SiteDesignStarted_AC]],"-")</f>
        <v>1</v>
      </c>
    </row>
    <row r="25" spans="1:9" x14ac:dyDescent="0.3">
      <c r="A25" s="79" t="s">
        <v>82</v>
      </c>
      <c r="B25" s="79" t="s">
        <v>36</v>
      </c>
      <c r="C25" s="79" t="s">
        <v>47</v>
      </c>
      <c r="D25" s="79" t="s">
        <v>53</v>
      </c>
      <c r="E25" s="63">
        <f>INDEX(Table_SiteMilestoneTracking[SiteDesignStarted_AC],MATCH(Table_LLDTrackingSummary[[#This Row],[SiteID]],Table_SiteMilestoneTracking[SiteID],0))</f>
        <v>43997</v>
      </c>
      <c r="F25" s="60">
        <f>COUNTIF(Table_LLDTrackingSheet[SiteID],Table_LLDTrackingSummary[[#This Row],[SiteID]])</f>
        <v>1</v>
      </c>
      <c r="G25" s="60" t="str">
        <f>Table_LLDTrackingSummary[[#This Row],[SiteID]]&amp;"_"&amp;Table_LLDTrackingSummary[[#This Row],[SumLLDIterations]]</f>
        <v>CA00265_1</v>
      </c>
      <c r="H25" s="63">
        <f>INDEX(Table_LLDTrackingSheet[LLDIterationEndDate],MATCH(Table_LLDTrackingSummary[[#This Row],[LatestLLD_ID]],Table_LLDTrackingSheet[LLD_ID],0))</f>
        <v>43997</v>
      </c>
      <c r="I25" s="60">
        <f>IFERROR(Table_LLDTrackingSummary[[#This Row],[LatestLLDIterationEndDate]]-Table_LLDTrackingSummary[[#This Row],[SiteDesignStarted_AC]],"-")</f>
        <v>0</v>
      </c>
    </row>
    <row r="26" spans="1:9" x14ac:dyDescent="0.3">
      <c r="A26" s="79" t="s">
        <v>83</v>
      </c>
      <c r="B26" s="79" t="s">
        <v>36</v>
      </c>
      <c r="C26" s="79" t="s">
        <v>48</v>
      </c>
      <c r="D26" s="79" t="s">
        <v>51</v>
      </c>
      <c r="E26" s="63">
        <f>INDEX(Table_SiteMilestoneTracking[SiteDesignStarted_AC],MATCH(Table_LLDTrackingSummary[[#This Row],[SiteID]],Table_SiteMilestoneTracking[SiteID],0))</f>
        <v>43997</v>
      </c>
      <c r="F26" s="60">
        <f>COUNTIF(Table_LLDTrackingSheet[SiteID],Table_LLDTrackingSummary[[#This Row],[SiteID]])</f>
        <v>1</v>
      </c>
      <c r="G26" s="60" t="str">
        <f>Table_LLDTrackingSummary[[#This Row],[SiteID]]&amp;"_"&amp;Table_LLDTrackingSummary[[#This Row],[SumLLDIterations]]</f>
        <v>CA00372_1</v>
      </c>
      <c r="H26" s="63">
        <f>INDEX(Table_LLDTrackingSheet[LLDIterationEndDate],MATCH(Table_LLDTrackingSummary[[#This Row],[LatestLLD_ID]],Table_LLDTrackingSheet[LLD_ID],0))</f>
        <v>44001</v>
      </c>
      <c r="I26" s="60">
        <f>IFERROR(Table_LLDTrackingSummary[[#This Row],[LatestLLDIterationEndDate]]-Table_LLDTrackingSummary[[#This Row],[SiteDesignStarted_AC]],"-")</f>
        <v>4</v>
      </c>
    </row>
    <row r="27" spans="1:9" x14ac:dyDescent="0.3">
      <c r="A27" s="79" t="s">
        <v>84</v>
      </c>
      <c r="B27" s="79" t="s">
        <v>37</v>
      </c>
      <c r="C27" s="79" t="s">
        <v>49</v>
      </c>
      <c r="D27" s="79" t="s">
        <v>52</v>
      </c>
      <c r="E27" s="63">
        <f>INDEX(Table_SiteMilestoneTracking[SiteDesignStarted_AC],MATCH(Table_LLDTrackingSummary[[#This Row],[SiteID]],Table_SiteMilestoneTracking[SiteID],0))</f>
        <v>43997</v>
      </c>
      <c r="F27" s="60">
        <f>COUNTIF(Table_LLDTrackingSheet[SiteID],Table_LLDTrackingSummary[[#This Row],[SiteID]])</f>
        <v>1</v>
      </c>
      <c r="G27" s="60" t="str">
        <f>Table_LLDTrackingSummary[[#This Row],[SiteID]]&amp;"_"&amp;Table_LLDTrackingSummary[[#This Row],[SumLLDIterations]]</f>
        <v>CA00565_1</v>
      </c>
      <c r="H27" s="63">
        <f>INDEX(Table_LLDTrackingSheet[LLDIterationEndDate],MATCH(Table_LLDTrackingSummary[[#This Row],[LatestLLD_ID]],Table_LLDTrackingSheet[LLD_ID],0))</f>
        <v>44001</v>
      </c>
      <c r="I27" s="60">
        <f>IFERROR(Table_LLDTrackingSummary[[#This Row],[LatestLLDIterationEndDate]]-Table_LLDTrackingSummary[[#This Row],[SiteDesignStarted_AC]],"-")</f>
        <v>4</v>
      </c>
    </row>
    <row r="28" spans="1:9" x14ac:dyDescent="0.3">
      <c r="A28" s="79" t="s">
        <v>85</v>
      </c>
      <c r="B28" s="79" t="s">
        <v>37</v>
      </c>
      <c r="C28" s="79" t="s">
        <v>50</v>
      </c>
      <c r="D28" s="79" t="s">
        <v>53</v>
      </c>
      <c r="E28" s="63">
        <f>INDEX(Table_SiteMilestoneTracking[SiteDesignStarted_AC],MATCH(Table_LLDTrackingSummary[[#This Row],[SiteID]],Table_SiteMilestoneTracking[SiteID],0))</f>
        <v>43997</v>
      </c>
      <c r="F28" s="60">
        <f>COUNTIF(Table_LLDTrackingSheet[SiteID],Table_LLDTrackingSummary[[#This Row],[SiteID]])</f>
        <v>1</v>
      </c>
      <c r="G28" s="60" t="str">
        <f>Table_LLDTrackingSummary[[#This Row],[SiteID]]&amp;"_"&amp;Table_LLDTrackingSummary[[#This Row],[SumLLDIterations]]</f>
        <v>CA00269_1</v>
      </c>
      <c r="H28" s="63">
        <f>INDEX(Table_LLDTrackingSheet[LLDIterationEndDate],MATCH(Table_LLDTrackingSummary[[#This Row],[LatestLLD_ID]],Table_LLDTrackingSheet[LLD_ID],0))</f>
        <v>43999</v>
      </c>
      <c r="I28" s="60">
        <f>IFERROR(Table_LLDTrackingSummary[[#This Row],[LatestLLDIterationEndDate]]-Table_LLDTrackingSummary[[#This Row],[SiteDesignStarted_AC]],"-")</f>
        <v>2</v>
      </c>
    </row>
    <row r="29" spans="1:9" x14ac:dyDescent="0.3">
      <c r="A29" s="79" t="s">
        <v>86</v>
      </c>
      <c r="B29" s="79" t="s">
        <v>35</v>
      </c>
      <c r="C29" s="79" t="s">
        <v>45</v>
      </c>
      <c r="D29" s="79" t="s">
        <v>51</v>
      </c>
      <c r="E29" s="63">
        <f>INDEX(Table_SiteMilestoneTracking[SiteDesignStarted_AC],MATCH(Table_LLDTrackingSummary[[#This Row],[SiteID]],Table_SiteMilestoneTracking[SiteID],0))</f>
        <v>43996</v>
      </c>
      <c r="F29" s="60">
        <f>COUNTIF(Table_LLDTrackingSheet[SiteID],Table_LLDTrackingSummary[[#This Row],[SiteID]])</f>
        <v>1</v>
      </c>
      <c r="G29" s="60" t="str">
        <f>Table_LLDTrackingSummary[[#This Row],[SiteID]]&amp;"_"&amp;Table_LLDTrackingSummary[[#This Row],[SumLLDIterations]]</f>
        <v>CA00496_1</v>
      </c>
      <c r="H29" s="63">
        <f>INDEX(Table_LLDTrackingSheet[LLDIterationEndDate],MATCH(Table_LLDTrackingSummary[[#This Row],[LatestLLD_ID]],Table_LLDTrackingSheet[LLD_ID],0))</f>
        <v>43998</v>
      </c>
      <c r="I29" s="60">
        <f>IFERROR(Table_LLDTrackingSummary[[#This Row],[LatestLLDIterationEndDate]]-Table_LLDTrackingSummary[[#This Row],[SiteDesignStarted_AC]],"-")</f>
        <v>2</v>
      </c>
    </row>
    <row r="30" spans="1:9" x14ac:dyDescent="0.3">
      <c r="A30" s="79" t="s">
        <v>87</v>
      </c>
      <c r="B30" s="79" t="s">
        <v>35</v>
      </c>
      <c r="C30" s="79" t="s">
        <v>46</v>
      </c>
      <c r="D30" s="79" t="s">
        <v>52</v>
      </c>
      <c r="E30" s="63">
        <f>INDEX(Table_SiteMilestoneTracking[SiteDesignStarted_AC],MATCH(Table_LLDTrackingSummary[[#This Row],[SiteID]],Table_SiteMilestoneTracking[SiteID],0))</f>
        <v>43996</v>
      </c>
      <c r="F30" s="60">
        <f>COUNTIF(Table_LLDTrackingSheet[SiteID],Table_LLDTrackingSummary[[#This Row],[SiteID]])</f>
        <v>1</v>
      </c>
      <c r="G30" s="60" t="str">
        <f>Table_LLDTrackingSummary[[#This Row],[SiteID]]&amp;"_"&amp;Table_LLDTrackingSummary[[#This Row],[SumLLDIterations]]</f>
        <v>CA00241_1</v>
      </c>
      <c r="H30" s="63">
        <f>INDEX(Table_LLDTrackingSheet[LLDIterationEndDate],MATCH(Table_LLDTrackingSummary[[#This Row],[LatestLLD_ID]],Table_LLDTrackingSheet[LLD_ID],0))</f>
        <v>44000</v>
      </c>
      <c r="I30" s="60">
        <f>IFERROR(Table_LLDTrackingSummary[[#This Row],[LatestLLDIterationEndDate]]-Table_LLDTrackingSummary[[#This Row],[SiteDesignStarted_AC]],"-")</f>
        <v>4</v>
      </c>
    </row>
    <row r="31" spans="1:9" x14ac:dyDescent="0.3">
      <c r="A31" s="79" t="s">
        <v>88</v>
      </c>
      <c r="B31" s="79" t="s">
        <v>36</v>
      </c>
      <c r="C31" s="79" t="s">
        <v>47</v>
      </c>
      <c r="D31" s="79" t="s">
        <v>53</v>
      </c>
      <c r="E31" s="63">
        <f>INDEX(Table_SiteMilestoneTracking[SiteDesignStarted_AC],MATCH(Table_LLDTrackingSummary[[#This Row],[SiteID]],Table_SiteMilestoneTracking[SiteID],0))</f>
        <v>44002</v>
      </c>
      <c r="F31" s="60">
        <f>COUNTIF(Table_LLDTrackingSheet[SiteID],Table_LLDTrackingSummary[[#This Row],[SiteID]])</f>
        <v>1</v>
      </c>
      <c r="G31" s="60" t="str">
        <f>Table_LLDTrackingSummary[[#This Row],[SiteID]]&amp;"_"&amp;Table_LLDTrackingSummary[[#This Row],[SumLLDIterations]]</f>
        <v>CA00353_1</v>
      </c>
      <c r="H31" s="63">
        <f>INDEX(Table_LLDTrackingSheet[LLDIterationEndDate],MATCH(Table_LLDTrackingSummary[[#This Row],[LatestLLD_ID]],Table_LLDTrackingSheet[LLD_ID],0))</f>
        <v>44006</v>
      </c>
      <c r="I31" s="60">
        <f>IFERROR(Table_LLDTrackingSummary[[#This Row],[LatestLLDIterationEndDate]]-Table_LLDTrackingSummary[[#This Row],[SiteDesignStarted_AC]],"-")</f>
        <v>4</v>
      </c>
    </row>
    <row r="32" spans="1:9" x14ac:dyDescent="0.3">
      <c r="A32" s="79" t="s">
        <v>89</v>
      </c>
      <c r="B32" s="79" t="s">
        <v>36</v>
      </c>
      <c r="C32" s="79" t="s">
        <v>48</v>
      </c>
      <c r="D32" s="79" t="s">
        <v>51</v>
      </c>
      <c r="E32" s="63">
        <f>INDEX(Table_SiteMilestoneTracking[SiteDesignStarted_AC],MATCH(Table_LLDTrackingSummary[[#This Row],[SiteID]],Table_SiteMilestoneTracking[SiteID],0))</f>
        <v>44002</v>
      </c>
      <c r="F32" s="60">
        <f>COUNTIF(Table_LLDTrackingSheet[SiteID],Table_LLDTrackingSummary[[#This Row],[SiteID]])</f>
        <v>1</v>
      </c>
      <c r="G32" s="60" t="str">
        <f>Table_LLDTrackingSummary[[#This Row],[SiteID]]&amp;"_"&amp;Table_LLDTrackingSummary[[#This Row],[SumLLDIterations]]</f>
        <v>HU00017_1</v>
      </c>
      <c r="H32" s="63">
        <f>INDEX(Table_LLDTrackingSheet[LLDIterationEndDate],MATCH(Table_LLDTrackingSummary[[#This Row],[LatestLLD_ID]],Table_LLDTrackingSheet[LLD_ID],0))</f>
        <v>44006</v>
      </c>
      <c r="I32" s="60">
        <f>IFERROR(Table_LLDTrackingSummary[[#This Row],[LatestLLDIterationEndDate]]-Table_LLDTrackingSummary[[#This Row],[SiteDesignStarted_AC]],"-")</f>
        <v>4</v>
      </c>
    </row>
    <row r="33" spans="1:9" x14ac:dyDescent="0.3">
      <c r="A33" s="79" t="s">
        <v>90</v>
      </c>
      <c r="B33" s="79" t="s">
        <v>37</v>
      </c>
      <c r="C33" s="79" t="s">
        <v>49</v>
      </c>
      <c r="D33" s="79" t="s">
        <v>52</v>
      </c>
      <c r="E33" s="63">
        <f>INDEX(Table_SiteMilestoneTracking[SiteDesignStarted_AC],MATCH(Table_LLDTrackingSummary[[#This Row],[SiteID]],Table_SiteMilestoneTracking[SiteID],0))</f>
        <v>44003</v>
      </c>
      <c r="F33" s="60">
        <f>COUNTIF(Table_LLDTrackingSheet[SiteID],Table_LLDTrackingSummary[[#This Row],[SiteID]])</f>
        <v>1</v>
      </c>
      <c r="G33" s="60" t="str">
        <f>Table_LLDTrackingSummary[[#This Row],[SiteID]]&amp;"_"&amp;Table_LLDTrackingSummary[[#This Row],[SumLLDIterations]]</f>
        <v>HU00060_1</v>
      </c>
      <c r="H33" s="63">
        <f>INDEX(Table_LLDTrackingSheet[LLDIterationEndDate],MATCH(Table_LLDTrackingSummary[[#This Row],[LatestLLD_ID]],Table_LLDTrackingSheet[LLD_ID],0))</f>
        <v>44005</v>
      </c>
      <c r="I33" s="60">
        <f>IFERROR(Table_LLDTrackingSummary[[#This Row],[LatestLLDIterationEndDate]]-Table_LLDTrackingSummary[[#This Row],[SiteDesignStarted_AC]],"-")</f>
        <v>2</v>
      </c>
    </row>
    <row r="34" spans="1:9" x14ac:dyDescent="0.3">
      <c r="A34" s="79" t="s">
        <v>91</v>
      </c>
      <c r="B34" s="79" t="s">
        <v>37</v>
      </c>
      <c r="C34" s="79" t="s">
        <v>50</v>
      </c>
      <c r="D34" s="79" t="s">
        <v>53</v>
      </c>
      <c r="E34" s="63">
        <f>INDEX(Table_SiteMilestoneTracking[SiteDesignStarted_AC],MATCH(Table_LLDTrackingSummary[[#This Row],[SiteID]],Table_SiteMilestoneTracking[SiteID],0))</f>
        <v>44003</v>
      </c>
      <c r="F34" s="60">
        <f>COUNTIF(Table_LLDTrackingSheet[SiteID],Table_LLDTrackingSummary[[#This Row],[SiteID]])</f>
        <v>1</v>
      </c>
      <c r="G34" s="60" t="str">
        <f>Table_LLDTrackingSummary[[#This Row],[SiteID]]&amp;"_"&amp;Table_LLDTrackingSummary[[#This Row],[SumLLDIterations]]</f>
        <v>HU00180_1</v>
      </c>
      <c r="H34" s="63">
        <f>INDEX(Table_LLDTrackingSheet[LLDIterationEndDate],MATCH(Table_LLDTrackingSummary[[#This Row],[LatestLLD_ID]],Table_LLDTrackingSheet[LLD_ID],0))</f>
        <v>44003</v>
      </c>
      <c r="I34" s="60">
        <f>IFERROR(Table_LLDTrackingSummary[[#This Row],[LatestLLDIterationEndDate]]-Table_LLDTrackingSummary[[#This Row],[SiteDesignStarted_AC]],"-")</f>
        <v>0</v>
      </c>
    </row>
    <row r="35" spans="1:9" x14ac:dyDescent="0.3">
      <c r="A35" s="79" t="s">
        <v>92</v>
      </c>
      <c r="B35" s="79" t="s">
        <v>35</v>
      </c>
      <c r="C35" s="79" t="s">
        <v>45</v>
      </c>
      <c r="D35" s="79" t="s">
        <v>52</v>
      </c>
      <c r="E35" s="63">
        <f>INDEX(Table_SiteMilestoneTracking[SiteDesignStarted_AC],MATCH(Table_LLDTrackingSummary[[#This Row],[SiteID]],Table_SiteMilestoneTracking[SiteID],0))</f>
        <v>44003</v>
      </c>
      <c r="F35" s="60">
        <f>COUNTIF(Table_LLDTrackingSheet[SiteID],Table_LLDTrackingSummary[[#This Row],[SiteID]])</f>
        <v>1</v>
      </c>
      <c r="G35" s="60" t="str">
        <f>Table_LLDTrackingSummary[[#This Row],[SiteID]]&amp;"_"&amp;Table_LLDTrackingSummary[[#This Row],[SumLLDIterations]]</f>
        <v>AM00040_1</v>
      </c>
      <c r="H35" s="63">
        <f>INDEX(Table_LLDTrackingSheet[LLDIterationEndDate],MATCH(Table_LLDTrackingSummary[[#This Row],[LatestLLD_ID]],Table_LLDTrackingSheet[LLD_ID],0))</f>
        <v>44006</v>
      </c>
      <c r="I35" s="60">
        <f>IFERROR(Table_LLDTrackingSummary[[#This Row],[LatestLLDIterationEndDate]]-Table_LLDTrackingSummary[[#This Row],[SiteDesignStarted_AC]],"-")</f>
        <v>3</v>
      </c>
    </row>
    <row r="36" spans="1:9" x14ac:dyDescent="0.3">
      <c r="A36" s="79" t="s">
        <v>93</v>
      </c>
      <c r="B36" s="79" t="s">
        <v>35</v>
      </c>
      <c r="C36" s="79" t="s">
        <v>46</v>
      </c>
      <c r="D36" s="79" t="s">
        <v>53</v>
      </c>
      <c r="E36" s="63">
        <f>INDEX(Table_SiteMilestoneTracking[SiteDesignStarted_AC],MATCH(Table_LLDTrackingSummary[[#This Row],[SiteID]],Table_SiteMilestoneTracking[SiteID],0))</f>
        <v>44002</v>
      </c>
      <c r="F36" s="60">
        <f>COUNTIF(Table_LLDTrackingSheet[SiteID],Table_LLDTrackingSummary[[#This Row],[SiteID]])</f>
        <v>1</v>
      </c>
      <c r="G36" s="60" t="str">
        <f>Table_LLDTrackingSummary[[#This Row],[SiteID]]&amp;"_"&amp;Table_LLDTrackingSummary[[#This Row],[SumLLDIterations]]</f>
        <v>AM00041_1</v>
      </c>
      <c r="H36" s="63">
        <f>INDEX(Table_LLDTrackingSheet[LLDIterationEndDate],MATCH(Table_LLDTrackingSummary[[#This Row],[LatestLLD_ID]],Table_LLDTrackingSheet[LLD_ID],0))</f>
        <v>44004</v>
      </c>
      <c r="I36" s="60">
        <f>IFERROR(Table_LLDTrackingSummary[[#This Row],[LatestLLDIterationEndDate]]-Table_LLDTrackingSummary[[#This Row],[SiteDesignStarted_AC]],"-")</f>
        <v>2</v>
      </c>
    </row>
    <row r="37" spans="1:9" x14ac:dyDescent="0.3">
      <c r="A37" s="79" t="s">
        <v>94</v>
      </c>
      <c r="B37" s="79" t="s">
        <v>36</v>
      </c>
      <c r="C37" s="79" t="s">
        <v>47</v>
      </c>
      <c r="D37" s="79" t="s">
        <v>51</v>
      </c>
      <c r="E37" s="63">
        <f>INDEX(Table_SiteMilestoneTracking[SiteDesignStarted_AC],MATCH(Table_LLDTrackingSummary[[#This Row],[SiteID]],Table_SiteMilestoneTracking[SiteID],0))</f>
        <v>44002</v>
      </c>
      <c r="F37" s="60">
        <f>COUNTIF(Table_LLDTrackingSheet[SiteID],Table_LLDTrackingSummary[[#This Row],[SiteID]])</f>
        <v>1</v>
      </c>
      <c r="G37" s="60" t="str">
        <f>Table_LLDTrackingSummary[[#This Row],[SiteID]]&amp;"_"&amp;Table_LLDTrackingSummary[[#This Row],[SumLLDIterations]]</f>
        <v>AM00067_1</v>
      </c>
      <c r="H37" s="63">
        <f>INDEX(Table_LLDTrackingSheet[LLDIterationEndDate],MATCH(Table_LLDTrackingSummary[[#This Row],[LatestLLD_ID]],Table_LLDTrackingSheet[LLD_ID],0))</f>
        <v>44006</v>
      </c>
      <c r="I37" s="60">
        <f>IFERROR(Table_LLDTrackingSummary[[#This Row],[LatestLLDIterationEndDate]]-Table_LLDTrackingSummary[[#This Row],[SiteDesignStarted_AC]],"-")</f>
        <v>4</v>
      </c>
    </row>
    <row r="38" spans="1:9" x14ac:dyDescent="0.3">
      <c r="A38" s="79" t="s">
        <v>95</v>
      </c>
      <c r="B38" s="79" t="s">
        <v>36</v>
      </c>
      <c r="C38" s="79" t="s">
        <v>48</v>
      </c>
      <c r="D38" s="79" t="s">
        <v>52</v>
      </c>
      <c r="E38" s="63">
        <f>INDEX(Table_SiteMilestoneTracking[SiteDesignStarted_AC],MATCH(Table_LLDTrackingSummary[[#This Row],[SiteID]],Table_SiteMilestoneTracking[SiteID],0))</f>
        <v>44003</v>
      </c>
      <c r="F38" s="60">
        <f>COUNTIF(Table_LLDTrackingSheet[SiteID],Table_LLDTrackingSummary[[#This Row],[SiteID]])</f>
        <v>1</v>
      </c>
      <c r="G38" s="60" t="str">
        <f>Table_LLDTrackingSummary[[#This Row],[SiteID]]&amp;"_"&amp;Table_LLDTrackingSummary[[#This Row],[SumLLDIterations]]</f>
        <v>AM00100_1</v>
      </c>
      <c r="H38" s="63">
        <f>INDEX(Table_LLDTrackingSheet[LLDIterationEndDate],MATCH(Table_LLDTrackingSummary[[#This Row],[LatestLLD_ID]],Table_LLDTrackingSheet[LLD_ID],0))</f>
        <v>44006</v>
      </c>
      <c r="I38" s="60">
        <f>IFERROR(Table_LLDTrackingSummary[[#This Row],[LatestLLDIterationEndDate]]-Table_LLDTrackingSummary[[#This Row],[SiteDesignStarted_AC]],"-")</f>
        <v>3</v>
      </c>
    </row>
    <row r="39" spans="1:9" x14ac:dyDescent="0.3">
      <c r="A39" s="79" t="s">
        <v>96</v>
      </c>
      <c r="B39" s="79" t="s">
        <v>37</v>
      </c>
      <c r="C39" s="79" t="s">
        <v>49</v>
      </c>
      <c r="D39" s="79" t="s">
        <v>53</v>
      </c>
      <c r="E39" s="63">
        <f>INDEX(Table_SiteMilestoneTracking[SiteDesignStarted_AC],MATCH(Table_LLDTrackingSummary[[#This Row],[SiteID]],Table_SiteMilestoneTracking[SiteID],0))</f>
        <v>44002</v>
      </c>
      <c r="F39" s="60">
        <f>COUNTIF(Table_LLDTrackingSheet[SiteID],Table_LLDTrackingSummary[[#This Row],[SiteID]])</f>
        <v>1</v>
      </c>
      <c r="G39" s="60" t="str">
        <f>Table_LLDTrackingSummary[[#This Row],[SiteID]]&amp;"_"&amp;Table_LLDTrackingSummary[[#This Row],[SumLLDIterations]]</f>
        <v>AM00118_1</v>
      </c>
      <c r="H39" s="63">
        <f>INDEX(Table_LLDTrackingSheet[LLDIterationEndDate],MATCH(Table_LLDTrackingSummary[[#This Row],[LatestLLD_ID]],Table_LLDTrackingSheet[LLD_ID],0))</f>
        <v>44005</v>
      </c>
      <c r="I39" s="60">
        <f>IFERROR(Table_LLDTrackingSummary[[#This Row],[LatestLLDIterationEndDate]]-Table_LLDTrackingSummary[[#This Row],[SiteDesignStarted_AC]],"-")</f>
        <v>3</v>
      </c>
    </row>
    <row r="40" spans="1:9" x14ac:dyDescent="0.3">
      <c r="A40" s="79" t="s">
        <v>97</v>
      </c>
      <c r="B40" s="79" t="s">
        <v>37</v>
      </c>
      <c r="C40" s="79" t="s">
        <v>50</v>
      </c>
      <c r="D40" s="79" t="s">
        <v>51</v>
      </c>
      <c r="E40" s="63">
        <f>INDEX(Table_SiteMilestoneTracking[SiteDesignStarted_AC],MATCH(Table_LLDTrackingSummary[[#This Row],[SiteID]],Table_SiteMilestoneTracking[SiteID],0))</f>
        <v>44002</v>
      </c>
      <c r="F40" s="60">
        <f>COUNTIF(Table_LLDTrackingSheet[SiteID],Table_LLDTrackingSummary[[#This Row],[SiteID]])</f>
        <v>1</v>
      </c>
      <c r="G40" s="60" t="str">
        <f>Table_LLDTrackingSummary[[#This Row],[SiteID]]&amp;"_"&amp;Table_LLDTrackingSummary[[#This Row],[SumLLDIterations]]</f>
        <v>AM00147_1</v>
      </c>
      <c r="H40" s="63">
        <f>INDEX(Table_LLDTrackingSheet[LLDIterationEndDate],MATCH(Table_LLDTrackingSummary[[#This Row],[LatestLLD_ID]],Table_LLDTrackingSheet[LLD_ID],0))</f>
        <v>44008</v>
      </c>
      <c r="I40" s="60">
        <f>IFERROR(Table_LLDTrackingSummary[[#This Row],[LatestLLDIterationEndDate]]-Table_LLDTrackingSummary[[#This Row],[SiteDesignStarted_AC]],"-")</f>
        <v>6</v>
      </c>
    </row>
    <row r="41" spans="1:9" x14ac:dyDescent="0.3">
      <c r="A41" s="79" t="s">
        <v>98</v>
      </c>
      <c r="B41" s="79" t="s">
        <v>35</v>
      </c>
      <c r="C41" s="79" t="s">
        <v>45</v>
      </c>
      <c r="D41" s="79" t="s">
        <v>52</v>
      </c>
      <c r="E41" s="63">
        <f>INDEX(Table_SiteMilestoneTracking[SiteDesignStarted_AC],MATCH(Table_LLDTrackingSummary[[#This Row],[SiteID]],Table_SiteMilestoneTracking[SiteID],0))</f>
        <v>44003</v>
      </c>
      <c r="F41" s="60">
        <f>COUNTIF(Table_LLDTrackingSheet[SiteID],Table_LLDTrackingSummary[[#This Row],[SiteID]])</f>
        <v>1</v>
      </c>
      <c r="G41" s="60" t="str">
        <f>Table_LLDTrackingSummary[[#This Row],[SiteID]]&amp;"_"&amp;Table_LLDTrackingSummary[[#This Row],[SumLLDIterations]]</f>
        <v>AM00230_1</v>
      </c>
      <c r="H41" s="63">
        <f>INDEX(Table_LLDTrackingSheet[LLDIterationEndDate],MATCH(Table_LLDTrackingSummary[[#This Row],[LatestLLD_ID]],Table_LLDTrackingSheet[LLD_ID],0))</f>
        <v>44007</v>
      </c>
      <c r="I41" s="60">
        <f>IFERROR(Table_LLDTrackingSummary[[#This Row],[LatestLLDIterationEndDate]]-Table_LLDTrackingSummary[[#This Row],[SiteDesignStarted_AC]],"-")</f>
        <v>4</v>
      </c>
    </row>
    <row r="42" spans="1:9" x14ac:dyDescent="0.3">
      <c r="A42" s="79" t="s">
        <v>99</v>
      </c>
      <c r="B42" s="79" t="s">
        <v>35</v>
      </c>
      <c r="C42" s="79" t="s">
        <v>46</v>
      </c>
      <c r="D42" s="79" t="s">
        <v>53</v>
      </c>
      <c r="E42" s="63">
        <f>INDEX(Table_SiteMilestoneTracking[SiteDesignStarted_AC],MATCH(Table_LLDTrackingSummary[[#This Row],[SiteID]],Table_SiteMilestoneTracking[SiteID],0))</f>
        <v>44003</v>
      </c>
      <c r="F42" s="60">
        <f>COUNTIF(Table_LLDTrackingSheet[SiteID],Table_LLDTrackingSummary[[#This Row],[SiteID]])</f>
        <v>1</v>
      </c>
      <c r="G42" s="60" t="str">
        <f>Table_LLDTrackingSummary[[#This Row],[SiteID]]&amp;"_"&amp;Table_LLDTrackingSummary[[#This Row],[SumLLDIterations]]</f>
        <v>AY00031_1</v>
      </c>
      <c r="H42" s="63">
        <f>INDEX(Table_LLDTrackingSheet[LLDIterationEndDate],MATCH(Table_LLDTrackingSummary[[#This Row],[LatestLLD_ID]],Table_LLDTrackingSheet[LLD_ID],0))</f>
        <v>44005</v>
      </c>
      <c r="I42" s="60">
        <f>IFERROR(Table_LLDTrackingSummary[[#This Row],[LatestLLDIterationEndDate]]-Table_LLDTrackingSummary[[#This Row],[SiteDesignStarted_AC]],"-")</f>
        <v>2</v>
      </c>
    </row>
    <row r="43" spans="1:9" x14ac:dyDescent="0.3">
      <c r="A43" s="79" t="s">
        <v>100</v>
      </c>
      <c r="B43" s="79" t="s">
        <v>36</v>
      </c>
      <c r="C43" s="79" t="s">
        <v>47</v>
      </c>
      <c r="D43" s="79" t="s">
        <v>51</v>
      </c>
      <c r="E43" s="63">
        <f>INDEX(Table_SiteMilestoneTracking[SiteDesignStarted_AC],MATCH(Table_LLDTrackingSummary[[#This Row],[SiteID]],Table_SiteMilestoneTracking[SiteID],0))</f>
        <v>44009</v>
      </c>
      <c r="F43" s="60">
        <f>COUNTIF(Table_LLDTrackingSheet[SiteID],Table_LLDTrackingSummary[[#This Row],[SiteID]])</f>
        <v>1</v>
      </c>
      <c r="G43" s="60" t="str">
        <f>Table_LLDTrackingSummary[[#This Row],[SiteID]]&amp;"_"&amp;Table_LLDTrackingSummary[[#This Row],[SumLLDIterations]]</f>
        <v>AY00210_1</v>
      </c>
      <c r="H43" s="63">
        <f>INDEX(Table_LLDTrackingSheet[LLDIterationEndDate],MATCH(Table_LLDTrackingSummary[[#This Row],[LatestLLD_ID]],Table_LLDTrackingSheet[LLD_ID],0))</f>
        <v>44014</v>
      </c>
      <c r="I43" s="60">
        <f>IFERROR(Table_LLDTrackingSummary[[#This Row],[LatestLLDIterationEndDate]]-Table_LLDTrackingSummary[[#This Row],[SiteDesignStarted_AC]],"-")</f>
        <v>5</v>
      </c>
    </row>
    <row r="44" spans="1:9" x14ac:dyDescent="0.3">
      <c r="A44" s="79" t="s">
        <v>101</v>
      </c>
      <c r="B44" s="79" t="s">
        <v>36</v>
      </c>
      <c r="C44" s="79" t="s">
        <v>48</v>
      </c>
      <c r="D44" s="79" t="s">
        <v>52</v>
      </c>
      <c r="E44" s="63">
        <f>INDEX(Table_SiteMilestoneTracking[SiteDesignStarted_AC],MATCH(Table_LLDTrackingSummary[[#This Row],[SiteID]],Table_SiteMilestoneTracking[SiteID],0))</f>
        <v>44010</v>
      </c>
      <c r="F44" s="60">
        <f>COUNTIF(Table_LLDTrackingSheet[SiteID],Table_LLDTrackingSummary[[#This Row],[SiteID]])</f>
        <v>1</v>
      </c>
      <c r="G44" s="60" t="str">
        <f>Table_LLDTrackingSummary[[#This Row],[SiteID]]&amp;"_"&amp;Table_LLDTrackingSummary[[#This Row],[SumLLDIterations]]</f>
        <v>HU00200_1</v>
      </c>
      <c r="H44" s="63">
        <f>INDEX(Table_LLDTrackingSheet[LLDIterationEndDate],MATCH(Table_LLDTrackingSummary[[#This Row],[LatestLLD_ID]],Table_LLDTrackingSheet[LLD_ID],0))</f>
        <v>44014</v>
      </c>
      <c r="I44" s="60">
        <f>IFERROR(Table_LLDTrackingSummary[[#This Row],[LatestLLDIterationEndDate]]-Table_LLDTrackingSummary[[#This Row],[SiteDesignStarted_AC]],"-")</f>
        <v>4</v>
      </c>
    </row>
    <row r="45" spans="1:9" x14ac:dyDescent="0.3">
      <c r="A45" s="79" t="s">
        <v>102</v>
      </c>
      <c r="B45" s="79" t="s">
        <v>37</v>
      </c>
      <c r="C45" s="79" t="s">
        <v>49</v>
      </c>
      <c r="D45" s="79" t="s">
        <v>53</v>
      </c>
      <c r="E45" s="63">
        <f>INDEX(Table_SiteMilestoneTracking[SiteDesignStarted_AC],MATCH(Table_LLDTrackingSummary[[#This Row],[SiteID]],Table_SiteMilestoneTracking[SiteID],0))</f>
        <v>44010</v>
      </c>
      <c r="F45" s="60">
        <f>COUNTIF(Table_LLDTrackingSheet[SiteID],Table_LLDTrackingSummary[[#This Row],[SiteID]])</f>
        <v>1</v>
      </c>
      <c r="G45" s="60" t="str">
        <f>Table_LLDTrackingSummary[[#This Row],[SiteID]]&amp;"_"&amp;Table_LLDTrackingSummary[[#This Row],[SumLLDIterations]]</f>
        <v>AN00035_1</v>
      </c>
      <c r="H45" s="63">
        <f>INDEX(Table_LLDTrackingSheet[LLDIterationEndDate],MATCH(Table_LLDTrackingSummary[[#This Row],[LatestLLD_ID]],Table_LLDTrackingSheet[LLD_ID],0))</f>
        <v>44014</v>
      </c>
      <c r="I45" s="60">
        <f>IFERROR(Table_LLDTrackingSummary[[#This Row],[LatestLLDIterationEndDate]]-Table_LLDTrackingSummary[[#This Row],[SiteDesignStarted_AC]],"-")</f>
        <v>4</v>
      </c>
    </row>
    <row r="46" spans="1:9" x14ac:dyDescent="0.3">
      <c r="A46" s="79" t="s">
        <v>103</v>
      </c>
      <c r="B46" s="79" t="s">
        <v>37</v>
      </c>
      <c r="C46" s="79" t="s">
        <v>50</v>
      </c>
      <c r="D46" s="79" t="s">
        <v>51</v>
      </c>
      <c r="E46" s="63">
        <f>INDEX(Table_SiteMilestoneTracking[SiteDesignStarted_AC],MATCH(Table_LLDTrackingSummary[[#This Row],[SiteID]],Table_SiteMilestoneTracking[SiteID],0))</f>
        <v>44009</v>
      </c>
      <c r="F46" s="60">
        <f>COUNTIF(Table_LLDTrackingSheet[SiteID],Table_LLDTrackingSummary[[#This Row],[SiteID]])</f>
        <v>1</v>
      </c>
      <c r="G46" s="60" t="str">
        <f>Table_LLDTrackingSummary[[#This Row],[SiteID]]&amp;"_"&amp;Table_LLDTrackingSummary[[#This Row],[SumLLDIterations]]</f>
        <v>AN00228_1</v>
      </c>
      <c r="H46" s="63">
        <f>INDEX(Table_LLDTrackingSheet[LLDIterationEndDate],MATCH(Table_LLDTrackingSummary[[#This Row],[LatestLLD_ID]],Table_LLDTrackingSheet[LLD_ID],0))</f>
        <v>44014</v>
      </c>
      <c r="I46" s="60">
        <f>IFERROR(Table_LLDTrackingSummary[[#This Row],[LatestLLDIterationEndDate]]-Table_LLDTrackingSummary[[#This Row],[SiteDesignStarted_AC]],"-")</f>
        <v>5</v>
      </c>
    </row>
    <row r="47" spans="1:9" x14ac:dyDescent="0.3">
      <c r="A47" s="79" t="s">
        <v>104</v>
      </c>
      <c r="B47" s="79" t="s">
        <v>35</v>
      </c>
      <c r="C47" s="79" t="s">
        <v>45</v>
      </c>
      <c r="D47" s="79" t="s">
        <v>52</v>
      </c>
      <c r="E47" s="63">
        <f>INDEX(Table_SiteMilestoneTracking[SiteDesignStarted_AC],MATCH(Table_LLDTrackingSummary[[#This Row],[SiteID]],Table_SiteMilestoneTracking[SiteID],0))</f>
        <v>44010</v>
      </c>
      <c r="F47" s="60">
        <f>COUNTIF(Table_LLDTrackingSheet[SiteID],Table_LLDTrackingSummary[[#This Row],[SiteID]])</f>
        <v>1</v>
      </c>
      <c r="G47" s="60" t="str">
        <f>Table_LLDTrackingSummary[[#This Row],[SiteID]]&amp;"_"&amp;Table_LLDTrackingSummary[[#This Row],[SumLLDIterations]]</f>
        <v>AM00059_1</v>
      </c>
      <c r="H47" s="63">
        <f>INDEX(Table_LLDTrackingSheet[LLDIterationEndDate],MATCH(Table_LLDTrackingSummary[[#This Row],[LatestLLD_ID]],Table_LLDTrackingSheet[LLD_ID],0))</f>
        <v>44012</v>
      </c>
      <c r="I47" s="60">
        <f>IFERROR(Table_LLDTrackingSummary[[#This Row],[LatestLLDIterationEndDate]]-Table_LLDTrackingSummary[[#This Row],[SiteDesignStarted_AC]],"-")</f>
        <v>2</v>
      </c>
    </row>
    <row r="48" spans="1:9" x14ac:dyDescent="0.3">
      <c r="A48" s="79" t="s">
        <v>105</v>
      </c>
      <c r="B48" s="79" t="s">
        <v>35</v>
      </c>
      <c r="C48" s="79" t="s">
        <v>46</v>
      </c>
      <c r="D48" s="79" t="s">
        <v>53</v>
      </c>
      <c r="E48" s="63">
        <f>INDEX(Table_SiteMilestoneTracking[SiteDesignStarted_AC],MATCH(Table_LLDTrackingSummary[[#This Row],[SiteID]],Table_SiteMilestoneTracking[SiteID],0))</f>
        <v>44010</v>
      </c>
      <c r="F48" s="60">
        <f>COUNTIF(Table_LLDTrackingSheet[SiteID],Table_LLDTrackingSummary[[#This Row],[SiteID]])</f>
        <v>1</v>
      </c>
      <c r="G48" s="60" t="str">
        <f>Table_LLDTrackingSummary[[#This Row],[SiteID]]&amp;"_"&amp;Table_LLDTrackingSummary[[#This Row],[SumLLDIterations]]</f>
        <v>AM00227_1</v>
      </c>
      <c r="H48" s="63">
        <f>INDEX(Table_LLDTrackingSheet[LLDIterationEndDate],MATCH(Table_LLDTrackingSummary[[#This Row],[LatestLLD_ID]],Table_LLDTrackingSheet[LLD_ID],0))</f>
        <v>44011</v>
      </c>
      <c r="I48" s="60">
        <f>IFERROR(Table_LLDTrackingSummary[[#This Row],[LatestLLDIterationEndDate]]-Table_LLDTrackingSummary[[#This Row],[SiteDesignStarted_AC]],"-")</f>
        <v>1</v>
      </c>
    </row>
    <row r="49" spans="1:9" x14ac:dyDescent="0.3">
      <c r="A49" s="79" t="s">
        <v>106</v>
      </c>
      <c r="B49" s="79" t="s">
        <v>36</v>
      </c>
      <c r="C49" s="79" t="s">
        <v>47</v>
      </c>
      <c r="D49" s="79" t="s">
        <v>53</v>
      </c>
      <c r="E49" s="63">
        <f>INDEX(Table_SiteMilestoneTracking[SiteDesignStarted_AC],MATCH(Table_LLDTrackingSummary[[#This Row],[SiteID]],Table_SiteMilestoneTracking[SiteID],0))</f>
        <v>44009</v>
      </c>
      <c r="F49" s="60">
        <f>COUNTIF(Table_LLDTrackingSheet[SiteID],Table_LLDTrackingSummary[[#This Row],[SiteID]])</f>
        <v>1</v>
      </c>
      <c r="G49" s="60" t="str">
        <f>Table_LLDTrackingSummary[[#This Row],[SiteID]]&amp;"_"&amp;Table_LLDTrackingSummary[[#This Row],[SumLLDIterations]]</f>
        <v>PI00226_1</v>
      </c>
      <c r="H49" s="63">
        <f>INDEX(Table_LLDTrackingSheet[LLDIterationEndDate],MATCH(Table_LLDTrackingSummary[[#This Row],[LatestLLD_ID]],Table_LLDTrackingSheet[LLD_ID],0))</f>
        <v>44015</v>
      </c>
      <c r="I49" s="60">
        <f>IFERROR(Table_LLDTrackingSummary[[#This Row],[LatestLLDIterationEndDate]]-Table_LLDTrackingSummary[[#This Row],[SiteDesignStarted_AC]],"-")</f>
        <v>6</v>
      </c>
    </row>
    <row r="50" spans="1:9" x14ac:dyDescent="0.3">
      <c r="A50" s="79" t="s">
        <v>107</v>
      </c>
      <c r="B50" s="79" t="s">
        <v>36</v>
      </c>
      <c r="C50" s="79" t="s">
        <v>48</v>
      </c>
      <c r="D50" s="79" t="s">
        <v>51</v>
      </c>
      <c r="E50" s="63">
        <f>INDEX(Table_SiteMilestoneTracking[SiteDesignStarted_AC],MATCH(Table_LLDTrackingSummary[[#This Row],[SiteID]],Table_SiteMilestoneTracking[SiteID],0))</f>
        <v>44009</v>
      </c>
      <c r="F50" s="60">
        <f>COUNTIF(Table_LLDTrackingSheet[SiteID],Table_LLDTrackingSummary[[#This Row],[SiteID]])</f>
        <v>1</v>
      </c>
      <c r="G50" s="60" t="str">
        <f>Table_LLDTrackingSummary[[#This Row],[SiteID]]&amp;"_"&amp;Table_LLDTrackingSummary[[#This Row],[SumLLDIterations]]</f>
        <v>PI00227_1</v>
      </c>
      <c r="H50" s="63">
        <f>INDEX(Table_LLDTrackingSheet[LLDIterationEndDate],MATCH(Table_LLDTrackingSummary[[#This Row],[LatestLLD_ID]],Table_LLDTrackingSheet[LLD_ID],0))</f>
        <v>44011</v>
      </c>
      <c r="I50" s="60">
        <f>IFERROR(Table_LLDTrackingSummary[[#This Row],[LatestLLDIterationEndDate]]-Table_LLDTrackingSummary[[#This Row],[SiteDesignStarted_AC]],"-")</f>
        <v>2</v>
      </c>
    </row>
    <row r="51" spans="1:9" x14ac:dyDescent="0.3">
      <c r="A51" s="79" t="s">
        <v>108</v>
      </c>
      <c r="B51" s="79" t="s">
        <v>37</v>
      </c>
      <c r="C51" s="79" t="s">
        <v>49</v>
      </c>
      <c r="D51" s="79" t="s">
        <v>52</v>
      </c>
      <c r="E51" s="63">
        <f>INDEX(Table_SiteMilestoneTracking[SiteDesignStarted_AC],MATCH(Table_LLDTrackingSummary[[#This Row],[SiteID]],Table_SiteMilestoneTracking[SiteID],0))</f>
        <v>44010</v>
      </c>
      <c r="F51" s="60">
        <f>COUNTIF(Table_LLDTrackingSheet[SiteID],Table_LLDTrackingSummary[[#This Row],[SiteID]])</f>
        <v>1</v>
      </c>
      <c r="G51" s="60" t="str">
        <f>Table_LLDTrackingSummary[[#This Row],[SiteID]]&amp;"_"&amp;Table_LLDTrackingSummary[[#This Row],[SumLLDIterations]]</f>
        <v>PI00229_1</v>
      </c>
      <c r="H51" s="63">
        <f>INDEX(Table_LLDTrackingSheet[LLDIterationEndDate],MATCH(Table_LLDTrackingSummary[[#This Row],[LatestLLD_ID]],Table_LLDTrackingSheet[LLD_ID],0))</f>
        <v>44010</v>
      </c>
      <c r="I51" s="60">
        <f>IFERROR(Table_LLDTrackingSummary[[#This Row],[LatestLLDIterationEndDate]]-Table_LLDTrackingSummary[[#This Row],[SiteDesignStarted_AC]],"-")</f>
        <v>0</v>
      </c>
    </row>
    <row r="52" spans="1:9" x14ac:dyDescent="0.3">
      <c r="A52" s="79" t="s">
        <v>109</v>
      </c>
      <c r="B52" s="79" t="s">
        <v>37</v>
      </c>
      <c r="C52" s="79" t="s">
        <v>50</v>
      </c>
      <c r="D52" s="79" t="s">
        <v>53</v>
      </c>
      <c r="E52" s="63">
        <f>INDEX(Table_SiteMilestoneTracking[SiteDesignStarted_AC],MATCH(Table_LLDTrackingSummary[[#This Row],[SiteID]],Table_SiteMilestoneTracking[SiteID],0))</f>
        <v>44010</v>
      </c>
      <c r="F52" s="60">
        <f>COUNTIF(Table_LLDTrackingSheet[SiteID],Table_LLDTrackingSummary[[#This Row],[SiteID]])</f>
        <v>1</v>
      </c>
      <c r="G52" s="60" t="str">
        <f>Table_LLDTrackingSummary[[#This Row],[SiteID]]&amp;"_"&amp;Table_LLDTrackingSummary[[#This Row],[SumLLDIterations]]</f>
        <v>PI00170_1</v>
      </c>
      <c r="H52" s="63">
        <f>INDEX(Table_LLDTrackingSheet[LLDIterationEndDate],MATCH(Table_LLDTrackingSummary[[#This Row],[LatestLLD_ID]],Table_LLDTrackingSheet[LLD_ID],0))</f>
        <v>44013</v>
      </c>
      <c r="I52" s="60">
        <f>IFERROR(Table_LLDTrackingSummary[[#This Row],[LatestLLDIterationEndDate]]-Table_LLDTrackingSummary[[#This Row],[SiteDesignStarted_AC]],"-")</f>
        <v>3</v>
      </c>
    </row>
    <row r="53" spans="1:9" x14ac:dyDescent="0.3">
      <c r="A53" s="79" t="s">
        <v>110</v>
      </c>
      <c r="B53" s="79" t="s">
        <v>35</v>
      </c>
      <c r="C53" s="79" t="s">
        <v>46</v>
      </c>
      <c r="D53" s="79" t="s">
        <v>51</v>
      </c>
      <c r="E53" s="63">
        <f>INDEX(Table_SiteMilestoneTracking[SiteDesignStarted_AC],MATCH(Table_LLDTrackingSummary[[#This Row],[SiteID]],Table_SiteMilestoneTracking[SiteID],0))</f>
        <v>44009</v>
      </c>
      <c r="F53" s="60">
        <f>COUNTIF(Table_LLDTrackingSheet[SiteID],Table_LLDTrackingSummary[[#This Row],[SiteID]])</f>
        <v>1</v>
      </c>
      <c r="G53" s="60" t="str">
        <f>Table_LLDTrackingSummary[[#This Row],[SiteID]]&amp;"_"&amp;Table_LLDTrackingSummary[[#This Row],[SumLLDIterations]]</f>
        <v>PI00179_1</v>
      </c>
      <c r="H53" s="63">
        <f>INDEX(Table_LLDTrackingSheet[LLDIterationEndDate],MATCH(Table_LLDTrackingSummary[[#This Row],[LatestLLD_ID]],Table_LLDTrackingSheet[LLD_ID],0))</f>
        <v>44012</v>
      </c>
      <c r="I53" s="60">
        <f>IFERROR(Table_LLDTrackingSummary[[#This Row],[LatestLLDIterationEndDate]]-Table_LLDTrackingSummary[[#This Row],[SiteDesignStarted_AC]],"-")</f>
        <v>3</v>
      </c>
    </row>
    <row r="54" spans="1:9" x14ac:dyDescent="0.3">
      <c r="A54" s="79" t="s">
        <v>111</v>
      </c>
      <c r="B54" s="79" t="s">
        <v>35</v>
      </c>
      <c r="C54" s="79" t="s">
        <v>47</v>
      </c>
      <c r="D54" s="79" t="s">
        <v>52</v>
      </c>
      <c r="E54" s="63">
        <f>INDEX(Table_SiteMilestoneTracking[SiteDesignStarted_AC],MATCH(Table_LLDTrackingSummary[[#This Row],[SiteID]],Table_SiteMilestoneTracking[SiteID],0))</f>
        <v>44010</v>
      </c>
      <c r="F54" s="60">
        <f>COUNTIF(Table_LLDTrackingSheet[SiteID],Table_LLDTrackingSummary[[#This Row],[SiteID]])</f>
        <v>1</v>
      </c>
      <c r="G54" s="60" t="str">
        <f>Table_LLDTrackingSummary[[#This Row],[SiteID]]&amp;"_"&amp;Table_LLDTrackingSummary[[#This Row],[SumLLDIterations]]</f>
        <v>PI00244_1</v>
      </c>
      <c r="H54" s="63">
        <f>INDEX(Table_LLDTrackingSheet[LLDIterationEndDate],MATCH(Table_LLDTrackingSummary[[#This Row],[LatestLLD_ID]],Table_LLDTrackingSheet[LLD_ID],0))</f>
        <v>44010</v>
      </c>
      <c r="I54" s="60">
        <f>IFERROR(Table_LLDTrackingSummary[[#This Row],[LatestLLDIterationEndDate]]-Table_LLDTrackingSummary[[#This Row],[SiteDesignStarted_AC]],"-")</f>
        <v>0</v>
      </c>
    </row>
    <row r="55" spans="1:9" x14ac:dyDescent="0.3">
      <c r="A55" s="79" t="s">
        <v>112</v>
      </c>
      <c r="B55" s="79" t="s">
        <v>36</v>
      </c>
      <c r="C55" s="79" t="s">
        <v>48</v>
      </c>
      <c r="D55" s="79" t="s">
        <v>53</v>
      </c>
      <c r="E55" s="63">
        <f>INDEX(Table_SiteMilestoneTracking[SiteDesignStarted_AC],MATCH(Table_LLDTrackingSummary[[#This Row],[SiteID]],Table_SiteMilestoneTracking[SiteID],0))</f>
        <v>44009</v>
      </c>
      <c r="F55" s="60">
        <f>COUNTIF(Table_LLDTrackingSheet[SiteID],Table_LLDTrackingSummary[[#This Row],[SiteID]])</f>
        <v>1</v>
      </c>
      <c r="G55" s="60" t="str">
        <f>Table_LLDTrackingSummary[[#This Row],[SiteID]]&amp;"_"&amp;Table_LLDTrackingSummary[[#This Row],[SumLLDIterations]]</f>
        <v>PI00265_1</v>
      </c>
      <c r="H55" s="63">
        <f>INDEX(Table_LLDTrackingSheet[LLDIterationEndDate],MATCH(Table_LLDTrackingSummary[[#This Row],[LatestLLD_ID]],Table_LLDTrackingSheet[LLD_ID],0))</f>
        <v>44013</v>
      </c>
      <c r="I55" s="60">
        <f>IFERROR(Table_LLDTrackingSummary[[#This Row],[LatestLLDIterationEndDate]]-Table_LLDTrackingSummary[[#This Row],[SiteDesignStarted_AC]],"-")</f>
        <v>4</v>
      </c>
    </row>
    <row r="56" spans="1:9" x14ac:dyDescent="0.3">
      <c r="A56" s="79" t="s">
        <v>113</v>
      </c>
      <c r="B56" s="79" t="s">
        <v>36</v>
      </c>
      <c r="C56" s="79" t="s">
        <v>49</v>
      </c>
      <c r="D56" s="79" t="s">
        <v>51</v>
      </c>
      <c r="E56" s="63">
        <f>INDEX(Table_SiteMilestoneTracking[SiteDesignStarted_AC],MATCH(Table_LLDTrackingSummary[[#This Row],[SiteID]],Table_SiteMilestoneTracking[SiteID],0))</f>
        <v>44012</v>
      </c>
      <c r="F56" s="60">
        <f>COUNTIF(Table_LLDTrackingSheet[SiteID],Table_LLDTrackingSummary[[#This Row],[SiteID]])</f>
        <v>1</v>
      </c>
      <c r="G56" s="60" t="str">
        <f>Table_LLDTrackingSummary[[#This Row],[SiteID]]&amp;"_"&amp;Table_LLDTrackingSummary[[#This Row],[SumLLDIterations]]</f>
        <v>PI00309_1</v>
      </c>
      <c r="H56" s="63">
        <f>INDEX(Table_LLDTrackingSheet[LLDIterationEndDate],MATCH(Table_LLDTrackingSummary[[#This Row],[LatestLLD_ID]],Table_LLDTrackingSheet[LLD_ID],0))</f>
        <v>44015</v>
      </c>
      <c r="I56" s="60">
        <f>IFERROR(Table_LLDTrackingSummary[[#This Row],[LatestLLDIterationEndDate]]-Table_LLDTrackingSummary[[#This Row],[SiteDesignStarted_AC]],"-")</f>
        <v>3</v>
      </c>
    </row>
    <row r="57" spans="1:9" x14ac:dyDescent="0.3">
      <c r="A57" s="79" t="s">
        <v>114</v>
      </c>
      <c r="B57" s="79" t="s">
        <v>37</v>
      </c>
      <c r="C57" s="79" t="s">
        <v>50</v>
      </c>
      <c r="D57" s="79" t="s">
        <v>52</v>
      </c>
      <c r="E57" s="63">
        <f>INDEX(Table_SiteMilestoneTracking[SiteDesignStarted_AC],MATCH(Table_LLDTrackingSummary[[#This Row],[SiteID]],Table_SiteMilestoneTracking[SiteID],0))</f>
        <v>44013</v>
      </c>
      <c r="F57" s="60">
        <f>COUNTIF(Table_LLDTrackingSheet[SiteID],Table_LLDTrackingSummary[[#This Row],[SiteID]])</f>
        <v>1</v>
      </c>
      <c r="G57" s="60" t="str">
        <f>Table_LLDTrackingSummary[[#This Row],[SiteID]]&amp;"_"&amp;Table_LLDTrackingSummary[[#This Row],[SumLLDIterations]]</f>
        <v>PI00188_1</v>
      </c>
      <c r="H57" s="63">
        <f>INDEX(Table_LLDTrackingSheet[LLDIterationEndDate],MATCH(Table_LLDTrackingSummary[[#This Row],[LatestLLD_ID]],Table_LLDTrackingSheet[LLD_ID],0))</f>
        <v>44013</v>
      </c>
      <c r="I57" s="60">
        <f>IFERROR(Table_LLDTrackingSummary[[#This Row],[LatestLLDIterationEndDate]]-Table_LLDTrackingSummary[[#This Row],[SiteDesignStarted_AC]],"-")</f>
        <v>0</v>
      </c>
    </row>
    <row r="58" spans="1:9" x14ac:dyDescent="0.3">
      <c r="A58" s="79" t="s">
        <v>115</v>
      </c>
      <c r="B58" s="79" t="s">
        <v>37</v>
      </c>
      <c r="C58" s="79" t="s">
        <v>45</v>
      </c>
      <c r="D58" s="79" t="s">
        <v>53</v>
      </c>
      <c r="E58" s="63">
        <f>INDEX(Table_SiteMilestoneTracking[SiteDesignStarted_AC],MATCH(Table_LLDTrackingSummary[[#This Row],[SiteID]],Table_SiteMilestoneTracking[SiteID],0))</f>
        <v>44013</v>
      </c>
      <c r="F58" s="60">
        <f>COUNTIF(Table_LLDTrackingSheet[SiteID],Table_LLDTrackingSummary[[#This Row],[SiteID]])</f>
        <v>1</v>
      </c>
      <c r="G58" s="60" t="str">
        <f>Table_LLDTrackingSummary[[#This Row],[SiteID]]&amp;"_"&amp;Table_LLDTrackingSummary[[#This Row],[SumLLDIterations]]</f>
        <v>PI00269_1</v>
      </c>
      <c r="H58" s="63">
        <f>INDEX(Table_LLDTrackingSheet[LLDIterationEndDate],MATCH(Table_LLDTrackingSummary[[#This Row],[LatestLLD_ID]],Table_LLDTrackingSheet[LLD_ID],0))</f>
        <v>44014</v>
      </c>
      <c r="I58" s="60">
        <f>IFERROR(Table_LLDTrackingSummary[[#This Row],[LatestLLDIterationEndDate]]-Table_LLDTrackingSummary[[#This Row],[SiteDesignStarted_AC]],"-")</f>
        <v>1</v>
      </c>
    </row>
    <row r="59" spans="1:9" x14ac:dyDescent="0.3">
      <c r="A59" s="79" t="s">
        <v>116</v>
      </c>
      <c r="B59" s="79" t="s">
        <v>35</v>
      </c>
      <c r="C59" s="79" t="s">
        <v>46</v>
      </c>
      <c r="D59" s="79" t="s">
        <v>51</v>
      </c>
      <c r="E59" s="63">
        <f>INDEX(Table_SiteMilestoneTracking[SiteDesignStarted_AC],MATCH(Table_LLDTrackingSummary[[#This Row],[SiteID]],Table_SiteMilestoneTracking[SiteID],0))</f>
        <v>44013</v>
      </c>
      <c r="F59" s="60">
        <f>COUNTIF(Table_LLDTrackingSheet[SiteID],Table_LLDTrackingSummary[[#This Row],[SiteID]])</f>
        <v>1</v>
      </c>
      <c r="G59" s="60" t="str">
        <f>Table_LLDTrackingSummary[[#This Row],[SiteID]]&amp;"_"&amp;Table_LLDTrackingSummary[[#This Row],[SumLLDIterations]]</f>
        <v>PI00213_1</v>
      </c>
      <c r="H59" s="63">
        <f>INDEX(Table_LLDTrackingSheet[LLDIterationEndDate],MATCH(Table_LLDTrackingSummary[[#This Row],[LatestLLD_ID]],Table_LLDTrackingSheet[LLD_ID],0))</f>
        <v>44017</v>
      </c>
      <c r="I59" s="60">
        <f>IFERROR(Table_LLDTrackingSummary[[#This Row],[LatestLLDIterationEndDate]]-Table_LLDTrackingSummary[[#This Row],[SiteDesignStarted_AC]],"-")</f>
        <v>4</v>
      </c>
    </row>
    <row r="60" spans="1:9" x14ac:dyDescent="0.3">
      <c r="A60" s="79" t="s">
        <v>117</v>
      </c>
      <c r="B60" s="79" t="s">
        <v>35</v>
      </c>
      <c r="C60" s="79" t="s">
        <v>47</v>
      </c>
      <c r="D60" s="79" t="s">
        <v>52</v>
      </c>
      <c r="E60" s="63">
        <f>INDEX(Table_SiteMilestoneTracking[SiteDesignStarted_AC],MATCH(Table_LLDTrackingSummary[[#This Row],[SiteID]],Table_SiteMilestoneTracking[SiteID],0))</f>
        <v>44012</v>
      </c>
      <c r="F60" s="60">
        <f>COUNTIF(Table_LLDTrackingSheet[SiteID],Table_LLDTrackingSummary[[#This Row],[SiteID]])</f>
        <v>1</v>
      </c>
      <c r="G60" s="60" t="str">
        <f>Table_LLDTrackingSummary[[#This Row],[SiteID]]&amp;"_"&amp;Table_LLDTrackingSummary[[#This Row],[SumLLDIterations]]</f>
        <v>PI00225_1</v>
      </c>
      <c r="H60" s="63">
        <f>INDEX(Table_LLDTrackingSheet[LLDIterationEndDate],MATCH(Table_LLDTrackingSummary[[#This Row],[LatestLLD_ID]],Table_LLDTrackingSheet[LLD_ID],0))</f>
        <v>44014</v>
      </c>
      <c r="I60" s="60">
        <f>IFERROR(Table_LLDTrackingSummary[[#This Row],[LatestLLDIterationEndDate]]-Table_LLDTrackingSummary[[#This Row],[SiteDesignStarted_AC]],"-")</f>
        <v>2</v>
      </c>
    </row>
    <row r="61" spans="1:9" x14ac:dyDescent="0.3">
      <c r="A61" s="79" t="s">
        <v>118</v>
      </c>
      <c r="B61" s="79" t="s">
        <v>36</v>
      </c>
      <c r="C61" s="79" t="s">
        <v>48</v>
      </c>
      <c r="D61" s="79" t="s">
        <v>53</v>
      </c>
      <c r="E61" s="63">
        <f>INDEX(Table_SiteMilestoneTracking[SiteDesignStarted_AC],MATCH(Table_LLDTrackingSummary[[#This Row],[SiteID]],Table_SiteMilestoneTracking[SiteID],0))</f>
        <v>44012</v>
      </c>
      <c r="F61" s="60">
        <f>COUNTIF(Table_LLDTrackingSheet[SiteID],Table_LLDTrackingSummary[[#This Row],[SiteID]])</f>
        <v>1</v>
      </c>
      <c r="G61" s="60" t="str">
        <f>Table_LLDTrackingSummary[[#This Row],[SiteID]]&amp;"_"&amp;Table_LLDTrackingSummary[[#This Row],[SumLLDIterations]]</f>
        <v>PI00240_1</v>
      </c>
      <c r="H61" s="63">
        <f>INDEX(Table_LLDTrackingSheet[LLDIterationEndDate],MATCH(Table_LLDTrackingSummary[[#This Row],[LatestLLD_ID]],Table_LLDTrackingSheet[LLD_ID],0))</f>
        <v>44014</v>
      </c>
      <c r="I61" s="60">
        <f>IFERROR(Table_LLDTrackingSummary[[#This Row],[LatestLLDIterationEndDate]]-Table_LLDTrackingSummary[[#This Row],[SiteDesignStarted_AC]],"-")</f>
        <v>2</v>
      </c>
    </row>
    <row r="62" spans="1:9" x14ac:dyDescent="0.3">
      <c r="A62" s="79" t="s">
        <v>119</v>
      </c>
      <c r="B62" s="79" t="s">
        <v>36</v>
      </c>
      <c r="C62" s="79" t="s">
        <v>45</v>
      </c>
      <c r="D62" s="79" t="s">
        <v>51</v>
      </c>
      <c r="E62" s="63">
        <f>INDEX(Table_SiteMilestoneTracking[SiteDesignStarted_AC],MATCH(Table_LLDTrackingSummary[[#This Row],[SiteID]],Table_SiteMilestoneTracking[SiteID],0))</f>
        <v>44012</v>
      </c>
      <c r="F62" s="60">
        <f>COUNTIF(Table_LLDTrackingSheet[SiteID],Table_LLDTrackingSummary[[#This Row],[SiteID]])</f>
        <v>1</v>
      </c>
      <c r="G62" s="60" t="str">
        <f>Table_LLDTrackingSummary[[#This Row],[SiteID]]&amp;"_"&amp;Table_LLDTrackingSummary[[#This Row],[SumLLDIterations]]</f>
        <v>PI00241_1</v>
      </c>
      <c r="H62" s="63">
        <f>INDEX(Table_LLDTrackingSheet[LLDIterationEndDate],MATCH(Table_LLDTrackingSummary[[#This Row],[LatestLLD_ID]],Table_LLDTrackingSheet[LLD_ID],0))</f>
        <v>44015</v>
      </c>
      <c r="I62" s="60">
        <f>IFERROR(Table_LLDTrackingSummary[[#This Row],[LatestLLDIterationEndDate]]-Table_LLDTrackingSummary[[#This Row],[SiteDesignStarted_AC]],"-")</f>
        <v>3</v>
      </c>
    </row>
    <row r="63" spans="1:9" x14ac:dyDescent="0.3">
      <c r="A63" s="79" t="s">
        <v>120</v>
      </c>
      <c r="B63" s="79" t="s">
        <v>37</v>
      </c>
      <c r="C63" s="79" t="s">
        <v>46</v>
      </c>
      <c r="D63" s="79" t="s">
        <v>52</v>
      </c>
      <c r="E63" s="63">
        <f>INDEX(Table_SiteMilestoneTracking[SiteDesignStarted_AC],MATCH(Table_LLDTrackingSummary[[#This Row],[SiteID]],Table_SiteMilestoneTracking[SiteID],0))</f>
        <v>44012</v>
      </c>
      <c r="F63" s="60">
        <f>COUNTIF(Table_LLDTrackingSheet[SiteID],Table_LLDTrackingSummary[[#This Row],[SiteID]])</f>
        <v>1</v>
      </c>
      <c r="G63" s="60" t="str">
        <f>Table_LLDTrackingSummary[[#This Row],[SiteID]]&amp;"_"&amp;Table_LLDTrackingSummary[[#This Row],[SumLLDIterations]]</f>
        <v>AN00231_1</v>
      </c>
      <c r="H63" s="63">
        <f>INDEX(Table_LLDTrackingSheet[LLDIterationEndDate],MATCH(Table_LLDTrackingSummary[[#This Row],[LatestLLD_ID]],Table_LLDTrackingSheet[LLD_ID],0))</f>
        <v>44014</v>
      </c>
      <c r="I63" s="60">
        <f>IFERROR(Table_LLDTrackingSummary[[#This Row],[LatestLLDIterationEndDate]]-Table_LLDTrackingSummary[[#This Row],[SiteDesignStarted_AC]],"-")</f>
        <v>2</v>
      </c>
    </row>
    <row r="64" spans="1:9" x14ac:dyDescent="0.3">
      <c r="A64" s="79" t="s">
        <v>121</v>
      </c>
      <c r="B64" s="79" t="s">
        <v>37</v>
      </c>
      <c r="C64" s="79" t="s">
        <v>47</v>
      </c>
      <c r="D64" s="79" t="s">
        <v>53</v>
      </c>
      <c r="E64" s="63">
        <f>INDEX(Table_SiteMilestoneTracking[SiteDesignStarted_AC],MATCH(Table_LLDTrackingSummary[[#This Row],[SiteID]],Table_SiteMilestoneTracking[SiteID],0))</f>
        <v>44012</v>
      </c>
      <c r="F64" s="60">
        <f>COUNTIF(Table_LLDTrackingSheet[SiteID],Table_LLDTrackingSummary[[#This Row],[SiteID]])</f>
        <v>1</v>
      </c>
      <c r="G64" s="60" t="str">
        <f>Table_LLDTrackingSummary[[#This Row],[SiteID]]&amp;"_"&amp;Table_LLDTrackingSummary[[#This Row],[SumLLDIterations]]</f>
        <v>AN00262_1</v>
      </c>
      <c r="H64" s="63">
        <f>INDEX(Table_LLDTrackingSheet[LLDIterationEndDate],MATCH(Table_LLDTrackingSummary[[#This Row],[LatestLLD_ID]],Table_LLDTrackingSheet[LLD_ID],0))</f>
        <v>44015</v>
      </c>
      <c r="I64" s="60">
        <f>IFERROR(Table_LLDTrackingSummary[[#This Row],[LatestLLDIterationEndDate]]-Table_LLDTrackingSummary[[#This Row],[SiteDesignStarted_AC]],"-")</f>
        <v>3</v>
      </c>
    </row>
    <row r="65" spans="1:9" x14ac:dyDescent="0.3">
      <c r="A65" s="79" t="s">
        <v>122</v>
      </c>
      <c r="B65" s="79" t="s">
        <v>35</v>
      </c>
      <c r="C65" s="79" t="s">
        <v>48</v>
      </c>
      <c r="D65" s="79" t="s">
        <v>51</v>
      </c>
      <c r="E65" s="63">
        <f>INDEX(Table_SiteMilestoneTracking[SiteDesignStarted_AC],MATCH(Table_LLDTrackingSummary[[#This Row],[SiteID]],Table_SiteMilestoneTracking[SiteID],0))</f>
        <v>44012</v>
      </c>
      <c r="F65" s="60">
        <f>COUNTIF(Table_LLDTrackingSheet[SiteID],Table_LLDTrackingSummary[[#This Row],[SiteID]])</f>
        <v>1</v>
      </c>
      <c r="G65" s="60" t="str">
        <f>Table_LLDTrackingSummary[[#This Row],[SiteID]]&amp;"_"&amp;Table_LLDTrackingSummary[[#This Row],[SumLLDIterations]]</f>
        <v>PI00256_1</v>
      </c>
      <c r="H65" s="63">
        <f>INDEX(Table_LLDTrackingSheet[LLDIterationEndDate],MATCH(Table_LLDTrackingSummary[[#This Row],[LatestLLD_ID]],Table_LLDTrackingSheet[LLD_ID],0))</f>
        <v>44013</v>
      </c>
      <c r="I65" s="60">
        <f>IFERROR(Table_LLDTrackingSummary[[#This Row],[LatestLLDIterationEndDate]]-Table_LLDTrackingSummary[[#This Row],[SiteDesignStarted_AC]],"-")</f>
        <v>1</v>
      </c>
    </row>
    <row r="66" spans="1:9" x14ac:dyDescent="0.3">
      <c r="A66" s="79" t="s">
        <v>123</v>
      </c>
      <c r="B66" s="79" t="s">
        <v>35</v>
      </c>
      <c r="C66" s="79" t="s">
        <v>49</v>
      </c>
      <c r="D66" s="79" t="s">
        <v>52</v>
      </c>
      <c r="E66" s="63">
        <f>INDEX(Table_SiteMilestoneTracking[SiteDesignStarted_AC],MATCH(Table_LLDTrackingSummary[[#This Row],[SiteID]],Table_SiteMilestoneTracking[SiteID],0))</f>
        <v>44013</v>
      </c>
      <c r="F66" s="60">
        <f>COUNTIF(Table_LLDTrackingSheet[SiteID],Table_LLDTrackingSummary[[#This Row],[SiteID]])</f>
        <v>1</v>
      </c>
      <c r="G66" s="60" t="str">
        <f>Table_LLDTrackingSummary[[#This Row],[SiteID]]&amp;"_"&amp;Table_LLDTrackingSummary[[#This Row],[SumLLDIterations]]</f>
        <v>PI00257_1</v>
      </c>
      <c r="H66" s="63">
        <f>INDEX(Table_LLDTrackingSheet[LLDIterationEndDate],MATCH(Table_LLDTrackingSummary[[#This Row],[LatestLLD_ID]],Table_LLDTrackingSheet[LLD_ID],0))</f>
        <v>44015</v>
      </c>
      <c r="I66" s="60">
        <f>IFERROR(Table_LLDTrackingSummary[[#This Row],[LatestLLDIterationEndDate]]-Table_LLDTrackingSummary[[#This Row],[SiteDesignStarted_AC]],"-")</f>
        <v>2</v>
      </c>
    </row>
    <row r="67" spans="1:9" x14ac:dyDescent="0.3">
      <c r="A67" s="79" t="s">
        <v>124</v>
      </c>
      <c r="B67" s="79" t="s">
        <v>36</v>
      </c>
      <c r="C67" s="79" t="s">
        <v>50</v>
      </c>
      <c r="D67" s="79" t="s">
        <v>53</v>
      </c>
      <c r="E67" s="63">
        <f>INDEX(Table_SiteMilestoneTracking[SiteDesignStarted_AC],MATCH(Table_LLDTrackingSummary[[#This Row],[SiteID]],Table_SiteMilestoneTracking[SiteID],0))</f>
        <v>44013</v>
      </c>
      <c r="F67" s="60">
        <f>COUNTIF(Table_LLDTrackingSheet[SiteID],Table_LLDTrackingSummary[[#This Row],[SiteID]])</f>
        <v>1</v>
      </c>
      <c r="G67" s="60" t="str">
        <f>Table_LLDTrackingSummary[[#This Row],[SiteID]]&amp;"_"&amp;Table_LLDTrackingSummary[[#This Row],[SumLLDIterations]]</f>
        <v>PI00277_1</v>
      </c>
      <c r="H67" s="63">
        <f>INDEX(Table_LLDTrackingSheet[LLDIterationEndDate],MATCH(Table_LLDTrackingSummary[[#This Row],[LatestLLD_ID]],Table_LLDTrackingSheet[LLD_ID],0))</f>
        <v>44017</v>
      </c>
      <c r="I67" s="60">
        <f>IFERROR(Table_LLDTrackingSummary[[#This Row],[LatestLLDIterationEndDate]]-Table_LLDTrackingSummary[[#This Row],[SiteDesignStarted_AC]],"-")</f>
        <v>4</v>
      </c>
    </row>
    <row r="68" spans="1:9" x14ac:dyDescent="0.3">
      <c r="A68" s="79" t="s">
        <v>125</v>
      </c>
      <c r="B68" s="79" t="s">
        <v>36</v>
      </c>
      <c r="C68" s="79" t="s">
        <v>45</v>
      </c>
      <c r="D68" s="79" t="s">
        <v>51</v>
      </c>
      <c r="E68" s="63">
        <f>INDEX(Table_SiteMilestoneTracking[SiteDesignStarted_AC],MATCH(Table_LLDTrackingSummary[[#This Row],[SiteID]],Table_SiteMilestoneTracking[SiteID],0))</f>
        <v>44012</v>
      </c>
      <c r="F68" s="60">
        <f>COUNTIF(Table_LLDTrackingSheet[SiteID],Table_LLDTrackingSummary[[#This Row],[SiteID]])</f>
        <v>1</v>
      </c>
      <c r="G68" s="60" t="str">
        <f>Table_LLDTrackingSummary[[#This Row],[SiteID]]&amp;"_"&amp;Table_LLDTrackingSummary[[#This Row],[SumLLDIterations]]</f>
        <v>PI00308_1</v>
      </c>
      <c r="H68" s="63">
        <f>INDEX(Table_LLDTrackingSheet[LLDIterationEndDate],MATCH(Table_LLDTrackingSummary[[#This Row],[LatestLLD_ID]],Table_LLDTrackingSheet[LLD_ID],0))</f>
        <v>44018</v>
      </c>
      <c r="I68" s="60">
        <f>IFERROR(Table_LLDTrackingSummary[[#This Row],[LatestLLDIterationEndDate]]-Table_LLDTrackingSummary[[#This Row],[SiteDesignStarted_AC]],"-")</f>
        <v>6</v>
      </c>
    </row>
    <row r="69" spans="1:9" x14ac:dyDescent="0.3">
      <c r="A69" s="79" t="s">
        <v>126</v>
      </c>
      <c r="B69" s="79" t="s">
        <v>37</v>
      </c>
      <c r="C69" s="79" t="s">
        <v>46</v>
      </c>
      <c r="D69" s="79" t="s">
        <v>52</v>
      </c>
      <c r="E69" s="63">
        <f>INDEX(Table_SiteMilestoneTracking[SiteDesignStarted_AC],MATCH(Table_LLDTrackingSummary[[#This Row],[SiteID]],Table_SiteMilestoneTracking[SiteID],0))</f>
        <v>44012</v>
      </c>
      <c r="F69" s="60">
        <f>COUNTIF(Table_LLDTrackingSheet[SiteID],Table_LLDTrackingSummary[[#This Row],[SiteID]])</f>
        <v>1</v>
      </c>
      <c r="G69" s="60" t="str">
        <f>Table_LLDTrackingSummary[[#This Row],[SiteID]]&amp;"_"&amp;Table_LLDTrackingSummary[[#This Row],[SumLLDIterations]]</f>
        <v>PI00313_1</v>
      </c>
      <c r="H69" s="63">
        <f>INDEX(Table_LLDTrackingSheet[LLDIterationEndDate],MATCH(Table_LLDTrackingSummary[[#This Row],[LatestLLD_ID]],Table_LLDTrackingSheet[LLD_ID],0))</f>
        <v>44014</v>
      </c>
      <c r="I69" s="60">
        <f>IFERROR(Table_LLDTrackingSummary[[#This Row],[LatestLLDIterationEndDate]]-Table_LLDTrackingSummary[[#This Row],[SiteDesignStarted_AC]],"-")</f>
        <v>2</v>
      </c>
    </row>
    <row r="70" spans="1:9" x14ac:dyDescent="0.3">
      <c r="A70" s="79" t="s">
        <v>127</v>
      </c>
      <c r="B70" s="79" t="s">
        <v>37</v>
      </c>
      <c r="C70" s="79" t="s">
        <v>47</v>
      </c>
      <c r="D70" s="79" t="s">
        <v>53</v>
      </c>
      <c r="E70" s="63">
        <f>INDEX(Table_SiteMilestoneTracking[SiteDesignStarted_AC],MATCH(Table_LLDTrackingSummary[[#This Row],[SiteID]],Table_SiteMilestoneTracking[SiteID],0))</f>
        <v>44012</v>
      </c>
      <c r="F70" s="60">
        <f>COUNTIF(Table_LLDTrackingSheet[SiteID],Table_LLDTrackingSummary[[#This Row],[SiteID]])</f>
        <v>1</v>
      </c>
      <c r="G70" s="60" t="str">
        <f>Table_LLDTrackingSummary[[#This Row],[SiteID]]&amp;"_"&amp;Table_LLDTrackingSummary[[#This Row],[SumLLDIterations]]</f>
        <v>AP00049_1</v>
      </c>
      <c r="H70" s="63">
        <f>INDEX(Table_LLDTrackingSheet[LLDIterationEndDate],MATCH(Table_LLDTrackingSummary[[#This Row],[LatestLLD_ID]],Table_LLDTrackingSheet[LLD_ID],0))</f>
        <v>44015</v>
      </c>
      <c r="I70" s="60">
        <f>IFERROR(Table_LLDTrackingSummary[[#This Row],[LatestLLDIterationEndDate]]-Table_LLDTrackingSummary[[#This Row],[SiteDesignStarted_AC]],"-")</f>
        <v>3</v>
      </c>
    </row>
    <row r="71" spans="1:9" x14ac:dyDescent="0.3">
      <c r="A71" s="79" t="s">
        <v>128</v>
      </c>
      <c r="B71" s="79" t="s">
        <v>35</v>
      </c>
      <c r="C71" s="79" t="s">
        <v>48</v>
      </c>
      <c r="D71" s="79" t="s">
        <v>51</v>
      </c>
      <c r="E71" s="63">
        <f>INDEX(Table_SiteMilestoneTracking[SiteDesignStarted_AC],MATCH(Table_LLDTrackingSummary[[#This Row],[SiteID]],Table_SiteMilestoneTracking[SiteID],0))</f>
        <v>44013</v>
      </c>
      <c r="F71" s="60">
        <f>COUNTIF(Table_LLDTrackingSheet[SiteID],Table_LLDTrackingSummary[[#This Row],[SiteID]])</f>
        <v>1</v>
      </c>
      <c r="G71" s="60" t="str">
        <f>Table_LLDTrackingSummary[[#This Row],[SiteID]]&amp;"_"&amp;Table_LLDTrackingSummary[[#This Row],[SumLLDIterations]]</f>
        <v>PI00135_1</v>
      </c>
      <c r="H71" s="63">
        <f>INDEX(Table_LLDTrackingSheet[LLDIterationEndDate],MATCH(Table_LLDTrackingSummary[[#This Row],[LatestLLD_ID]],Table_LLDTrackingSheet[LLD_ID],0))</f>
        <v>44017</v>
      </c>
      <c r="I71" s="60">
        <f>IFERROR(Table_LLDTrackingSummary[[#This Row],[LatestLLDIterationEndDate]]-Table_LLDTrackingSummary[[#This Row],[SiteDesignStarted_AC]],"-")</f>
        <v>4</v>
      </c>
    </row>
    <row r="72" spans="1:9" x14ac:dyDescent="0.3">
      <c r="A72" s="79" t="s">
        <v>129</v>
      </c>
      <c r="B72" s="79" t="s">
        <v>35</v>
      </c>
      <c r="C72" s="79" t="s">
        <v>49</v>
      </c>
      <c r="D72" s="79" t="s">
        <v>52</v>
      </c>
      <c r="E72" s="63">
        <f>INDEX(Table_SiteMilestoneTracking[SiteDesignStarted_AC],MATCH(Table_LLDTrackingSummary[[#This Row],[SiteID]],Table_SiteMilestoneTracking[SiteID],0))</f>
        <v>44019</v>
      </c>
      <c r="F72" s="60">
        <f>COUNTIF(Table_LLDTrackingSheet[SiteID],Table_LLDTrackingSummary[[#This Row],[SiteID]])</f>
        <v>1</v>
      </c>
      <c r="G72" s="60" t="str">
        <f>Table_LLDTrackingSummary[[#This Row],[SiteID]]&amp;"_"&amp;Table_LLDTrackingSummary[[#This Row],[SumLLDIterations]]</f>
        <v>PI00184_1</v>
      </c>
      <c r="H72" s="63">
        <f>INDEX(Table_LLDTrackingSheet[LLDIterationEndDate],MATCH(Table_LLDTrackingSummary[[#This Row],[LatestLLD_ID]],Table_LLDTrackingSheet[LLD_ID],0))</f>
        <v>44021</v>
      </c>
      <c r="I72" s="60">
        <f>IFERROR(Table_LLDTrackingSummary[[#This Row],[LatestLLDIterationEndDate]]-Table_LLDTrackingSummary[[#This Row],[SiteDesignStarted_AC]],"-")</f>
        <v>2</v>
      </c>
    </row>
    <row r="73" spans="1:9" x14ac:dyDescent="0.3">
      <c r="A73" s="79" t="s">
        <v>130</v>
      </c>
      <c r="B73" s="79" t="s">
        <v>36</v>
      </c>
      <c r="C73" s="79" t="s">
        <v>50</v>
      </c>
      <c r="D73" s="79" t="s">
        <v>53</v>
      </c>
      <c r="E73" s="63">
        <f>INDEX(Table_SiteMilestoneTracking[SiteDesignStarted_AC],MATCH(Table_LLDTrackingSummary[[#This Row],[SiteID]],Table_SiteMilestoneTracking[SiteID],0))</f>
        <v>44020</v>
      </c>
      <c r="F73" s="60">
        <f>COUNTIF(Table_LLDTrackingSheet[SiteID],Table_LLDTrackingSummary[[#This Row],[SiteID]])</f>
        <v>1</v>
      </c>
      <c r="G73" s="60" t="str">
        <f>Table_LLDTrackingSummary[[#This Row],[SiteID]]&amp;"_"&amp;Table_LLDTrackingSummary[[#This Row],[SumLLDIterations]]</f>
        <v>AP00092_1</v>
      </c>
      <c r="H73" s="63">
        <f>INDEX(Table_LLDTrackingSheet[LLDIterationEndDate],MATCH(Table_LLDTrackingSummary[[#This Row],[LatestLLD_ID]],Table_LLDTrackingSheet[LLD_ID],0))</f>
        <v>44021</v>
      </c>
      <c r="I73" s="60">
        <f>IFERROR(Table_LLDTrackingSummary[[#This Row],[LatestLLDIterationEndDate]]-Table_LLDTrackingSummary[[#This Row],[SiteDesignStarted_AC]],"-")</f>
        <v>1</v>
      </c>
    </row>
    <row r="74" spans="1:9" x14ac:dyDescent="0.3">
      <c r="A74" s="79" t="s">
        <v>131</v>
      </c>
      <c r="B74" s="79" t="s">
        <v>36</v>
      </c>
      <c r="C74" s="79" t="s">
        <v>45</v>
      </c>
      <c r="D74" s="79" t="s">
        <v>51</v>
      </c>
      <c r="E74" s="63">
        <f>INDEX(Table_SiteMilestoneTracking[SiteDesignStarted_AC],MATCH(Table_LLDTrackingSummary[[#This Row],[SiteID]],Table_SiteMilestoneTracking[SiteID],0))</f>
        <v>44020</v>
      </c>
      <c r="F74" s="60">
        <f>COUNTIF(Table_LLDTrackingSheet[SiteID],Table_LLDTrackingSummary[[#This Row],[SiteID]])</f>
        <v>1</v>
      </c>
      <c r="G74" s="60" t="str">
        <f>Table_LLDTrackingSummary[[#This Row],[SiteID]]&amp;"_"&amp;Table_LLDTrackingSummary[[#This Row],[SumLLDIterations]]</f>
        <v>AP00146_1</v>
      </c>
      <c r="H74" s="63">
        <f>INDEX(Table_LLDTrackingSheet[LLDIterationEndDate],MATCH(Table_LLDTrackingSummary[[#This Row],[LatestLLD_ID]],Table_LLDTrackingSheet[LLD_ID],0))</f>
        <v>44023</v>
      </c>
      <c r="I74" s="60">
        <f>IFERROR(Table_LLDTrackingSummary[[#This Row],[LatestLLDIterationEndDate]]-Table_LLDTrackingSummary[[#This Row],[SiteDesignStarted_AC]],"-")</f>
        <v>3</v>
      </c>
    </row>
    <row r="75" spans="1:9" x14ac:dyDescent="0.3">
      <c r="A75" s="79" t="s">
        <v>132</v>
      </c>
      <c r="B75" s="79" t="s">
        <v>37</v>
      </c>
      <c r="C75" s="79" t="s">
        <v>46</v>
      </c>
      <c r="D75" s="79" t="s">
        <v>52</v>
      </c>
      <c r="E75" s="63">
        <f>INDEX(Table_SiteMilestoneTracking[SiteDesignStarted_AC],MATCH(Table_LLDTrackingSummary[[#This Row],[SiteID]],Table_SiteMilestoneTracking[SiteID],0))</f>
        <v>44020</v>
      </c>
      <c r="F75" s="60">
        <f>COUNTIF(Table_LLDTrackingSheet[SiteID],Table_LLDTrackingSummary[[#This Row],[SiteID]])</f>
        <v>1</v>
      </c>
      <c r="G75" s="60" t="str">
        <f>Table_LLDTrackingSummary[[#This Row],[SiteID]]&amp;"_"&amp;Table_LLDTrackingSummary[[#This Row],[SumLLDIterations]]</f>
        <v>AP00231_1</v>
      </c>
      <c r="H75" s="63">
        <f>INDEX(Table_LLDTrackingSheet[LLDIterationEndDate],MATCH(Table_LLDTrackingSummary[[#This Row],[LatestLLD_ID]],Table_LLDTrackingSheet[LLD_ID],0))</f>
        <v>44021</v>
      </c>
      <c r="I75" s="60">
        <f>IFERROR(Table_LLDTrackingSummary[[#This Row],[LatestLLDIterationEndDate]]-Table_LLDTrackingSummary[[#This Row],[SiteDesignStarted_AC]],"-")</f>
        <v>1</v>
      </c>
    </row>
    <row r="76" spans="1:9" x14ac:dyDescent="0.3">
      <c r="A76" s="79" t="s">
        <v>133</v>
      </c>
      <c r="B76" s="79" t="s">
        <v>37</v>
      </c>
      <c r="C76" s="79" t="s">
        <v>47</v>
      </c>
      <c r="D76" s="79" t="s">
        <v>53</v>
      </c>
      <c r="E76" s="63">
        <f>INDEX(Table_SiteMilestoneTracking[SiteDesignStarted_AC],MATCH(Table_LLDTrackingSummary[[#This Row],[SiteID]],Table_SiteMilestoneTracking[SiteID],0))</f>
        <v>44020</v>
      </c>
      <c r="F76" s="60">
        <f>COUNTIF(Table_LLDTrackingSheet[SiteID],Table_LLDTrackingSummary[[#This Row],[SiteID]])</f>
        <v>1</v>
      </c>
      <c r="G76" s="60" t="str">
        <f>Table_LLDTrackingSummary[[#This Row],[SiteID]]&amp;"_"&amp;Table_LLDTrackingSummary[[#This Row],[SumLLDIterations]]</f>
        <v>AP00235_1</v>
      </c>
      <c r="H76" s="63">
        <f>INDEX(Table_LLDTrackingSheet[LLDIterationEndDate],MATCH(Table_LLDTrackingSummary[[#This Row],[LatestLLD_ID]],Table_LLDTrackingSheet[LLD_ID],0))</f>
        <v>44022</v>
      </c>
      <c r="I76" s="60">
        <f>IFERROR(Table_LLDTrackingSummary[[#This Row],[LatestLLDIterationEndDate]]-Table_LLDTrackingSummary[[#This Row],[SiteDesignStarted_AC]],"-")</f>
        <v>2</v>
      </c>
    </row>
    <row r="77" spans="1:9" x14ac:dyDescent="0.3">
      <c r="A77" s="79" t="s">
        <v>134</v>
      </c>
      <c r="B77" s="79" t="s">
        <v>35</v>
      </c>
      <c r="C77" s="79" t="s">
        <v>48</v>
      </c>
      <c r="D77" s="79" t="s">
        <v>51</v>
      </c>
      <c r="E77" s="63">
        <f>INDEX(Table_SiteMilestoneTracking[SiteDesignStarted_AC],MATCH(Table_LLDTrackingSummary[[#This Row],[SiteID]],Table_SiteMilestoneTracking[SiteID],0))</f>
        <v>44020</v>
      </c>
      <c r="F77" s="60">
        <f>COUNTIF(Table_LLDTrackingSheet[SiteID],Table_LLDTrackingSummary[[#This Row],[SiteID]])</f>
        <v>1</v>
      </c>
      <c r="G77" s="60" t="str">
        <f>Table_LLDTrackingSummary[[#This Row],[SiteID]]&amp;"_"&amp;Table_LLDTrackingSummary[[#This Row],[SumLLDIterations]]</f>
        <v>AP00239_1</v>
      </c>
      <c r="H77" s="63">
        <f>INDEX(Table_LLDTrackingSheet[LLDIterationEndDate],MATCH(Table_LLDTrackingSummary[[#This Row],[LatestLLD_ID]],Table_LLDTrackingSheet[LLD_ID],0))</f>
        <v>44024</v>
      </c>
      <c r="I77" s="60">
        <f>IFERROR(Table_LLDTrackingSummary[[#This Row],[LatestLLDIterationEndDate]]-Table_LLDTrackingSummary[[#This Row],[SiteDesignStarted_AC]],"-")</f>
        <v>4</v>
      </c>
    </row>
    <row r="78" spans="1:9" x14ac:dyDescent="0.3">
      <c r="A78" s="79" t="s">
        <v>135</v>
      </c>
      <c r="B78" s="79" t="s">
        <v>35</v>
      </c>
      <c r="C78" s="79" t="s">
        <v>49</v>
      </c>
      <c r="D78" s="79" t="s">
        <v>52</v>
      </c>
      <c r="E78" s="63">
        <f>INDEX(Table_SiteMilestoneTracking[SiteDesignStarted_AC],MATCH(Table_LLDTrackingSummary[[#This Row],[SiteID]],Table_SiteMilestoneTracking[SiteID],0))</f>
        <v>44019</v>
      </c>
      <c r="F78" s="60">
        <f>COUNTIF(Table_LLDTrackingSheet[SiteID],Table_LLDTrackingSummary[[#This Row],[SiteID]])</f>
        <v>1</v>
      </c>
      <c r="G78" s="60" t="str">
        <f>Table_LLDTrackingSummary[[#This Row],[SiteID]]&amp;"_"&amp;Table_LLDTrackingSummary[[#This Row],[SumLLDIterations]]</f>
        <v>PI00189_1</v>
      </c>
      <c r="H78" s="63">
        <f>INDEX(Table_LLDTrackingSheet[LLDIterationEndDate],MATCH(Table_LLDTrackingSummary[[#This Row],[LatestLLD_ID]],Table_LLDTrackingSheet[LLD_ID],0))</f>
        <v>44023</v>
      </c>
      <c r="I78" s="60">
        <f>IFERROR(Table_LLDTrackingSummary[[#This Row],[LatestLLDIterationEndDate]]-Table_LLDTrackingSummary[[#This Row],[SiteDesignStarted_AC]],"-")</f>
        <v>4</v>
      </c>
    </row>
    <row r="79" spans="1:9" x14ac:dyDescent="0.3">
      <c r="A79" s="79" t="s">
        <v>136</v>
      </c>
      <c r="B79" s="79" t="s">
        <v>36</v>
      </c>
      <c r="C79" s="79" t="s">
        <v>50</v>
      </c>
      <c r="D79" s="79" t="s">
        <v>53</v>
      </c>
      <c r="E79" s="63">
        <f>INDEX(Table_SiteMilestoneTracking[SiteDesignStarted_AC],MATCH(Table_LLDTrackingSummary[[#This Row],[SiteID]],Table_SiteMilestoneTracking[SiteID],0))</f>
        <v>44019</v>
      </c>
      <c r="F79" s="60">
        <f>COUNTIF(Table_LLDTrackingSheet[SiteID],Table_LLDTrackingSummary[[#This Row],[SiteID]])</f>
        <v>1</v>
      </c>
      <c r="G79" s="60" t="str">
        <f>Table_LLDTrackingSummary[[#This Row],[SiteID]]&amp;"_"&amp;Table_LLDTrackingSummary[[#This Row],[SumLLDIterations]]</f>
        <v>PI00282_1</v>
      </c>
      <c r="H79" s="63">
        <f>INDEX(Table_LLDTrackingSheet[LLDIterationEndDate],MATCH(Table_LLDTrackingSummary[[#This Row],[LatestLLD_ID]],Table_LLDTrackingSheet[LLD_ID],0))</f>
        <v>44021</v>
      </c>
      <c r="I79" s="60">
        <f>IFERROR(Table_LLDTrackingSummary[[#This Row],[LatestLLDIterationEndDate]]-Table_LLDTrackingSummary[[#This Row],[SiteDesignStarted_AC]],"-")</f>
        <v>2</v>
      </c>
    </row>
    <row r="80" spans="1:9" x14ac:dyDescent="0.3">
      <c r="A80" s="79" t="s">
        <v>137</v>
      </c>
      <c r="B80" s="79" t="s">
        <v>36</v>
      </c>
      <c r="C80" s="79" t="s">
        <v>45</v>
      </c>
      <c r="D80" s="79" t="s">
        <v>51</v>
      </c>
      <c r="E80" s="63">
        <f>INDEX(Table_SiteMilestoneTracking[SiteDesignStarted_AC],MATCH(Table_LLDTrackingSummary[[#This Row],[SiteID]],Table_SiteMilestoneTracking[SiteID],0))</f>
        <v>44020</v>
      </c>
      <c r="F80" s="60">
        <f>COUNTIF(Table_LLDTrackingSheet[SiteID],Table_LLDTrackingSummary[[#This Row],[SiteID]])</f>
        <v>1</v>
      </c>
      <c r="G80" s="60" t="str">
        <f>Table_LLDTrackingSummary[[#This Row],[SiteID]]&amp;"_"&amp;Table_LLDTrackingSummary[[#This Row],[SumLLDIterations]]</f>
        <v>PI00284_1</v>
      </c>
      <c r="H80" s="63">
        <f>INDEX(Table_LLDTrackingSheet[LLDIterationEndDate],MATCH(Table_LLDTrackingSummary[[#This Row],[LatestLLD_ID]],Table_LLDTrackingSheet[LLD_ID],0))</f>
        <v>44022</v>
      </c>
      <c r="I80" s="60">
        <f>IFERROR(Table_LLDTrackingSummary[[#This Row],[LatestLLDIterationEndDate]]-Table_LLDTrackingSummary[[#This Row],[SiteDesignStarted_AC]],"-")</f>
        <v>2</v>
      </c>
    </row>
    <row r="81" spans="1:9" x14ac:dyDescent="0.3">
      <c r="A81" s="79" t="s">
        <v>138</v>
      </c>
      <c r="B81" s="79" t="s">
        <v>37</v>
      </c>
      <c r="C81" s="79" t="s">
        <v>46</v>
      </c>
      <c r="D81" s="79" t="s">
        <v>52</v>
      </c>
      <c r="E81" s="63">
        <f>INDEX(Table_SiteMilestoneTracking[SiteDesignStarted_AC],MATCH(Table_LLDTrackingSummary[[#This Row],[SiteID]],Table_SiteMilestoneTracking[SiteID],0))</f>
        <v>44020</v>
      </c>
      <c r="F81" s="60">
        <f>COUNTIF(Table_LLDTrackingSheet[SiteID],Table_LLDTrackingSummary[[#This Row],[SiteID]])</f>
        <v>1</v>
      </c>
      <c r="G81" s="60" t="str">
        <f>Table_LLDTrackingSummary[[#This Row],[SiteID]]&amp;"_"&amp;Table_LLDTrackingSummary[[#This Row],[SumLLDIterations]]</f>
        <v>LO00158_1</v>
      </c>
      <c r="H81" s="63">
        <f>INDEX(Table_LLDTrackingSheet[LLDIterationEndDate],MATCH(Table_LLDTrackingSummary[[#This Row],[LatestLLD_ID]],Table_LLDTrackingSheet[LLD_ID],0))</f>
        <v>44022</v>
      </c>
      <c r="I81" s="60">
        <f>IFERROR(Table_LLDTrackingSummary[[#This Row],[LatestLLDIterationEndDate]]-Table_LLDTrackingSummary[[#This Row],[SiteDesignStarted_AC]],"-")</f>
        <v>2</v>
      </c>
    </row>
    <row r="82" spans="1:9" x14ac:dyDescent="0.3">
      <c r="A82" s="79" t="s">
        <v>139</v>
      </c>
      <c r="B82" s="79" t="s">
        <v>37</v>
      </c>
      <c r="C82" s="79" t="s">
        <v>47</v>
      </c>
      <c r="D82" s="79" t="s">
        <v>53</v>
      </c>
      <c r="E82" s="63">
        <f>INDEX(Table_SiteMilestoneTracking[SiteDesignStarted_AC],MATCH(Table_LLDTrackingSummary[[#This Row],[SiteID]],Table_SiteMilestoneTracking[SiteID],0))</f>
        <v>44019</v>
      </c>
      <c r="F82" s="60">
        <f>COUNTIF(Table_LLDTrackingSheet[SiteID],Table_LLDTrackingSummary[[#This Row],[SiteID]])</f>
        <v>1</v>
      </c>
      <c r="G82" s="60" t="str">
        <f>Table_LLDTrackingSummary[[#This Row],[SiteID]]&amp;"_"&amp;Table_LLDTrackingSummary[[#This Row],[SumLLDIterations]]</f>
        <v>LO00159_1</v>
      </c>
      <c r="H82" s="63">
        <f>INDEX(Table_LLDTrackingSheet[LLDIterationEndDate],MATCH(Table_LLDTrackingSummary[[#This Row],[LatestLLD_ID]],Table_LLDTrackingSheet[LLD_ID],0))</f>
        <v>44022</v>
      </c>
      <c r="I82" s="60">
        <f>IFERROR(Table_LLDTrackingSummary[[#This Row],[LatestLLDIterationEndDate]]-Table_LLDTrackingSummary[[#This Row],[SiteDesignStarted_AC]],"-")</f>
        <v>3</v>
      </c>
    </row>
    <row r="83" spans="1:9" x14ac:dyDescent="0.3">
      <c r="A83" s="79" t="s">
        <v>140</v>
      </c>
      <c r="B83" s="79" t="s">
        <v>35</v>
      </c>
      <c r="C83" s="79" t="s">
        <v>48</v>
      </c>
      <c r="D83" s="79" t="s">
        <v>51</v>
      </c>
      <c r="E83" s="63">
        <f>INDEX(Table_SiteMilestoneTracking[SiteDesignStarted_AC],MATCH(Table_LLDTrackingSummary[[#This Row],[SiteID]],Table_SiteMilestoneTracking[SiteID],0))</f>
        <v>44019</v>
      </c>
      <c r="F83" s="60">
        <f>COUNTIF(Table_LLDTrackingSheet[SiteID],Table_LLDTrackingSummary[[#This Row],[SiteID]])</f>
        <v>1</v>
      </c>
      <c r="G83" s="60" t="str">
        <f>Table_LLDTrackingSummary[[#This Row],[SiteID]]&amp;"_"&amp;Table_LLDTrackingSummary[[#This Row],[SumLLDIterations]]</f>
        <v>CA00351_1</v>
      </c>
      <c r="H83" s="63">
        <f>INDEX(Table_LLDTrackingSheet[LLDIterationEndDate],MATCH(Table_LLDTrackingSummary[[#This Row],[LatestLLD_ID]],Table_LLDTrackingSheet[LLD_ID],0))</f>
        <v>44024</v>
      </c>
      <c r="I83" s="60">
        <f>IFERROR(Table_LLDTrackingSummary[[#This Row],[LatestLLDIterationEndDate]]-Table_LLDTrackingSummary[[#This Row],[SiteDesignStarted_AC]],"-")</f>
        <v>5</v>
      </c>
    </row>
    <row r="84" spans="1:9" x14ac:dyDescent="0.3">
      <c r="A84" s="79" t="s">
        <v>141</v>
      </c>
      <c r="B84" s="79" t="s">
        <v>35</v>
      </c>
      <c r="C84" s="79" t="s">
        <v>49</v>
      </c>
      <c r="D84" s="79" t="s">
        <v>52</v>
      </c>
      <c r="E84" s="63">
        <f>INDEX(Table_SiteMilestoneTracking[SiteDesignStarted_AC],MATCH(Table_LLDTrackingSummary[[#This Row],[SiteID]],Table_SiteMilestoneTracking[SiteID],0))</f>
        <v>44019</v>
      </c>
      <c r="F84" s="60">
        <f>COUNTIF(Table_LLDTrackingSheet[SiteID],Table_LLDTrackingSummary[[#This Row],[SiteID]])</f>
        <v>1</v>
      </c>
      <c r="G84" s="60" t="str">
        <f>Table_LLDTrackingSummary[[#This Row],[SiteID]]&amp;"_"&amp;Table_LLDTrackingSummary[[#This Row],[SumLLDIterations]]</f>
        <v>CA00514_1</v>
      </c>
      <c r="H84" s="63">
        <f>INDEX(Table_LLDTrackingSheet[LLDIterationEndDate],MATCH(Table_LLDTrackingSummary[[#This Row],[LatestLLD_ID]],Table_LLDTrackingSheet[LLD_ID],0))</f>
        <v>44025</v>
      </c>
      <c r="I84" s="60">
        <f>IFERROR(Table_LLDTrackingSummary[[#This Row],[LatestLLDIterationEndDate]]-Table_LLDTrackingSummary[[#This Row],[SiteDesignStarted_AC]],"-")</f>
        <v>6</v>
      </c>
    </row>
    <row r="85" spans="1:9" x14ac:dyDescent="0.3">
      <c r="A85" s="79" t="s">
        <v>142</v>
      </c>
      <c r="B85" s="79" t="s">
        <v>36</v>
      </c>
      <c r="C85" s="79" t="s">
        <v>50</v>
      </c>
      <c r="D85" s="79" t="s">
        <v>53</v>
      </c>
      <c r="E85" s="63">
        <f>INDEX(Table_SiteMilestoneTracking[SiteDesignStarted_AC],MATCH(Table_LLDTrackingSummary[[#This Row],[SiteID]],Table_SiteMilestoneTracking[SiteID],0))</f>
        <v>44020</v>
      </c>
      <c r="F85" s="60">
        <f>COUNTIF(Table_LLDTrackingSheet[SiteID],Table_LLDTrackingSummary[[#This Row],[SiteID]])</f>
        <v>1</v>
      </c>
      <c r="G85" s="60" t="str">
        <f>Table_LLDTrackingSummary[[#This Row],[SiteID]]&amp;"_"&amp;Table_LLDTrackingSummary[[#This Row],[SumLLDIterations]]</f>
        <v>JU00157_1</v>
      </c>
      <c r="H85" s="63">
        <f>INDEX(Table_LLDTrackingSheet[LLDIterationEndDate],MATCH(Table_LLDTrackingSummary[[#This Row],[LatestLLD_ID]],Table_LLDTrackingSheet[LLD_ID],0))</f>
        <v>44021</v>
      </c>
      <c r="I85" s="60">
        <f>IFERROR(Table_LLDTrackingSummary[[#This Row],[LatestLLDIterationEndDate]]-Table_LLDTrackingSummary[[#This Row],[SiteDesignStarted_AC]],"-")</f>
        <v>1</v>
      </c>
    </row>
    <row r="86" spans="1:9" x14ac:dyDescent="0.3">
      <c r="A86" s="79" t="s">
        <v>143</v>
      </c>
      <c r="B86" s="79" t="s">
        <v>36</v>
      </c>
      <c r="C86" s="79" t="s">
        <v>45</v>
      </c>
      <c r="D86" s="79" t="s">
        <v>51</v>
      </c>
      <c r="E86" s="63">
        <f>INDEX(Table_SiteMilestoneTracking[SiteDesignStarted_AC],MATCH(Table_LLDTrackingSummary[[#This Row],[SiteID]],Table_SiteMilestoneTracking[SiteID],0))</f>
        <v>44019</v>
      </c>
      <c r="F86" s="60">
        <f>COUNTIF(Table_LLDTrackingSheet[SiteID],Table_LLDTrackingSummary[[#This Row],[SiteID]])</f>
        <v>1</v>
      </c>
      <c r="G86" s="60" t="str">
        <f>Table_LLDTrackingSummary[[#This Row],[SiteID]]&amp;"_"&amp;Table_LLDTrackingSummary[[#This Row],[SumLLDIterations]]</f>
        <v>JU00247_1</v>
      </c>
      <c r="H86" s="63">
        <f>INDEX(Table_LLDTrackingSheet[LLDIterationEndDate],MATCH(Table_LLDTrackingSummary[[#This Row],[LatestLLD_ID]],Table_LLDTrackingSheet[LLD_ID],0))</f>
        <v>44020</v>
      </c>
      <c r="I86" s="60">
        <f>IFERROR(Table_LLDTrackingSummary[[#This Row],[LatestLLDIterationEndDate]]-Table_LLDTrackingSummary[[#This Row],[SiteDesignStarted_AC]],"-")</f>
        <v>1</v>
      </c>
    </row>
    <row r="87" spans="1:9" x14ac:dyDescent="0.3">
      <c r="A87" s="79" t="s">
        <v>144</v>
      </c>
      <c r="B87" s="79" t="s">
        <v>37</v>
      </c>
      <c r="C87" s="79" t="s">
        <v>46</v>
      </c>
      <c r="D87" s="79" t="s">
        <v>52</v>
      </c>
      <c r="E87" s="63">
        <f>INDEX(Table_SiteMilestoneTracking[SiteDesignStarted_AC],MATCH(Table_LLDTrackingSummary[[#This Row],[SiteID]],Table_SiteMilestoneTracking[SiteID],0))</f>
        <v>44020</v>
      </c>
      <c r="F87" s="60">
        <f>COUNTIF(Table_LLDTrackingSheet[SiteID],Table_LLDTrackingSummary[[#This Row],[SiteID]])</f>
        <v>1</v>
      </c>
      <c r="G87" s="60" t="str">
        <f>Table_LLDTrackingSummary[[#This Row],[SiteID]]&amp;"_"&amp;Table_LLDTrackingSummary[[#This Row],[SumLLDIterations]]</f>
        <v>JU00229_1</v>
      </c>
      <c r="H87" s="63">
        <f>INDEX(Table_LLDTrackingSheet[LLDIterationEndDate],MATCH(Table_LLDTrackingSummary[[#This Row],[LatestLLD_ID]],Table_LLDTrackingSheet[LLD_ID],0))</f>
        <v>44021</v>
      </c>
      <c r="I87" s="60">
        <f>IFERROR(Table_LLDTrackingSummary[[#This Row],[LatestLLDIterationEndDate]]-Table_LLDTrackingSummary[[#This Row],[SiteDesignStarted_AC]],"-")</f>
        <v>1</v>
      </c>
    </row>
    <row r="88" spans="1:9" x14ac:dyDescent="0.3">
      <c r="A88" s="79" t="s">
        <v>145</v>
      </c>
      <c r="B88" s="79" t="s">
        <v>37</v>
      </c>
      <c r="C88" s="79" t="s">
        <v>47</v>
      </c>
      <c r="D88" s="79" t="s">
        <v>53</v>
      </c>
      <c r="E88" s="63">
        <f>INDEX(Table_SiteMilestoneTracking[SiteDesignStarted_AC],MATCH(Table_LLDTrackingSummary[[#This Row],[SiteID]],Table_SiteMilestoneTracking[SiteID],0))</f>
        <v>44020</v>
      </c>
      <c r="F88" s="60">
        <f>COUNTIF(Table_LLDTrackingSheet[SiteID],Table_LLDTrackingSummary[[#This Row],[SiteID]])</f>
        <v>1</v>
      </c>
      <c r="G88" s="60" t="str">
        <f>Table_LLDTrackingSummary[[#This Row],[SiteID]]&amp;"_"&amp;Table_LLDTrackingSummary[[#This Row],[SumLLDIterations]]</f>
        <v>JU00415_1</v>
      </c>
      <c r="H88" s="63">
        <f>INDEX(Table_LLDTrackingSheet[LLDIterationEndDate],MATCH(Table_LLDTrackingSummary[[#This Row],[LatestLLD_ID]],Table_LLDTrackingSheet[LLD_ID],0))</f>
        <v>44023</v>
      </c>
      <c r="I88" s="60">
        <f>IFERROR(Table_LLDTrackingSummary[[#This Row],[LatestLLDIterationEndDate]]-Table_LLDTrackingSummary[[#This Row],[SiteDesignStarted_AC]],"-")</f>
        <v>3</v>
      </c>
    </row>
    <row r="89" spans="1:9" x14ac:dyDescent="0.3">
      <c r="A89" s="79" t="s">
        <v>146</v>
      </c>
      <c r="B89" s="79" t="s">
        <v>35</v>
      </c>
      <c r="C89" s="79" t="s">
        <v>48</v>
      </c>
      <c r="D89" s="79" t="s">
        <v>51</v>
      </c>
      <c r="E89" s="63">
        <f>INDEX(Table_SiteMilestoneTracking[SiteDesignStarted_AC],MATCH(Table_LLDTrackingSummary[[#This Row],[SiteID]],Table_SiteMilestoneTracking[SiteID],0))</f>
        <v>44020</v>
      </c>
      <c r="F89" s="60">
        <f>COUNTIF(Table_LLDTrackingSheet[SiteID],Table_LLDTrackingSummary[[#This Row],[SiteID]])</f>
        <v>1</v>
      </c>
      <c r="G89" s="60" t="str">
        <f>Table_LLDTrackingSummary[[#This Row],[SiteID]]&amp;"_"&amp;Table_LLDTrackingSummary[[#This Row],[SumLLDIterations]]</f>
        <v>LA00134_1</v>
      </c>
      <c r="H89" s="63">
        <f>INDEX(Table_LLDTrackingSheet[LLDIterationEndDate],MATCH(Table_LLDTrackingSummary[[#This Row],[LatestLLD_ID]],Table_LLDTrackingSheet[LLD_ID],0))</f>
        <v>44023</v>
      </c>
      <c r="I89" s="60">
        <f>IFERROR(Table_LLDTrackingSummary[[#This Row],[LatestLLDIterationEndDate]]-Table_LLDTrackingSummary[[#This Row],[SiteDesignStarted_AC]],"-")</f>
        <v>3</v>
      </c>
    </row>
    <row r="90" spans="1:9" x14ac:dyDescent="0.3">
      <c r="A90" s="79" t="s">
        <v>147</v>
      </c>
      <c r="B90" s="79" t="s">
        <v>35</v>
      </c>
      <c r="C90" s="79" t="s">
        <v>49</v>
      </c>
      <c r="D90" s="79" t="s">
        <v>52</v>
      </c>
      <c r="E90" s="63">
        <f>INDEX(Table_SiteMilestoneTracking[SiteDesignStarted_AC],MATCH(Table_LLDTrackingSummary[[#This Row],[SiteID]],Table_SiteMilestoneTracking[SiteID],0))</f>
        <v>44019</v>
      </c>
      <c r="F90" s="60">
        <f>COUNTIF(Table_LLDTrackingSheet[SiteID],Table_LLDTrackingSummary[[#This Row],[SiteID]])</f>
        <v>1</v>
      </c>
      <c r="G90" s="60" t="str">
        <f>Table_LLDTrackingSummary[[#This Row],[SiteID]]&amp;"_"&amp;Table_LLDTrackingSummary[[#This Row],[SumLLDIterations]]</f>
        <v>LA00613_1</v>
      </c>
      <c r="H90" s="63">
        <f>INDEX(Table_LLDTrackingSheet[LLDIterationEndDate],MATCH(Table_LLDTrackingSummary[[#This Row],[LatestLLD_ID]],Table_LLDTrackingSheet[LLD_ID],0))</f>
        <v>44021</v>
      </c>
      <c r="I90" s="60">
        <f>IFERROR(Table_LLDTrackingSummary[[#This Row],[LatestLLDIterationEndDate]]-Table_LLDTrackingSummary[[#This Row],[SiteDesignStarted_AC]],"-")</f>
        <v>2</v>
      </c>
    </row>
    <row r="91" spans="1:9" x14ac:dyDescent="0.3">
      <c r="A91" s="79" t="s">
        <v>148</v>
      </c>
      <c r="B91" s="79" t="s">
        <v>36</v>
      </c>
      <c r="C91" s="79" t="s">
        <v>50</v>
      </c>
      <c r="D91" s="79" t="s">
        <v>53</v>
      </c>
      <c r="E91" s="63">
        <f>INDEX(Table_SiteMilestoneTracking[SiteDesignStarted_AC],MATCH(Table_LLDTrackingSummary[[#This Row],[SiteID]],Table_SiteMilestoneTracking[SiteID],0))</f>
        <v>44032</v>
      </c>
      <c r="F91" s="60">
        <f>COUNTIF(Table_LLDTrackingSheet[SiteID],Table_LLDTrackingSummary[[#This Row],[SiteID]])</f>
        <v>1</v>
      </c>
      <c r="G91" s="60" t="str">
        <f>Table_LLDTrackingSummary[[#This Row],[SiteID]]&amp;"_"&amp;Table_LLDTrackingSummary[[#This Row],[SumLLDIterations]]</f>
        <v>LI01455_1</v>
      </c>
      <c r="H91" s="63">
        <f>INDEX(Table_LLDTrackingSheet[LLDIterationEndDate],MATCH(Table_LLDTrackingSummary[[#This Row],[LatestLLD_ID]],Table_LLDTrackingSheet[LLD_ID],0))</f>
        <v>44027</v>
      </c>
      <c r="I91" s="60">
        <f>IFERROR(Table_LLDTrackingSummary[[#This Row],[LatestLLDIterationEndDate]]-Table_LLDTrackingSummary[[#This Row],[SiteDesignStarted_AC]],"-")</f>
        <v>-5</v>
      </c>
    </row>
    <row r="92" spans="1:9" x14ac:dyDescent="0.3">
      <c r="A92" s="79" t="s">
        <v>149</v>
      </c>
      <c r="B92" s="79" t="s">
        <v>36</v>
      </c>
      <c r="C92" s="79" t="s">
        <v>45</v>
      </c>
      <c r="D92" s="79" t="s">
        <v>52</v>
      </c>
      <c r="E92" s="63">
        <f>INDEX(Table_SiteMilestoneTracking[SiteDesignStarted_AC],MATCH(Table_LLDTrackingSummary[[#This Row],[SiteID]],Table_SiteMilestoneTracking[SiteID],0))</f>
        <v>44027</v>
      </c>
      <c r="F92" s="60">
        <f>COUNTIF(Table_LLDTrackingSheet[SiteID],Table_LLDTrackingSummary[[#This Row],[SiteID]])</f>
        <v>1</v>
      </c>
      <c r="G92" s="60" t="str">
        <f>Table_LLDTrackingSummary[[#This Row],[SiteID]]&amp;"_"&amp;Table_LLDTrackingSummary[[#This Row],[SumLLDIterations]]</f>
        <v>LI01461_1</v>
      </c>
      <c r="H92" s="63">
        <f>INDEX(Table_LLDTrackingSheet[LLDIterationEndDate],MATCH(Table_LLDTrackingSummary[[#This Row],[LatestLLD_ID]],Table_LLDTrackingSheet[LLD_ID],0))</f>
        <v>44032</v>
      </c>
      <c r="I92" s="60">
        <f>IFERROR(Table_LLDTrackingSummary[[#This Row],[LatestLLDIterationEndDate]]-Table_LLDTrackingSummary[[#This Row],[SiteDesignStarted_AC]],"-")</f>
        <v>5</v>
      </c>
    </row>
    <row r="93" spans="1:9" x14ac:dyDescent="0.3">
      <c r="A93" s="79" t="s">
        <v>150</v>
      </c>
      <c r="B93" s="79" t="s">
        <v>37</v>
      </c>
      <c r="C93" s="79" t="s">
        <v>46</v>
      </c>
      <c r="D93" s="79" t="s">
        <v>53</v>
      </c>
      <c r="E93" s="63">
        <f>INDEX(Table_SiteMilestoneTracking[SiteDesignStarted_AC],MATCH(Table_LLDTrackingSummary[[#This Row],[SiteID]],Table_SiteMilestoneTracking[SiteID],0))</f>
        <v>44027</v>
      </c>
      <c r="F93" s="60">
        <f>COUNTIF(Table_LLDTrackingSheet[SiteID],Table_LLDTrackingSummary[[#This Row],[SiteID]])</f>
        <v>1</v>
      </c>
      <c r="G93" s="60" t="str">
        <f>Table_LLDTrackingSummary[[#This Row],[SiteID]]&amp;"_"&amp;Table_LLDTrackingSummary[[#This Row],[SumLLDIterations]]</f>
        <v>LI01476_1</v>
      </c>
      <c r="H93" s="63">
        <f>INDEX(Table_LLDTrackingSheet[LLDIterationEndDate],MATCH(Table_LLDTrackingSummary[[#This Row],[LatestLLD_ID]],Table_LLDTrackingSheet[LLD_ID],0))</f>
        <v>44030</v>
      </c>
      <c r="I93" s="60">
        <f>IFERROR(Table_LLDTrackingSummary[[#This Row],[LatestLLDIterationEndDate]]-Table_LLDTrackingSummary[[#This Row],[SiteDesignStarted_AC]],"-")</f>
        <v>3</v>
      </c>
    </row>
    <row r="94" spans="1:9" x14ac:dyDescent="0.3">
      <c r="A94" s="79" t="s">
        <v>151</v>
      </c>
      <c r="B94" s="79" t="s">
        <v>37</v>
      </c>
      <c r="C94" s="79" t="s">
        <v>47</v>
      </c>
      <c r="D94" s="79" t="s">
        <v>51</v>
      </c>
      <c r="E94" s="63">
        <f>INDEX(Table_SiteMilestoneTracking[SiteDesignStarted_AC],MATCH(Table_LLDTrackingSummary[[#This Row],[SiteID]],Table_SiteMilestoneTracking[SiteID],0))</f>
        <v>44025</v>
      </c>
      <c r="F94" s="60">
        <f>COUNTIF(Table_LLDTrackingSheet[SiteID],Table_LLDTrackingSummary[[#This Row],[SiteID]])</f>
        <v>1</v>
      </c>
      <c r="G94" s="60" t="str">
        <f>Table_LLDTrackingSummary[[#This Row],[SiteID]]&amp;"_"&amp;Table_LLDTrackingSummary[[#This Row],[SumLLDIterations]]</f>
        <v>LI01542_1</v>
      </c>
      <c r="H94" s="63">
        <f>INDEX(Table_LLDTrackingSheet[LLDIterationEndDate],MATCH(Table_LLDTrackingSummary[[#This Row],[LatestLLD_ID]],Table_LLDTrackingSheet[LLD_ID],0))</f>
        <v>44027</v>
      </c>
      <c r="I94" s="60">
        <f>IFERROR(Table_LLDTrackingSummary[[#This Row],[LatestLLDIterationEndDate]]-Table_LLDTrackingSummary[[#This Row],[SiteDesignStarted_AC]],"-")</f>
        <v>2</v>
      </c>
    </row>
    <row r="95" spans="1:9" x14ac:dyDescent="0.3">
      <c r="A95" s="79" t="s">
        <v>152</v>
      </c>
      <c r="B95" s="79" t="s">
        <v>35</v>
      </c>
      <c r="C95" s="79" t="s">
        <v>48</v>
      </c>
      <c r="D95" s="79" t="s">
        <v>52</v>
      </c>
      <c r="E95" s="63">
        <f>INDEX(Table_SiteMilestoneTracking[SiteDesignStarted_AC],MATCH(Table_LLDTrackingSummary[[#This Row],[SiteID]],Table_SiteMilestoneTracking[SiteID],0))</f>
        <v>44026</v>
      </c>
      <c r="F95" s="60">
        <f>COUNTIF(Table_LLDTrackingSheet[SiteID],Table_LLDTrackingSummary[[#This Row],[SiteID]])</f>
        <v>1</v>
      </c>
      <c r="G95" s="60" t="str">
        <f>Table_LLDTrackingSummary[[#This Row],[SiteID]]&amp;"_"&amp;Table_LLDTrackingSummary[[#This Row],[SumLLDIterations]]</f>
        <v>LI02051_1</v>
      </c>
      <c r="H95" s="63" t="str">
        <f>INDEX(Table_LLDTrackingSheet[LLDIterationEndDate],MATCH(Table_LLDTrackingSummary[[#This Row],[LatestLLD_ID]],Table_LLDTrackingSheet[LLD_ID],0))</f>
        <v>-</v>
      </c>
      <c r="I95" s="60" t="str">
        <f>IFERROR(Table_LLDTrackingSummary[[#This Row],[LatestLLDIterationEndDate]]-Table_LLDTrackingSummary[[#This Row],[SiteDesignStarted_AC]],"-")</f>
        <v>-</v>
      </c>
    </row>
    <row r="96" spans="1:9" x14ac:dyDescent="0.3">
      <c r="A96" s="79" t="s">
        <v>153</v>
      </c>
      <c r="B96" s="79" t="s">
        <v>35</v>
      </c>
      <c r="C96" s="79" t="s">
        <v>49</v>
      </c>
      <c r="D96" s="79" t="s">
        <v>53</v>
      </c>
      <c r="E96" s="63">
        <f>INDEX(Table_SiteMilestoneTracking[SiteDesignStarted_AC],MATCH(Table_LLDTrackingSummary[[#This Row],[SiteID]],Table_SiteMilestoneTracking[SiteID],0))</f>
        <v>44026</v>
      </c>
      <c r="F96" s="60">
        <f>COUNTIF(Table_LLDTrackingSheet[SiteID],Table_LLDTrackingSummary[[#This Row],[SiteID]])</f>
        <v>1</v>
      </c>
      <c r="G96" s="60" t="str">
        <f>Table_LLDTrackingSummary[[#This Row],[SiteID]]&amp;"_"&amp;Table_LLDTrackingSummary[[#This Row],[SumLLDIterations]]</f>
        <v>LI02052_1</v>
      </c>
      <c r="H96" s="63" t="str">
        <f>INDEX(Table_LLDTrackingSheet[LLDIterationEndDate],MATCH(Table_LLDTrackingSummary[[#This Row],[LatestLLD_ID]],Table_LLDTrackingSheet[LLD_ID],0))</f>
        <v>-</v>
      </c>
      <c r="I96" s="60" t="str">
        <f>IFERROR(Table_LLDTrackingSummary[[#This Row],[LatestLLDIterationEndDate]]-Table_LLDTrackingSummary[[#This Row],[SiteDesignStarted_AC]],"-")</f>
        <v>-</v>
      </c>
    </row>
    <row r="97" spans="1:9" x14ac:dyDescent="0.3">
      <c r="A97" s="79" t="s">
        <v>154</v>
      </c>
      <c r="B97" s="79" t="s">
        <v>36</v>
      </c>
      <c r="C97" s="79" t="s">
        <v>50</v>
      </c>
      <c r="D97" s="79" t="s">
        <v>51</v>
      </c>
      <c r="E97" s="63">
        <f>INDEX(Table_SiteMilestoneTracking[SiteDesignStarted_AC],MATCH(Table_LLDTrackingSummary[[#This Row],[SiteID]],Table_SiteMilestoneTracking[SiteID],0))</f>
        <v>44026</v>
      </c>
      <c r="F97" s="60">
        <f>COUNTIF(Table_LLDTrackingSheet[SiteID],Table_LLDTrackingSummary[[#This Row],[SiteID]])</f>
        <v>1</v>
      </c>
      <c r="G97" s="60" t="str">
        <f>Table_LLDTrackingSummary[[#This Row],[SiteID]]&amp;"_"&amp;Table_LLDTrackingSummary[[#This Row],[SumLLDIterations]]</f>
        <v>LI01472_1</v>
      </c>
      <c r="H97" s="63" t="str">
        <f>INDEX(Table_LLDTrackingSheet[LLDIterationEndDate],MATCH(Table_LLDTrackingSummary[[#This Row],[LatestLLD_ID]],Table_LLDTrackingSheet[LLD_ID],0))</f>
        <v>-</v>
      </c>
      <c r="I97" s="60" t="str">
        <f>IFERROR(Table_LLDTrackingSummary[[#This Row],[LatestLLDIterationEndDate]]-Table_LLDTrackingSummary[[#This Row],[SiteDesignStarted_AC]],"-")</f>
        <v>-</v>
      </c>
    </row>
    <row r="98" spans="1:9" x14ac:dyDescent="0.3">
      <c r="A98" s="79" t="s">
        <v>155</v>
      </c>
      <c r="B98" s="79" t="s">
        <v>36</v>
      </c>
      <c r="C98" s="79" t="s">
        <v>45</v>
      </c>
      <c r="D98" s="79" t="s">
        <v>52</v>
      </c>
      <c r="E98" s="63">
        <f>INDEX(Table_SiteMilestoneTracking[SiteDesignStarted_AC],MATCH(Table_LLDTrackingSummary[[#This Row],[SiteID]],Table_SiteMilestoneTracking[SiteID],0))</f>
        <v>44026</v>
      </c>
      <c r="F98" s="60">
        <f>COUNTIF(Table_LLDTrackingSheet[SiteID],Table_LLDTrackingSummary[[#This Row],[SiteID]])</f>
        <v>1</v>
      </c>
      <c r="G98" s="60" t="str">
        <f>Table_LLDTrackingSummary[[#This Row],[SiteID]]&amp;"_"&amp;Table_LLDTrackingSummary[[#This Row],[SumLLDIterations]]</f>
        <v>LI01483_1</v>
      </c>
      <c r="H98" s="63" t="str">
        <f>INDEX(Table_LLDTrackingSheet[LLDIterationEndDate],MATCH(Table_LLDTrackingSummary[[#This Row],[LatestLLD_ID]],Table_LLDTrackingSheet[LLD_ID],0))</f>
        <v>-</v>
      </c>
      <c r="I98" s="60" t="str">
        <f>IFERROR(Table_LLDTrackingSummary[[#This Row],[LatestLLDIterationEndDate]]-Table_LLDTrackingSummary[[#This Row],[SiteDesignStarted_AC]],"-")</f>
        <v>-</v>
      </c>
    </row>
    <row r="99" spans="1:9" x14ac:dyDescent="0.3">
      <c r="A99" s="79" t="s">
        <v>156</v>
      </c>
      <c r="B99" s="79" t="s">
        <v>37</v>
      </c>
      <c r="C99" s="79" t="s">
        <v>46</v>
      </c>
      <c r="D99" s="79" t="s">
        <v>53</v>
      </c>
      <c r="E99" s="63">
        <f>INDEX(Table_SiteMilestoneTracking[SiteDesignStarted_AC],MATCH(Table_LLDTrackingSummary[[#This Row],[SiteID]],Table_SiteMilestoneTracking[SiteID],0))</f>
        <v>44026</v>
      </c>
      <c r="F99" s="60">
        <f>COUNTIF(Table_LLDTrackingSheet[SiteID],Table_LLDTrackingSummary[[#This Row],[SiteID]])</f>
        <v>1</v>
      </c>
      <c r="G99" s="60" t="str">
        <f>Table_LLDTrackingSummary[[#This Row],[SiteID]]&amp;"_"&amp;Table_LLDTrackingSummary[[#This Row],[SumLLDIterations]]</f>
        <v>LI01550_1</v>
      </c>
      <c r="H99" s="63" t="str">
        <f>INDEX(Table_LLDTrackingSheet[LLDIterationEndDate],MATCH(Table_LLDTrackingSummary[[#This Row],[LatestLLD_ID]],Table_LLDTrackingSheet[LLD_ID],0))</f>
        <v>-</v>
      </c>
      <c r="I99" s="60" t="str">
        <f>IFERROR(Table_LLDTrackingSummary[[#This Row],[LatestLLDIterationEndDate]]-Table_LLDTrackingSummary[[#This Row],[SiteDesignStarted_AC]],"-")</f>
        <v>-</v>
      </c>
    </row>
    <row r="100" spans="1:9" x14ac:dyDescent="0.3">
      <c r="A100" s="79" t="s">
        <v>157</v>
      </c>
      <c r="B100" s="79" t="s">
        <v>37</v>
      </c>
      <c r="C100" s="79" t="s">
        <v>47</v>
      </c>
      <c r="D100" s="79" t="s">
        <v>51</v>
      </c>
      <c r="E100" s="63">
        <f>INDEX(Table_SiteMilestoneTracking[SiteDesignStarted_AC],MATCH(Table_LLDTrackingSummary[[#This Row],[SiteID]],Table_SiteMilestoneTracking[SiteID],0))</f>
        <v>44025</v>
      </c>
      <c r="F100" s="60">
        <f>COUNTIF(Table_LLDTrackingSheet[SiteID],Table_LLDTrackingSummary[[#This Row],[SiteID]])</f>
        <v>1</v>
      </c>
      <c r="G100" s="60" t="str">
        <f>Table_LLDTrackingSummary[[#This Row],[SiteID]]&amp;"_"&amp;Table_LLDTrackingSummary[[#This Row],[SumLLDIterations]]</f>
        <v>PI00220_1</v>
      </c>
      <c r="H100" s="63" t="str">
        <f>INDEX(Table_LLDTrackingSheet[LLDIterationEndDate],MATCH(Table_LLDTrackingSummary[[#This Row],[LatestLLD_ID]],Table_LLDTrackingSheet[LLD_ID],0))</f>
        <v>-</v>
      </c>
      <c r="I100" s="60" t="str">
        <f>IFERROR(Table_LLDTrackingSummary[[#This Row],[LatestLLDIterationEndDate]]-Table_LLDTrackingSummary[[#This Row],[SiteDesignStarted_AC]],"-")</f>
        <v>-</v>
      </c>
    </row>
    <row r="101" spans="1:9" x14ac:dyDescent="0.3">
      <c r="A101" s="79" t="s">
        <v>158</v>
      </c>
      <c r="B101" s="79" t="s">
        <v>35</v>
      </c>
      <c r="C101" s="79" t="s">
        <v>48</v>
      </c>
      <c r="D101" s="79" t="s">
        <v>52</v>
      </c>
      <c r="E101" s="63">
        <f>INDEX(Table_SiteMilestoneTracking[SiteDesignStarted_AC],MATCH(Table_LLDTrackingSummary[[#This Row],[SiteID]],Table_SiteMilestoneTracking[SiteID],0))</f>
        <v>0</v>
      </c>
      <c r="F101" s="60">
        <f>COUNTIF(Table_LLDTrackingSheet[SiteID],Table_LLDTrackingSummary[[#This Row],[SiteID]])</f>
        <v>1</v>
      </c>
      <c r="G101" s="60" t="str">
        <f>Table_LLDTrackingSummary[[#This Row],[SiteID]]&amp;"_"&amp;Table_LLDTrackingSummary[[#This Row],[SumLLDIterations]]</f>
        <v>PI00246_1</v>
      </c>
      <c r="H101" s="63" t="str">
        <f>INDEX(Table_LLDTrackingSheet[LLDIterationEndDate],MATCH(Table_LLDTrackingSummary[[#This Row],[LatestLLD_ID]],Table_LLDTrackingSheet[LLD_ID],0))</f>
        <v>-</v>
      </c>
      <c r="I101" s="60" t="str">
        <f>IFERROR(Table_LLDTrackingSummary[[#This Row],[LatestLLDIterationEndDate]]-Table_LLDTrackingSummary[[#This Row],[SiteDesignStarted_AC]],"-")</f>
        <v>-</v>
      </c>
    </row>
    <row r="102" spans="1:9" x14ac:dyDescent="0.3">
      <c r="A102" s="79" t="s">
        <v>159</v>
      </c>
      <c r="B102" s="79" t="s">
        <v>35</v>
      </c>
      <c r="C102" s="79" t="s">
        <v>49</v>
      </c>
      <c r="D102" s="79" t="s">
        <v>53</v>
      </c>
      <c r="E102" s="63">
        <f>INDEX(Table_SiteMilestoneTracking[SiteDesignStarted_AC],MATCH(Table_LLDTrackingSummary[[#This Row],[SiteID]],Table_SiteMilestoneTracking[SiteID],0))</f>
        <v>0</v>
      </c>
      <c r="F102" s="60">
        <f>COUNTIF(Table_LLDTrackingSheet[SiteID],Table_LLDTrackingSummary[[#This Row],[SiteID]])</f>
        <v>1</v>
      </c>
      <c r="G102" s="60" t="str">
        <f>Table_LLDTrackingSummary[[#This Row],[SiteID]]&amp;"_"&amp;Table_LLDTrackingSummary[[#This Row],[SumLLDIterations]]</f>
        <v>AM00004_1</v>
      </c>
      <c r="H102" s="63" t="str">
        <f>INDEX(Table_LLDTrackingSheet[LLDIterationEndDate],MATCH(Table_LLDTrackingSummary[[#This Row],[LatestLLD_ID]],Table_LLDTrackingSheet[LLD_ID],0))</f>
        <v>-</v>
      </c>
      <c r="I102" s="60" t="str">
        <f>IFERROR(Table_LLDTrackingSummary[[#This Row],[LatestLLDIterationEndDate]]-Table_LLDTrackingSummary[[#This Row],[SiteDesignStarted_AC]],"-")</f>
        <v>-</v>
      </c>
    </row>
    <row r="103" spans="1:9" x14ac:dyDescent="0.3">
      <c r="A103" s="79" t="s">
        <v>160</v>
      </c>
      <c r="B103" s="79" t="s">
        <v>36</v>
      </c>
      <c r="C103" s="79" t="s">
        <v>50</v>
      </c>
      <c r="D103" s="79" t="s">
        <v>51</v>
      </c>
      <c r="E103" s="63">
        <f>INDEX(Table_SiteMilestoneTracking[SiteDesignStarted_AC],MATCH(Table_LLDTrackingSummary[[#This Row],[SiteID]],Table_SiteMilestoneTracking[SiteID],0))</f>
        <v>0</v>
      </c>
      <c r="F103" s="60">
        <f>COUNTIF(Table_LLDTrackingSheet[SiteID],Table_LLDTrackingSummary[[#This Row],[SiteID]])</f>
        <v>1</v>
      </c>
      <c r="G103" s="60" t="str">
        <f>Table_LLDTrackingSummary[[#This Row],[SiteID]]&amp;"_"&amp;Table_LLDTrackingSummary[[#This Row],[SumLLDIterations]]</f>
        <v>AM00226_1</v>
      </c>
      <c r="H103" s="63" t="str">
        <f>INDEX(Table_LLDTrackingSheet[LLDIterationEndDate],MATCH(Table_LLDTrackingSummary[[#This Row],[LatestLLD_ID]],Table_LLDTrackingSheet[LLD_ID],0))</f>
        <v>-</v>
      </c>
      <c r="I103" s="60" t="str">
        <f>IFERROR(Table_LLDTrackingSummary[[#This Row],[LatestLLDIterationEndDate]]-Table_LLDTrackingSummary[[#This Row],[SiteDesignStarted_AC]],"-")</f>
        <v>-</v>
      </c>
    </row>
    <row r="104" spans="1:9" x14ac:dyDescent="0.3">
      <c r="A104" s="79" t="s">
        <v>161</v>
      </c>
      <c r="B104" s="79" t="s">
        <v>36</v>
      </c>
      <c r="C104" s="79" t="s">
        <v>45</v>
      </c>
      <c r="D104" s="79" t="s">
        <v>52</v>
      </c>
      <c r="E104" s="63">
        <f>INDEX(Table_SiteMilestoneTracking[SiteDesignStarted_AC],MATCH(Table_LLDTrackingSummary[[#This Row],[SiteID]],Table_SiteMilestoneTracking[SiteID],0))</f>
        <v>0</v>
      </c>
      <c r="F104" s="60">
        <f>COUNTIF(Table_LLDTrackingSheet[SiteID],Table_LLDTrackingSummary[[#This Row],[SiteID]])</f>
        <v>1</v>
      </c>
      <c r="G104" s="60" t="str">
        <f>Table_LLDTrackingSummary[[#This Row],[SiteID]]&amp;"_"&amp;Table_LLDTrackingSummary[[#This Row],[SumLLDIterations]]</f>
        <v>AP00017_1</v>
      </c>
      <c r="H104" s="63" t="str">
        <f>INDEX(Table_LLDTrackingSheet[LLDIterationEndDate],MATCH(Table_LLDTrackingSummary[[#This Row],[LatestLLD_ID]],Table_LLDTrackingSheet[LLD_ID],0))</f>
        <v>-</v>
      </c>
      <c r="I104" s="60" t="str">
        <f>IFERROR(Table_LLDTrackingSummary[[#This Row],[LatestLLDIterationEndDate]]-Table_LLDTrackingSummary[[#This Row],[SiteDesignStarted_AC]],"-")</f>
        <v>-</v>
      </c>
    </row>
    <row r="105" spans="1:9" s="136" customFormat="1" x14ac:dyDescent="0.3"/>
    <row r="106" spans="1:9" s="136" customFormat="1" x14ac:dyDescent="0.3"/>
    <row r="107" spans="1:9" s="136" customFormat="1" x14ac:dyDescent="0.3"/>
    <row r="108" spans="1:9" s="136" customFormat="1" x14ac:dyDescent="0.3"/>
    <row r="109" spans="1:9" s="136" customFormat="1" x14ac:dyDescent="0.3"/>
    <row r="110" spans="1:9" s="136" customFormat="1" x14ac:dyDescent="0.3"/>
    <row r="111" spans="1:9" s="136" customFormat="1" x14ac:dyDescent="0.3"/>
    <row r="112" spans="1:9" s="136" customFormat="1" x14ac:dyDescent="0.3"/>
    <row r="113" s="136" customFormat="1" x14ac:dyDescent="0.3"/>
    <row r="114" s="136" customFormat="1" x14ac:dyDescent="0.3"/>
    <row r="115" s="136" customFormat="1" x14ac:dyDescent="0.3"/>
    <row r="116" s="136" customFormat="1" x14ac:dyDescent="0.3"/>
    <row r="117" s="136" customFormat="1" x14ac:dyDescent="0.3"/>
    <row r="118" s="136" customFormat="1" x14ac:dyDescent="0.3"/>
    <row r="119" s="136" customFormat="1" x14ac:dyDescent="0.3"/>
    <row r="120" s="136" customFormat="1" x14ac:dyDescent="0.3"/>
    <row r="121" s="136" customFormat="1" x14ac:dyDescent="0.3"/>
    <row r="122" s="136" customFormat="1" x14ac:dyDescent="0.3"/>
    <row r="123" s="136" customFormat="1" x14ac:dyDescent="0.3"/>
    <row r="124" s="136" customFormat="1" x14ac:dyDescent="0.3"/>
    <row r="125" s="136" customFormat="1" x14ac:dyDescent="0.3"/>
    <row r="126" s="136" customFormat="1" x14ac:dyDescent="0.3"/>
    <row r="127" s="136" customFormat="1" x14ac:dyDescent="0.3"/>
    <row r="128" s="136" customFormat="1" x14ac:dyDescent="0.3"/>
    <row r="129" s="136" customFormat="1" x14ac:dyDescent="0.3"/>
    <row r="130" s="136" customFormat="1" x14ac:dyDescent="0.3"/>
    <row r="131" s="136" customFormat="1" x14ac:dyDescent="0.3"/>
    <row r="132" s="136" customFormat="1" x14ac:dyDescent="0.3"/>
    <row r="133" s="136" customFormat="1" x14ac:dyDescent="0.3"/>
    <row r="134" s="136" customFormat="1" x14ac:dyDescent="0.3"/>
    <row r="135" s="136" customFormat="1" x14ac:dyDescent="0.3"/>
    <row r="136" s="136" customFormat="1" x14ac:dyDescent="0.3"/>
    <row r="137" s="136" customFormat="1" x14ac:dyDescent="0.3"/>
    <row r="138" s="136" customFormat="1" x14ac:dyDescent="0.3"/>
    <row r="139" s="136" customFormat="1" x14ac:dyDescent="0.3"/>
    <row r="140" s="136" customFormat="1" x14ac:dyDescent="0.3"/>
    <row r="141" s="136" customFormat="1" x14ac:dyDescent="0.3"/>
    <row r="142" s="136" customFormat="1" x14ac:dyDescent="0.3"/>
    <row r="143" s="136" customFormat="1" x14ac:dyDescent="0.3"/>
    <row r="144" s="136" customFormat="1" x14ac:dyDescent="0.3"/>
    <row r="145" s="136" customFormat="1" x14ac:dyDescent="0.3"/>
    <row r="146" s="136" customFormat="1" x14ac:dyDescent="0.3"/>
    <row r="147" s="136" customFormat="1" x14ac:dyDescent="0.3"/>
    <row r="148" s="136" customFormat="1" x14ac:dyDescent="0.3"/>
    <row r="149" s="136" customFormat="1" x14ac:dyDescent="0.3"/>
    <row r="150" s="136" customFormat="1" x14ac:dyDescent="0.3"/>
    <row r="151" s="136" customFormat="1" x14ac:dyDescent="0.3"/>
    <row r="152" s="136" customFormat="1" x14ac:dyDescent="0.3"/>
    <row r="153" s="136" customFormat="1" x14ac:dyDescent="0.3"/>
    <row r="154" s="136" customFormat="1" x14ac:dyDescent="0.3"/>
    <row r="155" s="136" customFormat="1" x14ac:dyDescent="0.3"/>
    <row r="156" s="136" customFormat="1" x14ac:dyDescent="0.3"/>
    <row r="157" s="136" customFormat="1" x14ac:dyDescent="0.3"/>
    <row r="158" s="136" customFormat="1" x14ac:dyDescent="0.3"/>
    <row r="159" s="136" customFormat="1" x14ac:dyDescent="0.3"/>
    <row r="160" s="136" customFormat="1" x14ac:dyDescent="0.3"/>
    <row r="161" s="136" customFormat="1" x14ac:dyDescent="0.3"/>
    <row r="162" s="136" customFormat="1" x14ac:dyDescent="0.3"/>
    <row r="163" s="136" customFormat="1" x14ac:dyDescent="0.3"/>
    <row r="164" s="136" customFormat="1" x14ac:dyDescent="0.3"/>
    <row r="165" s="136" customFormat="1" x14ac:dyDescent="0.3"/>
    <row r="166" s="136" customFormat="1" x14ac:dyDescent="0.3"/>
    <row r="167" s="136" customFormat="1" x14ac:dyDescent="0.3"/>
    <row r="168" s="136" customFormat="1" x14ac:dyDescent="0.3"/>
    <row r="169" s="136" customFormat="1" x14ac:dyDescent="0.3"/>
    <row r="170" s="136" customFormat="1" x14ac:dyDescent="0.3"/>
    <row r="171" s="136" customFormat="1" x14ac:dyDescent="0.3"/>
    <row r="172" s="136" customFormat="1" x14ac:dyDescent="0.3"/>
    <row r="173" s="136" customFormat="1" x14ac:dyDescent="0.3"/>
    <row r="174" s="136" customFormat="1" x14ac:dyDescent="0.3"/>
    <row r="175" s="136" customFormat="1" x14ac:dyDescent="0.3"/>
    <row r="176" s="136" customFormat="1" x14ac:dyDescent="0.3"/>
    <row r="177" s="136" customFormat="1" x14ac:dyDescent="0.3"/>
    <row r="178" s="136" customFormat="1" x14ac:dyDescent="0.3"/>
    <row r="179" s="136" customFormat="1" x14ac:dyDescent="0.3"/>
    <row r="180" s="136" customFormat="1" x14ac:dyDescent="0.3"/>
    <row r="181" s="136" customFormat="1" x14ac:dyDescent="0.3"/>
    <row r="182" s="136" customFormat="1" x14ac:dyDescent="0.3"/>
    <row r="183" s="136" customFormat="1" x14ac:dyDescent="0.3"/>
    <row r="184" s="136" customFormat="1" x14ac:dyDescent="0.3"/>
    <row r="185" s="136" customFormat="1" x14ac:dyDescent="0.3"/>
    <row r="186" s="136" customFormat="1" x14ac:dyDescent="0.3"/>
    <row r="187" s="136" customFormat="1" x14ac:dyDescent="0.3"/>
    <row r="188" s="136" customFormat="1" x14ac:dyDescent="0.3"/>
    <row r="189" s="136" customFormat="1" x14ac:dyDescent="0.3"/>
    <row r="190" s="136" customFormat="1" x14ac:dyDescent="0.3"/>
    <row r="191" s="136" customFormat="1" x14ac:dyDescent="0.3"/>
    <row r="192" s="136" customFormat="1" x14ac:dyDescent="0.3"/>
    <row r="193" s="136" customFormat="1" x14ac:dyDescent="0.3"/>
    <row r="194" s="136" customFormat="1" x14ac:dyDescent="0.3"/>
    <row r="195" s="136" customFormat="1" x14ac:dyDescent="0.3"/>
    <row r="196" s="136" customFormat="1" x14ac:dyDescent="0.3"/>
    <row r="197" s="136" customFormat="1" x14ac:dyDescent="0.3"/>
    <row r="198" s="136" customFormat="1" x14ac:dyDescent="0.3"/>
    <row r="199" s="136" customFormat="1" x14ac:dyDescent="0.3"/>
    <row r="200" s="136" customFormat="1" x14ac:dyDescent="0.3"/>
    <row r="201" s="136" customFormat="1" x14ac:dyDescent="0.3"/>
    <row r="202" s="136" customFormat="1" x14ac:dyDescent="0.3"/>
    <row r="203" s="136" customFormat="1" x14ac:dyDescent="0.3"/>
    <row r="204" s="136" customFormat="1" x14ac:dyDescent="0.3"/>
    <row r="205" s="136" customFormat="1" x14ac:dyDescent="0.3"/>
    <row r="206" s="136" customFormat="1" x14ac:dyDescent="0.3"/>
    <row r="207" s="136" customFormat="1" x14ac:dyDescent="0.3"/>
    <row r="208" s="136" customFormat="1" x14ac:dyDescent="0.3"/>
    <row r="209" s="136" customFormat="1" x14ac:dyDescent="0.3"/>
    <row r="210" s="136" customFormat="1" x14ac:dyDescent="0.3"/>
    <row r="211" s="136" customFormat="1" x14ac:dyDescent="0.3"/>
    <row r="212" s="136" customFormat="1" x14ac:dyDescent="0.3"/>
    <row r="213" s="136" customFormat="1" x14ac:dyDescent="0.3"/>
    <row r="214" s="136" customFormat="1" x14ac:dyDescent="0.3"/>
    <row r="215" s="136" customFormat="1" x14ac:dyDescent="0.3"/>
    <row r="216" s="136" customFormat="1" x14ac:dyDescent="0.3"/>
    <row r="217" s="136" customFormat="1" x14ac:dyDescent="0.3"/>
    <row r="218" s="136" customFormat="1" x14ac:dyDescent="0.3"/>
    <row r="219" s="136" customFormat="1" x14ac:dyDescent="0.3"/>
    <row r="220" s="136" customFormat="1" x14ac:dyDescent="0.3"/>
    <row r="221" s="136" customFormat="1" x14ac:dyDescent="0.3"/>
    <row r="222" s="136" customFormat="1" x14ac:dyDescent="0.3"/>
    <row r="223" s="136" customFormat="1" x14ac:dyDescent="0.3"/>
    <row r="224" s="136" customFormat="1" x14ac:dyDescent="0.3"/>
    <row r="225" s="136" customFormat="1" x14ac:dyDescent="0.3"/>
    <row r="226" s="136" customFormat="1" x14ac:dyDescent="0.3"/>
    <row r="227" s="136" customFormat="1" x14ac:dyDescent="0.3"/>
    <row r="228" s="136" customFormat="1" x14ac:dyDescent="0.3"/>
    <row r="229" s="136" customFormat="1" x14ac:dyDescent="0.3"/>
    <row r="230" s="136" customFormat="1" x14ac:dyDescent="0.3"/>
    <row r="231" s="136" customFormat="1" x14ac:dyDescent="0.3"/>
    <row r="232" s="136" customFormat="1" x14ac:dyDescent="0.3"/>
    <row r="233" s="136" customFormat="1" x14ac:dyDescent="0.3"/>
    <row r="234" s="136" customFormat="1" x14ac:dyDescent="0.3"/>
    <row r="235" s="136" customFormat="1" x14ac:dyDescent="0.3"/>
    <row r="236" s="136" customFormat="1" x14ac:dyDescent="0.3"/>
    <row r="237" s="136" customFormat="1" x14ac:dyDescent="0.3"/>
    <row r="238" s="136" customFormat="1" x14ac:dyDescent="0.3"/>
    <row r="239" s="136" customFormat="1" x14ac:dyDescent="0.3"/>
    <row r="240" s="136" customFormat="1" x14ac:dyDescent="0.3"/>
    <row r="241" s="136" customFormat="1" x14ac:dyDescent="0.3"/>
    <row r="242" s="136" customFormat="1" x14ac:dyDescent="0.3"/>
    <row r="243" s="136" customFormat="1" x14ac:dyDescent="0.3"/>
    <row r="244" s="136" customFormat="1" x14ac:dyDescent="0.3"/>
    <row r="245" s="136" customFormat="1" x14ac:dyDescent="0.3"/>
    <row r="246" s="136" customFormat="1" x14ac:dyDescent="0.3"/>
    <row r="247" s="136" customFormat="1" x14ac:dyDescent="0.3"/>
    <row r="248" s="136" customFormat="1" x14ac:dyDescent="0.3"/>
    <row r="249" s="136" customFormat="1" x14ac:dyDescent="0.3"/>
    <row r="250" s="136" customFormat="1" x14ac:dyDescent="0.3"/>
    <row r="251" s="136" customFormat="1" x14ac:dyDescent="0.3"/>
    <row r="252" s="136" customFormat="1" x14ac:dyDescent="0.3"/>
    <row r="253" s="136" customFormat="1" x14ac:dyDescent="0.3"/>
    <row r="254" s="136" customFormat="1" x14ac:dyDescent="0.3"/>
    <row r="255" s="136" customFormat="1" x14ac:dyDescent="0.3"/>
    <row r="256" s="136" customFormat="1" x14ac:dyDescent="0.3"/>
    <row r="257" s="136" customFormat="1" x14ac:dyDescent="0.3"/>
    <row r="258" s="136" customFormat="1" x14ac:dyDescent="0.3"/>
    <row r="259" s="136" customFormat="1" x14ac:dyDescent="0.3"/>
    <row r="260" s="136" customFormat="1" x14ac:dyDescent="0.3"/>
    <row r="261" s="136" customFormat="1" x14ac:dyDescent="0.3"/>
    <row r="262" s="136" customFormat="1" x14ac:dyDescent="0.3"/>
    <row r="263" s="136" customFormat="1" x14ac:dyDescent="0.3"/>
    <row r="264" s="136" customFormat="1" x14ac:dyDescent="0.3"/>
    <row r="265" s="136" customFormat="1" x14ac:dyDescent="0.3"/>
    <row r="266" s="136" customFormat="1" x14ac:dyDescent="0.3"/>
    <row r="267" s="136" customFormat="1" x14ac:dyDescent="0.3"/>
    <row r="268" s="136" customFormat="1" x14ac:dyDescent="0.3"/>
    <row r="269" s="136" customFormat="1" x14ac:dyDescent="0.3"/>
    <row r="270" s="136" customFormat="1" x14ac:dyDescent="0.3"/>
    <row r="271" s="136" customFormat="1" x14ac:dyDescent="0.3"/>
    <row r="272" s="136" customFormat="1" x14ac:dyDescent="0.3"/>
    <row r="273" s="136" customFormat="1" x14ac:dyDescent="0.3"/>
    <row r="274" s="136" customFormat="1" x14ac:dyDescent="0.3"/>
    <row r="275" s="136" customFormat="1" x14ac:dyDescent="0.3"/>
    <row r="276" s="136" customFormat="1" x14ac:dyDescent="0.3"/>
    <row r="277" s="136" customFormat="1" x14ac:dyDescent="0.3"/>
    <row r="278" s="136" customFormat="1" x14ac:dyDescent="0.3"/>
    <row r="279" s="136" customFormat="1" x14ac:dyDescent="0.3"/>
    <row r="280" s="136" customFormat="1" x14ac:dyDescent="0.3"/>
    <row r="281" s="136" customFormat="1" x14ac:dyDescent="0.3"/>
    <row r="282" s="136" customFormat="1" x14ac:dyDescent="0.3"/>
    <row r="283" s="136" customFormat="1" x14ac:dyDescent="0.3"/>
    <row r="284" s="136" customFormat="1" x14ac:dyDescent="0.3"/>
    <row r="285" s="136" customFormat="1" x14ac:dyDescent="0.3"/>
    <row r="286" s="136" customFormat="1" x14ac:dyDescent="0.3"/>
    <row r="287" s="136" customFormat="1" x14ac:dyDescent="0.3"/>
    <row r="288" s="136" customFormat="1" x14ac:dyDescent="0.3"/>
    <row r="289" s="136" customFormat="1" x14ac:dyDescent="0.3"/>
    <row r="290" s="136" customFormat="1" x14ac:dyDescent="0.3"/>
    <row r="291" s="136" customFormat="1" x14ac:dyDescent="0.3"/>
    <row r="292" s="136" customFormat="1" x14ac:dyDescent="0.3"/>
    <row r="293" s="136" customFormat="1" x14ac:dyDescent="0.3"/>
    <row r="294" s="136" customFormat="1" x14ac:dyDescent="0.3"/>
    <row r="295" s="136" customFormat="1" x14ac:dyDescent="0.3"/>
    <row r="296" s="136" customFormat="1" x14ac:dyDescent="0.3"/>
    <row r="297" s="136" customFormat="1" x14ac:dyDescent="0.3"/>
    <row r="298" s="136" customFormat="1" x14ac:dyDescent="0.3"/>
    <row r="299" s="136" customFormat="1" x14ac:dyDescent="0.3"/>
    <row r="300" s="136" customFormat="1" x14ac:dyDescent="0.3"/>
    <row r="301" s="136" customFormat="1" x14ac:dyDescent="0.3"/>
    <row r="302" s="136" customFormat="1" x14ac:dyDescent="0.3"/>
    <row r="303" s="136" customFormat="1" x14ac:dyDescent="0.3"/>
    <row r="304" s="136" customFormat="1" x14ac:dyDescent="0.3"/>
    <row r="305" s="136" customFormat="1" x14ac:dyDescent="0.3"/>
    <row r="306" s="136" customFormat="1" x14ac:dyDescent="0.3"/>
    <row r="307" s="136" customFormat="1" x14ac:dyDescent="0.3"/>
    <row r="308" s="136" customFormat="1" x14ac:dyDescent="0.3"/>
    <row r="309" s="136" customFormat="1" x14ac:dyDescent="0.3"/>
    <row r="310" s="136" customFormat="1" x14ac:dyDescent="0.3"/>
    <row r="311" s="136" customFormat="1" x14ac:dyDescent="0.3"/>
    <row r="312" s="136" customFormat="1" x14ac:dyDescent="0.3"/>
    <row r="313" s="136" customFormat="1" x14ac:dyDescent="0.3"/>
    <row r="314" s="136" customFormat="1" x14ac:dyDescent="0.3"/>
    <row r="315" s="136" customFormat="1" x14ac:dyDescent="0.3"/>
    <row r="316" s="136" customFormat="1" x14ac:dyDescent="0.3"/>
    <row r="317" s="136" customFormat="1" x14ac:dyDescent="0.3"/>
    <row r="318" s="136" customFormat="1" x14ac:dyDescent="0.3"/>
    <row r="319" s="136" customFormat="1" x14ac:dyDescent="0.3"/>
    <row r="320" s="136" customFormat="1" x14ac:dyDescent="0.3"/>
    <row r="321" s="136" customFormat="1" x14ac:dyDescent="0.3"/>
    <row r="322" s="136" customFormat="1" x14ac:dyDescent="0.3"/>
    <row r="323" s="136" customFormat="1" x14ac:dyDescent="0.3"/>
    <row r="324" s="136" customFormat="1" x14ac:dyDescent="0.3"/>
    <row r="325" s="136" customFormat="1" x14ac:dyDescent="0.3"/>
    <row r="326" s="136" customFormat="1" x14ac:dyDescent="0.3"/>
    <row r="327" s="136" customFormat="1" x14ac:dyDescent="0.3"/>
    <row r="328" s="136" customFormat="1" x14ac:dyDescent="0.3"/>
    <row r="329" s="136" customFormat="1" x14ac:dyDescent="0.3"/>
    <row r="330" s="136" customFormat="1" x14ac:dyDescent="0.3"/>
    <row r="331" s="136" customFormat="1" x14ac:dyDescent="0.3"/>
    <row r="332" s="136" customFormat="1" x14ac:dyDescent="0.3"/>
    <row r="333" s="136" customFormat="1" x14ac:dyDescent="0.3"/>
    <row r="334" s="136" customFormat="1" x14ac:dyDescent="0.3"/>
    <row r="335" s="136" customFormat="1" x14ac:dyDescent="0.3"/>
    <row r="336" s="136" customFormat="1" x14ac:dyDescent="0.3"/>
    <row r="337" s="136" customFormat="1" x14ac:dyDescent="0.3"/>
    <row r="338" s="136" customFormat="1" x14ac:dyDescent="0.3"/>
    <row r="339" s="136" customFormat="1" x14ac:dyDescent="0.3"/>
    <row r="340" s="136" customFormat="1" x14ac:dyDescent="0.3"/>
    <row r="341" s="136" customFormat="1" x14ac:dyDescent="0.3"/>
    <row r="342" s="136" customFormat="1" x14ac:dyDescent="0.3"/>
    <row r="343" s="136" customFormat="1" x14ac:dyDescent="0.3"/>
    <row r="344" s="136" customFormat="1" x14ac:dyDescent="0.3"/>
    <row r="345" s="136" customFormat="1" x14ac:dyDescent="0.3"/>
    <row r="346" s="136" customFormat="1" x14ac:dyDescent="0.3"/>
    <row r="347" s="136" customFormat="1" x14ac:dyDescent="0.3"/>
    <row r="348" s="136" customFormat="1" x14ac:dyDescent="0.3"/>
    <row r="349" s="136" customFormat="1" x14ac:dyDescent="0.3"/>
    <row r="350" s="136" customFormat="1" x14ac:dyDescent="0.3"/>
    <row r="351" s="136" customFormat="1" x14ac:dyDescent="0.3"/>
    <row r="352" s="136" customFormat="1" x14ac:dyDescent="0.3"/>
    <row r="353" s="136" customFormat="1" x14ac:dyDescent="0.3"/>
    <row r="354" s="136" customFormat="1" x14ac:dyDescent="0.3"/>
    <row r="355" s="136" customFormat="1" x14ac:dyDescent="0.3"/>
    <row r="356" s="136" customFormat="1" x14ac:dyDescent="0.3"/>
    <row r="357" s="136" customFormat="1" x14ac:dyDescent="0.3"/>
    <row r="358" s="136" customFormat="1" x14ac:dyDescent="0.3"/>
    <row r="359" s="136" customFormat="1" x14ac:dyDescent="0.3"/>
    <row r="360" s="136" customFormat="1" x14ac:dyDescent="0.3"/>
    <row r="361" s="136" customFormat="1" x14ac:dyDescent="0.3"/>
    <row r="362" s="136" customFormat="1" x14ac:dyDescent="0.3"/>
    <row r="363" s="136" customFormat="1" x14ac:dyDescent="0.3"/>
    <row r="364" s="136" customFormat="1" x14ac:dyDescent="0.3"/>
    <row r="365" s="136" customFormat="1" x14ac:dyDescent="0.3"/>
    <row r="366" s="136" customFormat="1" x14ac:dyDescent="0.3"/>
    <row r="367" s="136" customFormat="1" x14ac:dyDescent="0.3"/>
    <row r="368" s="136" customFormat="1" x14ac:dyDescent="0.3"/>
    <row r="369" s="136" customFormat="1" x14ac:dyDescent="0.3"/>
    <row r="370" s="136" customFormat="1" x14ac:dyDescent="0.3"/>
    <row r="371" s="136" customFormat="1" x14ac:dyDescent="0.3"/>
    <row r="372" s="136" customFormat="1" x14ac:dyDescent="0.3"/>
    <row r="373" s="136" customFormat="1" x14ac:dyDescent="0.3"/>
    <row r="374" s="136" customFormat="1" x14ac:dyDescent="0.3"/>
    <row r="375" s="136" customFormat="1" x14ac:dyDescent="0.3"/>
    <row r="376" s="136" customFormat="1" x14ac:dyDescent="0.3"/>
    <row r="377" s="136" customFormat="1" x14ac:dyDescent="0.3"/>
    <row r="378" s="136" customFormat="1" x14ac:dyDescent="0.3"/>
    <row r="379" s="136" customFormat="1" x14ac:dyDescent="0.3"/>
    <row r="380" s="136" customFormat="1" x14ac:dyDescent="0.3"/>
    <row r="381" s="136" customFormat="1" x14ac:dyDescent="0.3"/>
    <row r="382" s="136" customFormat="1" x14ac:dyDescent="0.3"/>
    <row r="383" s="136" customFormat="1" x14ac:dyDescent="0.3"/>
    <row r="384" s="136" customFormat="1" x14ac:dyDescent="0.3"/>
    <row r="385" s="136" customFormat="1" x14ac:dyDescent="0.3"/>
    <row r="386" s="136" customFormat="1" x14ac:dyDescent="0.3"/>
    <row r="387" s="136" customFormat="1" x14ac:dyDescent="0.3"/>
    <row r="388" s="136" customFormat="1" x14ac:dyDescent="0.3"/>
    <row r="389" s="136" customFormat="1" x14ac:dyDescent="0.3"/>
    <row r="390" s="136" customFormat="1" x14ac:dyDescent="0.3"/>
    <row r="391" s="136" customFormat="1" x14ac:dyDescent="0.3"/>
    <row r="392" s="136" customFormat="1" x14ac:dyDescent="0.3"/>
    <row r="393" s="136" customFormat="1" x14ac:dyDescent="0.3"/>
    <row r="394" s="136" customFormat="1" x14ac:dyDescent="0.3"/>
    <row r="395" s="136" customFormat="1" x14ac:dyDescent="0.3"/>
    <row r="396" s="136" customFormat="1" x14ac:dyDescent="0.3"/>
    <row r="397" s="136" customFormat="1" x14ac:dyDescent="0.3"/>
    <row r="398" s="136" customFormat="1" x14ac:dyDescent="0.3"/>
    <row r="399" s="136" customFormat="1" x14ac:dyDescent="0.3"/>
    <row r="400" s="136" customFormat="1" x14ac:dyDescent="0.3"/>
    <row r="401" s="136" customFormat="1" x14ac:dyDescent="0.3"/>
    <row r="402" s="136" customFormat="1" x14ac:dyDescent="0.3"/>
    <row r="403" s="136" customFormat="1" x14ac:dyDescent="0.3"/>
    <row r="404" s="136" customFormat="1" x14ac:dyDescent="0.3"/>
    <row r="405" s="136" customFormat="1" x14ac:dyDescent="0.3"/>
    <row r="406" s="136" customFormat="1" x14ac:dyDescent="0.3"/>
    <row r="407" s="136" customFormat="1" x14ac:dyDescent="0.3"/>
    <row r="408" s="136" customFormat="1" x14ac:dyDescent="0.3"/>
    <row r="409" s="136" customFormat="1" x14ac:dyDescent="0.3"/>
    <row r="410" s="136" customFormat="1" x14ac:dyDescent="0.3"/>
    <row r="411" s="136" customFormat="1" x14ac:dyDescent="0.3"/>
    <row r="412" s="136" customFormat="1" x14ac:dyDescent="0.3"/>
    <row r="413" s="136" customFormat="1" x14ac:dyDescent="0.3"/>
    <row r="414" s="136" customFormat="1" x14ac:dyDescent="0.3"/>
    <row r="415" s="136" customFormat="1" x14ac:dyDescent="0.3"/>
    <row r="416" s="136" customFormat="1" x14ac:dyDescent="0.3"/>
    <row r="417" s="136" customFormat="1" x14ac:dyDescent="0.3"/>
    <row r="418" s="136" customFormat="1" x14ac:dyDescent="0.3"/>
    <row r="419" s="136" customFormat="1" x14ac:dyDescent="0.3"/>
    <row r="420" s="136" customFormat="1" x14ac:dyDescent="0.3"/>
    <row r="421" s="136" customFormat="1" x14ac:dyDescent="0.3"/>
    <row r="422" s="136" customFormat="1" x14ac:dyDescent="0.3"/>
    <row r="423" s="136" customFormat="1" x14ac:dyDescent="0.3"/>
    <row r="424" s="136" customFormat="1" x14ac:dyDescent="0.3"/>
    <row r="425" s="136" customFormat="1" x14ac:dyDescent="0.3"/>
    <row r="426" s="136" customFormat="1" x14ac:dyDescent="0.3"/>
    <row r="427" s="136" customFormat="1" x14ac:dyDescent="0.3"/>
    <row r="428" s="136" customFormat="1" x14ac:dyDescent="0.3"/>
    <row r="429" s="136" customFormat="1" x14ac:dyDescent="0.3"/>
    <row r="430" s="136" customFormat="1" x14ac:dyDescent="0.3"/>
    <row r="431" s="136" customFormat="1" x14ac:dyDescent="0.3"/>
    <row r="432" s="136" customFormat="1" x14ac:dyDescent="0.3"/>
    <row r="433" s="136" customFormat="1" x14ac:dyDescent="0.3"/>
    <row r="434" s="136" customFormat="1" x14ac:dyDescent="0.3"/>
    <row r="435" s="136" customFormat="1" x14ac:dyDescent="0.3"/>
    <row r="436" s="136" customFormat="1" x14ac:dyDescent="0.3"/>
    <row r="437" s="136" customFormat="1" x14ac:dyDescent="0.3"/>
    <row r="438" s="136" customFormat="1" x14ac:dyDescent="0.3"/>
    <row r="439" s="136" customFormat="1" x14ac:dyDescent="0.3"/>
    <row r="440" s="136" customFormat="1" x14ac:dyDescent="0.3"/>
    <row r="441" s="136" customFormat="1" x14ac:dyDescent="0.3"/>
    <row r="442" s="136" customFormat="1" x14ac:dyDescent="0.3"/>
    <row r="443" s="136" customFormat="1" x14ac:dyDescent="0.3"/>
    <row r="444" s="136" customFormat="1" x14ac:dyDescent="0.3"/>
    <row r="445" s="136" customFormat="1" x14ac:dyDescent="0.3"/>
    <row r="446" s="136" customFormat="1" x14ac:dyDescent="0.3"/>
    <row r="447" s="136" customFormat="1" x14ac:dyDescent="0.3"/>
    <row r="448" s="136" customFormat="1" x14ac:dyDescent="0.3"/>
    <row r="449" s="136" customFormat="1" x14ac:dyDescent="0.3"/>
    <row r="450" s="136" customFormat="1" x14ac:dyDescent="0.3"/>
    <row r="451" s="136" customFormat="1" x14ac:dyDescent="0.3"/>
    <row r="452" s="136" customFormat="1" x14ac:dyDescent="0.3"/>
    <row r="453" s="136" customFormat="1" x14ac:dyDescent="0.3"/>
    <row r="454" s="136" customFormat="1" x14ac:dyDescent="0.3"/>
    <row r="455" s="136" customFormat="1" x14ac:dyDescent="0.3"/>
    <row r="456" s="136" customFormat="1" x14ac:dyDescent="0.3"/>
    <row r="457" s="136" customFormat="1" x14ac:dyDescent="0.3"/>
    <row r="458" s="136" customFormat="1" x14ac:dyDescent="0.3"/>
    <row r="459" s="136" customFormat="1" x14ac:dyDescent="0.3"/>
    <row r="460" s="136" customFormat="1" x14ac:dyDescent="0.3"/>
    <row r="461" s="136" customFormat="1" x14ac:dyDescent="0.3"/>
    <row r="462" s="136" customFormat="1" x14ac:dyDescent="0.3"/>
    <row r="463" s="136" customFormat="1" x14ac:dyDescent="0.3"/>
    <row r="464" s="136" customFormat="1" x14ac:dyDescent="0.3"/>
    <row r="465" s="136" customFormat="1" x14ac:dyDescent="0.3"/>
    <row r="466" s="136" customFormat="1" x14ac:dyDescent="0.3"/>
    <row r="467" s="136" customFormat="1" x14ac:dyDescent="0.3"/>
    <row r="468" s="136" customFormat="1" x14ac:dyDescent="0.3"/>
    <row r="469" s="136" customFormat="1" x14ac:dyDescent="0.3"/>
    <row r="470" s="136" customFormat="1" x14ac:dyDescent="0.3"/>
    <row r="471" s="136" customFormat="1" x14ac:dyDescent="0.3"/>
    <row r="472" s="136" customFormat="1" x14ac:dyDescent="0.3"/>
    <row r="473" s="136" customFormat="1" x14ac:dyDescent="0.3"/>
    <row r="474" s="136" customFormat="1" x14ac:dyDescent="0.3"/>
    <row r="475" s="136" customFormat="1" x14ac:dyDescent="0.3"/>
    <row r="476" s="136" customFormat="1" x14ac:dyDescent="0.3"/>
    <row r="477" s="136" customFormat="1" x14ac:dyDescent="0.3"/>
    <row r="478" s="136" customFormat="1" x14ac:dyDescent="0.3"/>
    <row r="479" s="136" customFormat="1" x14ac:dyDescent="0.3"/>
    <row r="480" s="136" customFormat="1" x14ac:dyDescent="0.3"/>
    <row r="481" s="136" customFormat="1" x14ac:dyDescent="0.3"/>
    <row r="482" s="136" customFormat="1" x14ac:dyDescent="0.3"/>
    <row r="483" s="136" customFormat="1" x14ac:dyDescent="0.3"/>
    <row r="484" s="136" customFormat="1" x14ac:dyDescent="0.3"/>
    <row r="485" s="136" customFormat="1" x14ac:dyDescent="0.3"/>
    <row r="486" s="136" customFormat="1" x14ac:dyDescent="0.3"/>
    <row r="487" s="136" customFormat="1" x14ac:dyDescent="0.3"/>
    <row r="488" s="136" customFormat="1" x14ac:dyDescent="0.3"/>
    <row r="489" s="136" customFormat="1" x14ac:dyDescent="0.3"/>
    <row r="490" s="136" customFormat="1" x14ac:dyDescent="0.3"/>
    <row r="491" s="136" customFormat="1" x14ac:dyDescent="0.3"/>
    <row r="492" s="136" customFormat="1" x14ac:dyDescent="0.3"/>
    <row r="493" s="136" customFormat="1" x14ac:dyDescent="0.3"/>
    <row r="494" s="136" customFormat="1" x14ac:dyDescent="0.3"/>
    <row r="495" s="136" customFormat="1" x14ac:dyDescent="0.3"/>
    <row r="496" s="136" customFormat="1" x14ac:dyDescent="0.3"/>
    <row r="497" s="136" customFormat="1" x14ac:dyDescent="0.3"/>
    <row r="498" s="136" customFormat="1" x14ac:dyDescent="0.3"/>
    <row r="499" s="136" customFormat="1" x14ac:dyDescent="0.3"/>
    <row r="500" s="136" customFormat="1" x14ac:dyDescent="0.3"/>
    <row r="501" s="136" customFormat="1" x14ac:dyDescent="0.3"/>
    <row r="502" s="136" customFormat="1" x14ac:dyDescent="0.3"/>
    <row r="503" s="136" customFormat="1" x14ac:dyDescent="0.3"/>
    <row r="504" s="136" customFormat="1" x14ac:dyDescent="0.3"/>
    <row r="505" s="136" customFormat="1" x14ac:dyDescent="0.3"/>
    <row r="506" s="136" customFormat="1" x14ac:dyDescent="0.3"/>
    <row r="507" s="136" customFormat="1" x14ac:dyDescent="0.3"/>
    <row r="508" s="136" customFormat="1" x14ac:dyDescent="0.3"/>
    <row r="509" s="136" customFormat="1" x14ac:dyDescent="0.3"/>
    <row r="510" s="136" customFormat="1" x14ac:dyDescent="0.3"/>
    <row r="511" s="136" customFormat="1" x14ac:dyDescent="0.3"/>
    <row r="512" s="136" customFormat="1" x14ac:dyDescent="0.3"/>
    <row r="513" s="136" customFormat="1" x14ac:dyDescent="0.3"/>
    <row r="514" s="136" customFormat="1" x14ac:dyDescent="0.3"/>
    <row r="515" s="136" customFormat="1" x14ac:dyDescent="0.3"/>
    <row r="516" s="136" customFormat="1" x14ac:dyDescent="0.3"/>
    <row r="517" s="136" customFormat="1" x14ac:dyDescent="0.3"/>
    <row r="518" s="136" customFormat="1" x14ac:dyDescent="0.3"/>
    <row r="519" s="136" customFormat="1" x14ac:dyDescent="0.3"/>
    <row r="520" s="136" customFormat="1" x14ac:dyDescent="0.3"/>
    <row r="521" s="136" customFormat="1" x14ac:dyDescent="0.3"/>
    <row r="522" s="136" customFormat="1" x14ac:dyDescent="0.3"/>
    <row r="523" s="136" customFormat="1" x14ac:dyDescent="0.3"/>
    <row r="524" s="136" customFormat="1" x14ac:dyDescent="0.3"/>
    <row r="525" s="136" customFormat="1" x14ac:dyDescent="0.3"/>
    <row r="526" s="136" customFormat="1" x14ac:dyDescent="0.3"/>
    <row r="527" s="136" customFormat="1" x14ac:dyDescent="0.3"/>
    <row r="528" s="136" customFormat="1" x14ac:dyDescent="0.3"/>
    <row r="529" s="136" customFormat="1" x14ac:dyDescent="0.3"/>
    <row r="530" s="136" customFormat="1" x14ac:dyDescent="0.3"/>
    <row r="531" s="136" customFormat="1" x14ac:dyDescent="0.3"/>
    <row r="532" s="136" customFormat="1" x14ac:dyDescent="0.3"/>
    <row r="533" s="136" customFormat="1" x14ac:dyDescent="0.3"/>
    <row r="534" s="136" customFormat="1" x14ac:dyDescent="0.3"/>
    <row r="535" s="136" customFormat="1" x14ac:dyDescent="0.3"/>
    <row r="536" s="136" customFormat="1" x14ac:dyDescent="0.3"/>
    <row r="537" s="136" customFormat="1" x14ac:dyDescent="0.3"/>
    <row r="538" s="136" customFormat="1" x14ac:dyDescent="0.3"/>
    <row r="539" s="136" customFormat="1" x14ac:dyDescent="0.3"/>
    <row r="540" s="136" customFormat="1" x14ac:dyDescent="0.3"/>
    <row r="541" s="136" customFormat="1" x14ac:dyDescent="0.3"/>
    <row r="542" s="136" customFormat="1" x14ac:dyDescent="0.3"/>
    <row r="543" s="136" customFormat="1" x14ac:dyDescent="0.3"/>
    <row r="544" s="136" customFormat="1" x14ac:dyDescent="0.3"/>
    <row r="545" s="136" customFormat="1" x14ac:dyDescent="0.3"/>
    <row r="546" s="136" customFormat="1" x14ac:dyDescent="0.3"/>
    <row r="547" s="136" customFormat="1" x14ac:dyDescent="0.3"/>
    <row r="548" s="136" customFormat="1" x14ac:dyDescent="0.3"/>
    <row r="549" s="136" customFormat="1" x14ac:dyDescent="0.3"/>
    <row r="550" s="136" customFormat="1" x14ac:dyDescent="0.3"/>
    <row r="551" s="136" customFormat="1" x14ac:dyDescent="0.3"/>
    <row r="552" s="136" customFormat="1" x14ac:dyDescent="0.3"/>
    <row r="553" s="136" customFormat="1" x14ac:dyDescent="0.3"/>
    <row r="554" s="136" customFormat="1" x14ac:dyDescent="0.3"/>
    <row r="555" s="136" customFormat="1" x14ac:dyDescent="0.3"/>
    <row r="556" s="136" customFormat="1" x14ac:dyDescent="0.3"/>
    <row r="557" s="136" customFormat="1" x14ac:dyDescent="0.3"/>
    <row r="558" s="136" customFormat="1" x14ac:dyDescent="0.3"/>
    <row r="559" s="136" customFormat="1" x14ac:dyDescent="0.3"/>
    <row r="560" s="136" customFormat="1" x14ac:dyDescent="0.3"/>
    <row r="561" s="136" customFormat="1" x14ac:dyDescent="0.3"/>
    <row r="562" s="136" customFormat="1" x14ac:dyDescent="0.3"/>
    <row r="563" s="136" customFormat="1" x14ac:dyDescent="0.3"/>
    <row r="564" s="136" customFormat="1" x14ac:dyDescent="0.3"/>
    <row r="565" s="136" customFormat="1" x14ac:dyDescent="0.3"/>
    <row r="566" s="136" customFormat="1" x14ac:dyDescent="0.3"/>
    <row r="567" s="136" customFormat="1" x14ac:dyDescent="0.3"/>
    <row r="568" s="136" customFormat="1" x14ac:dyDescent="0.3"/>
    <row r="569" s="136" customFormat="1" x14ac:dyDescent="0.3"/>
    <row r="570" s="136" customFormat="1" x14ac:dyDescent="0.3"/>
    <row r="571" s="136" customFormat="1" x14ac:dyDescent="0.3"/>
    <row r="572" s="136" customFormat="1" x14ac:dyDescent="0.3"/>
    <row r="573" s="136" customFormat="1" x14ac:dyDescent="0.3"/>
    <row r="574" s="136" customFormat="1" x14ac:dyDescent="0.3"/>
    <row r="575" s="136" customFormat="1" x14ac:dyDescent="0.3"/>
    <row r="576" s="136" customFormat="1" x14ac:dyDescent="0.3"/>
    <row r="577" s="136" customFormat="1" x14ac:dyDescent="0.3"/>
    <row r="578" s="136" customFormat="1" x14ac:dyDescent="0.3"/>
    <row r="579" s="136" customFormat="1" x14ac:dyDescent="0.3"/>
    <row r="580" s="136" customFormat="1" x14ac:dyDescent="0.3"/>
    <row r="581" s="136" customFormat="1" x14ac:dyDescent="0.3"/>
    <row r="582" s="136" customFormat="1" x14ac:dyDescent="0.3"/>
    <row r="583" s="136" customFormat="1" x14ac:dyDescent="0.3"/>
    <row r="584" s="136" customFormat="1" x14ac:dyDescent="0.3"/>
    <row r="585" s="136" customFormat="1" x14ac:dyDescent="0.3"/>
    <row r="586" s="136" customFormat="1" x14ac:dyDescent="0.3"/>
    <row r="587" s="136" customFormat="1" x14ac:dyDescent="0.3"/>
    <row r="588" s="136" customFormat="1" x14ac:dyDescent="0.3"/>
    <row r="589" s="136" customFormat="1" x14ac:dyDescent="0.3"/>
    <row r="590" s="136" customFormat="1" x14ac:dyDescent="0.3"/>
    <row r="591" s="136" customFormat="1" x14ac:dyDescent="0.3"/>
    <row r="592" s="136" customFormat="1" x14ac:dyDescent="0.3"/>
    <row r="593" s="136" customFormat="1" x14ac:dyDescent="0.3"/>
    <row r="594" s="136" customFormat="1" x14ac:dyDescent="0.3"/>
    <row r="595" s="136" customFormat="1" x14ac:dyDescent="0.3"/>
    <row r="596" s="136" customFormat="1" x14ac:dyDescent="0.3"/>
    <row r="597" s="136" customFormat="1" x14ac:dyDescent="0.3"/>
    <row r="598" s="136" customFormat="1" x14ac:dyDescent="0.3"/>
    <row r="599" s="136" customFormat="1" x14ac:dyDescent="0.3"/>
    <row r="600" s="136" customFormat="1" x14ac:dyDescent="0.3"/>
    <row r="601" s="136" customFormat="1" x14ac:dyDescent="0.3"/>
    <row r="602" s="136" customFormat="1" x14ac:dyDescent="0.3"/>
    <row r="603" s="136" customFormat="1" x14ac:dyDescent="0.3"/>
    <row r="604" s="136" customFormat="1" x14ac:dyDescent="0.3"/>
    <row r="605" s="136" customFormat="1" x14ac:dyDescent="0.3"/>
    <row r="606" s="136" customFormat="1" x14ac:dyDescent="0.3"/>
    <row r="607" s="136" customFormat="1" x14ac:dyDescent="0.3"/>
    <row r="608" s="136" customFormat="1" x14ac:dyDescent="0.3"/>
    <row r="609" s="136" customFormat="1" x14ac:dyDescent="0.3"/>
    <row r="610" s="136" customFormat="1" x14ac:dyDescent="0.3"/>
    <row r="611" s="136" customFormat="1" x14ac:dyDescent="0.3"/>
    <row r="612" s="136" customFormat="1" x14ac:dyDescent="0.3"/>
    <row r="613" s="136" customFormat="1" x14ac:dyDescent="0.3"/>
    <row r="614" s="136" customFormat="1" x14ac:dyDescent="0.3"/>
    <row r="615" s="136" customFormat="1" x14ac:dyDescent="0.3"/>
    <row r="616" s="136" customFormat="1" x14ac:dyDescent="0.3"/>
    <row r="617" s="136" customFormat="1" x14ac:dyDescent="0.3"/>
    <row r="618" s="136" customFormat="1" x14ac:dyDescent="0.3"/>
    <row r="619" s="136" customFormat="1" x14ac:dyDescent="0.3"/>
    <row r="620" s="136" customFormat="1" x14ac:dyDescent="0.3"/>
    <row r="621" s="136" customFormat="1" x14ac:dyDescent="0.3"/>
    <row r="622" s="136" customFormat="1" x14ac:dyDescent="0.3"/>
    <row r="623" s="136" customFormat="1" x14ac:dyDescent="0.3"/>
    <row r="624" s="136" customFormat="1" x14ac:dyDescent="0.3"/>
    <row r="625" s="136" customFormat="1" x14ac:dyDescent="0.3"/>
    <row r="626" s="136" customFormat="1" x14ac:dyDescent="0.3"/>
    <row r="627" s="136" customFormat="1" x14ac:dyDescent="0.3"/>
    <row r="628" s="136" customFormat="1" x14ac:dyDescent="0.3"/>
    <row r="629" s="136" customFormat="1" x14ac:dyDescent="0.3"/>
    <row r="630" s="136" customFormat="1" x14ac:dyDescent="0.3"/>
    <row r="631" s="136" customFormat="1" x14ac:dyDescent="0.3"/>
    <row r="632" s="136" customFormat="1" x14ac:dyDescent="0.3"/>
    <row r="633" s="136" customFormat="1" x14ac:dyDescent="0.3"/>
    <row r="634" s="136" customFormat="1" x14ac:dyDescent="0.3"/>
    <row r="635" s="136" customFormat="1" x14ac:dyDescent="0.3"/>
    <row r="636" s="136" customFormat="1" x14ac:dyDescent="0.3"/>
    <row r="637" s="136" customFormat="1" x14ac:dyDescent="0.3"/>
    <row r="638" s="136" customFormat="1" x14ac:dyDescent="0.3"/>
    <row r="639" s="136" customFormat="1" x14ac:dyDescent="0.3"/>
    <row r="640" s="136" customFormat="1" x14ac:dyDescent="0.3"/>
    <row r="641" s="136" customFormat="1" x14ac:dyDescent="0.3"/>
    <row r="642" s="136" customFormat="1" x14ac:dyDescent="0.3"/>
    <row r="643" s="136" customFormat="1" x14ac:dyDescent="0.3"/>
    <row r="644" s="136" customFormat="1" x14ac:dyDescent="0.3"/>
    <row r="645" s="136" customFormat="1" x14ac:dyDescent="0.3"/>
    <row r="646" s="136" customFormat="1" x14ac:dyDescent="0.3"/>
    <row r="647" s="136" customFormat="1" x14ac:dyDescent="0.3"/>
    <row r="648" s="136" customFormat="1" x14ac:dyDescent="0.3"/>
    <row r="649" s="136" customFormat="1" x14ac:dyDescent="0.3"/>
    <row r="650" s="136" customFormat="1" x14ac:dyDescent="0.3"/>
    <row r="651" s="136" customFormat="1" x14ac:dyDescent="0.3"/>
    <row r="652" s="136" customFormat="1" x14ac:dyDescent="0.3"/>
    <row r="653" s="136" customFormat="1" x14ac:dyDescent="0.3"/>
    <row r="654" s="136" customFormat="1" x14ac:dyDescent="0.3"/>
    <row r="655" s="136" customFormat="1" x14ac:dyDescent="0.3"/>
    <row r="656" s="136" customFormat="1" x14ac:dyDescent="0.3"/>
    <row r="657" s="136" customFormat="1" x14ac:dyDescent="0.3"/>
    <row r="658" s="136" customFormat="1" x14ac:dyDescent="0.3"/>
    <row r="659" s="136" customFormat="1" x14ac:dyDescent="0.3"/>
    <row r="660" s="136" customFormat="1" x14ac:dyDescent="0.3"/>
    <row r="661" s="136" customFormat="1" x14ac:dyDescent="0.3"/>
    <row r="662" s="136" customFormat="1" x14ac:dyDescent="0.3"/>
    <row r="663" s="136" customFormat="1" x14ac:dyDescent="0.3"/>
    <row r="664" s="136" customFormat="1" x14ac:dyDescent="0.3"/>
    <row r="665" s="136" customFormat="1" x14ac:dyDescent="0.3"/>
    <row r="666" s="136" customFormat="1" x14ac:dyDescent="0.3"/>
    <row r="667" s="136" customFormat="1" x14ac:dyDescent="0.3"/>
    <row r="668" s="136" customFormat="1" x14ac:dyDescent="0.3"/>
    <row r="669" s="136" customFormat="1" x14ac:dyDescent="0.3"/>
    <row r="670" s="136" customFormat="1" x14ac:dyDescent="0.3"/>
    <row r="671" s="136" customFormat="1" x14ac:dyDescent="0.3"/>
    <row r="672" s="136" customFormat="1" x14ac:dyDescent="0.3"/>
    <row r="673" s="136" customFormat="1" x14ac:dyDescent="0.3"/>
    <row r="674" s="136" customFormat="1" x14ac:dyDescent="0.3"/>
    <row r="675" s="136" customFormat="1" x14ac:dyDescent="0.3"/>
    <row r="676" s="136" customFormat="1" x14ac:dyDescent="0.3"/>
    <row r="677" s="136" customFormat="1" x14ac:dyDescent="0.3"/>
    <row r="678" s="136" customFormat="1" x14ac:dyDescent="0.3"/>
    <row r="679" s="136" customFormat="1" x14ac:dyDescent="0.3"/>
    <row r="680" s="136" customFormat="1" x14ac:dyDescent="0.3"/>
    <row r="681" s="136" customFormat="1" x14ac:dyDescent="0.3"/>
    <row r="682" s="136" customFormat="1" x14ac:dyDescent="0.3"/>
    <row r="683" s="136" customFormat="1" x14ac:dyDescent="0.3"/>
    <row r="684" s="136" customFormat="1" x14ac:dyDescent="0.3"/>
    <row r="685" s="136" customFormat="1" x14ac:dyDescent="0.3"/>
    <row r="686" s="136" customFormat="1" x14ac:dyDescent="0.3"/>
    <row r="687" s="136" customFormat="1" x14ac:dyDescent="0.3"/>
    <row r="688" s="136" customFormat="1" x14ac:dyDescent="0.3"/>
    <row r="689" s="136" customFormat="1" x14ac:dyDescent="0.3"/>
    <row r="690" s="136" customFormat="1" x14ac:dyDescent="0.3"/>
    <row r="691" s="136" customFormat="1" x14ac:dyDescent="0.3"/>
    <row r="692" s="136" customFormat="1" x14ac:dyDescent="0.3"/>
    <row r="693" s="136" customFormat="1" x14ac:dyDescent="0.3"/>
    <row r="694" s="136" customFormat="1" x14ac:dyDescent="0.3"/>
    <row r="695" s="136" customFormat="1" x14ac:dyDescent="0.3"/>
    <row r="696" s="136" customFormat="1" x14ac:dyDescent="0.3"/>
    <row r="697" s="136" customFormat="1" x14ac:dyDescent="0.3"/>
    <row r="698" s="136" customFormat="1" x14ac:dyDescent="0.3"/>
    <row r="699" s="136" customFormat="1" x14ac:dyDescent="0.3"/>
    <row r="700" s="136" customFormat="1" x14ac:dyDescent="0.3"/>
    <row r="701" s="136" customFormat="1" x14ac:dyDescent="0.3"/>
    <row r="702" s="136" customFormat="1" x14ac:dyDescent="0.3"/>
    <row r="703" s="136" customFormat="1" x14ac:dyDescent="0.3"/>
    <row r="704" s="136" customFormat="1" x14ac:dyDescent="0.3"/>
    <row r="705" s="136" customFormat="1" x14ac:dyDescent="0.3"/>
    <row r="706" s="136" customFormat="1" x14ac:dyDescent="0.3"/>
    <row r="707" s="136" customFormat="1" x14ac:dyDescent="0.3"/>
    <row r="708" s="136" customFormat="1" x14ac:dyDescent="0.3"/>
    <row r="709" s="136" customFormat="1" x14ac:dyDescent="0.3"/>
    <row r="710" s="136" customFormat="1" x14ac:dyDescent="0.3"/>
    <row r="711" s="136" customFormat="1" x14ac:dyDescent="0.3"/>
    <row r="712" s="136" customFormat="1" x14ac:dyDescent="0.3"/>
    <row r="713" s="136" customFormat="1" x14ac:dyDescent="0.3"/>
    <row r="714" s="136" customFormat="1" x14ac:dyDescent="0.3"/>
    <row r="715" s="136" customFormat="1" x14ac:dyDescent="0.3"/>
    <row r="716" s="136" customFormat="1" x14ac:dyDescent="0.3"/>
    <row r="717" s="136" customFormat="1" x14ac:dyDescent="0.3"/>
    <row r="718" s="136" customFormat="1" x14ac:dyDescent="0.3"/>
    <row r="719" s="136" customFormat="1" x14ac:dyDescent="0.3"/>
    <row r="720" s="136" customFormat="1" x14ac:dyDescent="0.3"/>
    <row r="721" s="136" customFormat="1" x14ac:dyDescent="0.3"/>
    <row r="722" s="136" customFormat="1" x14ac:dyDescent="0.3"/>
    <row r="723" s="136" customFormat="1" x14ac:dyDescent="0.3"/>
    <row r="724" s="136" customFormat="1" x14ac:dyDescent="0.3"/>
    <row r="725" s="136" customFormat="1" x14ac:dyDescent="0.3"/>
    <row r="726" s="136" customFormat="1" x14ac:dyDescent="0.3"/>
    <row r="727" s="136" customFormat="1" x14ac:dyDescent="0.3"/>
    <row r="728" s="136" customFormat="1" x14ac:dyDescent="0.3"/>
    <row r="729" s="136" customFormat="1" x14ac:dyDescent="0.3"/>
    <row r="730" s="136" customFormat="1" x14ac:dyDescent="0.3"/>
    <row r="731" s="136" customFormat="1" x14ac:dyDescent="0.3"/>
    <row r="732" s="136" customFormat="1" x14ac:dyDescent="0.3"/>
    <row r="733" s="136" customFormat="1" x14ac:dyDescent="0.3"/>
    <row r="734" s="136" customFormat="1" x14ac:dyDescent="0.3"/>
    <row r="735" s="136" customFormat="1" x14ac:dyDescent="0.3"/>
    <row r="736" s="136" customFormat="1" x14ac:dyDescent="0.3"/>
    <row r="737" s="136" customFormat="1" x14ac:dyDescent="0.3"/>
    <row r="738" s="136" customFormat="1" x14ac:dyDescent="0.3"/>
    <row r="739" s="136" customFormat="1" x14ac:dyDescent="0.3"/>
    <row r="740" s="136" customFormat="1" x14ac:dyDescent="0.3"/>
    <row r="741" s="136" customFormat="1" x14ac:dyDescent="0.3"/>
    <row r="742" s="136" customFormat="1" x14ac:dyDescent="0.3"/>
    <row r="743" s="136" customFormat="1" x14ac:dyDescent="0.3"/>
    <row r="744" s="136" customFormat="1" x14ac:dyDescent="0.3"/>
    <row r="745" s="136" customFormat="1" x14ac:dyDescent="0.3"/>
    <row r="746" s="136" customFormat="1" x14ac:dyDescent="0.3"/>
    <row r="747" s="136" customFormat="1" x14ac:dyDescent="0.3"/>
  </sheetData>
  <sheetProtection sheet="1" objects="1" scenarios="1"/>
  <mergeCells count="1">
    <mergeCell ref="A1:I1"/>
  </mergeCells>
  <pageMargins left="0.7" right="0.7" top="0.75" bottom="0.75" header="0.3" footer="0.3"/>
  <legacyDrawing r:id="rId1"/>
  <tableParts count="1">
    <tablePart r:id="rId2"/>
  </tableParts>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6143B4-71A5-48BE-994B-4F5041972D62}">
  <dimension ref="A1:DW105"/>
  <sheetViews>
    <sheetView zoomScale="70" zoomScaleNormal="70" workbookViewId="0">
      <selection activeCell="J18" sqref="J18"/>
    </sheetView>
  </sheetViews>
  <sheetFormatPr defaultColWidth="8.88671875" defaultRowHeight="14.4" outlineLevelCol="1" x14ac:dyDescent="0.3"/>
  <cols>
    <col min="2" max="2" width="9.33203125" customWidth="1" outlineLevel="1"/>
    <col min="3" max="3" width="9.44140625" customWidth="1"/>
    <col min="4" max="4" width="12.33203125" customWidth="1"/>
    <col min="5" max="5" width="15.6640625" customWidth="1"/>
    <col min="6" max="6" width="10.5546875" customWidth="1"/>
    <col min="7" max="7" width="30.109375" bestFit="1" customWidth="1"/>
    <col min="8" max="8" width="12.5546875" customWidth="1" outlineLevel="1"/>
    <col min="9" max="9" width="13" customWidth="1"/>
    <col min="10" max="10" width="30.6640625" bestFit="1" customWidth="1" outlineLevel="1"/>
    <col min="11" max="11" width="31" bestFit="1" customWidth="1" outlineLevel="1"/>
    <col min="12" max="12" width="31" customWidth="1" outlineLevel="1"/>
    <col min="13" max="15" width="22.44140625" customWidth="1" outlineLevel="1"/>
    <col min="16" max="17" width="26.5546875" customWidth="1"/>
    <col min="18" max="21" width="21.88671875" customWidth="1" outlineLevel="1"/>
    <col min="22" max="23" width="21.88671875" customWidth="1"/>
    <col min="24" max="27" width="21.88671875" customWidth="1" outlineLevel="1"/>
    <col min="28" max="29" width="21.88671875" customWidth="1"/>
    <col min="30" max="35" width="21.88671875" customWidth="1" outlineLevel="1"/>
    <col min="36" max="36" width="21.88671875" customWidth="1"/>
    <col min="37" max="37" width="21.44140625" bestFit="1" customWidth="1"/>
    <col min="38" max="39" width="22.44140625" customWidth="1" outlineLevel="1"/>
    <col min="40" max="41" width="30.21875" customWidth="1" outlineLevel="1"/>
    <col min="42" max="42" width="22.44140625" customWidth="1" outlineLevel="1"/>
    <col min="43" max="43" width="22.44140625" customWidth="1"/>
    <col min="44" max="48" width="14.33203125" customWidth="1" outlineLevel="1"/>
    <col min="49" max="49" width="14.44140625" bestFit="1" customWidth="1"/>
    <col min="50" max="54" width="24.6640625" customWidth="1" outlineLevel="1"/>
    <col min="55" max="55" width="28.5546875" bestFit="1" customWidth="1"/>
    <col min="56" max="62" width="22.6640625" customWidth="1" outlineLevel="1"/>
    <col min="63" max="65" width="22.6640625" customWidth="1"/>
    <col min="66" max="69" width="25.33203125" customWidth="1" outlineLevel="1"/>
    <col min="70" max="71" width="25.33203125" customWidth="1"/>
    <col min="72" max="76" width="18.5546875" customWidth="1" outlineLevel="1"/>
    <col min="77" max="77" width="20.88671875" bestFit="1" customWidth="1"/>
    <col min="78" max="78" width="16" customWidth="1"/>
    <col min="79" max="79" width="19.109375" bestFit="1" customWidth="1"/>
    <col min="80" max="80" width="17.44140625" bestFit="1" customWidth="1"/>
    <col min="81" max="81" width="40.33203125" customWidth="1"/>
    <col min="82" max="83" width="22" customWidth="1"/>
    <col min="84" max="84" width="17.33203125" customWidth="1"/>
    <col min="85" max="85" width="17.6640625" customWidth="1"/>
    <col min="86" max="86" width="9.88671875" customWidth="1"/>
  </cols>
  <sheetData>
    <row r="1" spans="1:127" ht="21.6" thickBot="1" x14ac:dyDescent="0.45">
      <c r="A1" s="169" t="s">
        <v>221</v>
      </c>
      <c r="B1" s="169"/>
      <c r="C1" s="169"/>
      <c r="D1" s="169"/>
      <c r="E1" s="169"/>
      <c r="F1" s="169"/>
      <c r="G1" s="90"/>
      <c r="H1" s="170" t="s">
        <v>386</v>
      </c>
      <c r="I1" s="171"/>
      <c r="J1" s="173" t="s">
        <v>584</v>
      </c>
      <c r="K1" s="174"/>
      <c r="L1" s="174"/>
      <c r="M1" s="174"/>
      <c r="N1" s="174"/>
      <c r="O1" s="174"/>
      <c r="P1" s="174"/>
      <c r="Q1" s="164"/>
      <c r="R1" s="175" t="s">
        <v>585</v>
      </c>
      <c r="S1" s="175"/>
      <c r="T1" s="175"/>
      <c r="U1" s="175"/>
      <c r="V1" s="175"/>
      <c r="W1" s="176" t="s">
        <v>586</v>
      </c>
      <c r="X1" s="177"/>
      <c r="Y1" s="177"/>
      <c r="Z1" s="177"/>
      <c r="AA1" s="177"/>
      <c r="AB1" s="178"/>
      <c r="AC1" s="179" t="s">
        <v>587</v>
      </c>
      <c r="AD1" s="180"/>
      <c r="AE1" s="180"/>
      <c r="AF1" s="180"/>
      <c r="AG1" s="180"/>
      <c r="AH1" s="180"/>
      <c r="AI1" s="180"/>
      <c r="AJ1" s="180"/>
      <c r="AK1" s="181" t="s">
        <v>588</v>
      </c>
      <c r="AL1" s="181"/>
      <c r="AM1" s="181"/>
      <c r="AN1" s="181"/>
      <c r="AO1" s="181"/>
      <c r="AP1" s="182"/>
      <c r="AQ1" s="183" t="s">
        <v>589</v>
      </c>
      <c r="AR1" s="184"/>
      <c r="AS1" s="184"/>
      <c r="AT1" s="184"/>
      <c r="AU1" s="184"/>
      <c r="AV1" s="184"/>
      <c r="AW1" s="172" t="s">
        <v>590</v>
      </c>
      <c r="AX1" s="172"/>
      <c r="AY1" s="172"/>
      <c r="AZ1" s="172"/>
      <c r="BA1" s="172"/>
      <c r="BB1" s="172"/>
      <c r="BC1" s="185" t="s">
        <v>593</v>
      </c>
      <c r="BD1" s="185"/>
      <c r="BE1" s="185"/>
      <c r="BF1" s="185"/>
      <c r="BG1" s="185"/>
      <c r="BH1" s="185"/>
      <c r="BI1" s="185"/>
      <c r="BJ1" s="185"/>
      <c r="BK1" s="185"/>
      <c r="BL1" s="185"/>
      <c r="BM1" s="172" t="s">
        <v>594</v>
      </c>
      <c r="BN1" s="172"/>
      <c r="BO1" s="172"/>
      <c r="BP1" s="172"/>
      <c r="BQ1" s="172"/>
      <c r="BR1" s="172"/>
      <c r="BS1" s="156"/>
      <c r="BT1" s="168" t="s">
        <v>591</v>
      </c>
      <c r="BU1" s="168"/>
      <c r="BV1" s="168"/>
      <c r="BW1" s="168"/>
      <c r="BX1" s="168"/>
      <c r="BY1" s="168"/>
      <c r="BZ1" s="89"/>
      <c r="CA1" s="89"/>
      <c r="CB1" s="89"/>
      <c r="CC1" s="89"/>
      <c r="CD1" s="89"/>
      <c r="CE1" s="89"/>
      <c r="CF1" s="70"/>
      <c r="CG1" s="70"/>
      <c r="CH1" s="70"/>
      <c r="CI1" s="70"/>
      <c r="CJ1" s="70"/>
      <c r="CK1" s="70"/>
      <c r="CL1" s="70"/>
      <c r="CM1" s="70"/>
      <c r="CN1" s="70"/>
      <c r="CO1" s="70"/>
      <c r="CP1" s="70"/>
      <c r="CQ1" s="70"/>
      <c r="CR1" s="70"/>
      <c r="CS1" s="70"/>
      <c r="CT1" s="70"/>
      <c r="CU1" s="70"/>
      <c r="CV1" s="70"/>
      <c r="CW1" s="70"/>
      <c r="CX1" s="70"/>
      <c r="CY1" s="70"/>
      <c r="CZ1" s="70"/>
      <c r="DA1" s="70"/>
      <c r="DB1" s="70"/>
      <c r="DC1" s="70"/>
      <c r="DD1" s="70"/>
      <c r="DE1" s="70"/>
      <c r="DF1" s="70"/>
      <c r="DG1" s="70"/>
      <c r="DH1" s="70"/>
      <c r="DI1" s="70"/>
      <c r="DJ1" s="70"/>
      <c r="DK1" s="70"/>
      <c r="DL1" s="70"/>
      <c r="DM1" s="70"/>
      <c r="DN1" s="70"/>
      <c r="DO1" s="70"/>
      <c r="DP1" s="70"/>
      <c r="DQ1" s="70"/>
      <c r="DR1" s="70"/>
      <c r="DS1" s="70"/>
      <c r="DT1" s="70"/>
      <c r="DU1" s="70"/>
      <c r="DV1" s="70"/>
      <c r="DW1" s="70"/>
    </row>
    <row r="2" spans="1:127" ht="21.6" thickBot="1" x14ac:dyDescent="0.45">
      <c r="A2" s="169"/>
      <c r="B2" s="169"/>
      <c r="C2" s="169"/>
      <c r="D2" s="169"/>
      <c r="E2" s="169"/>
      <c r="F2" s="169"/>
      <c r="G2" s="90"/>
      <c r="H2" s="170"/>
      <c r="I2" s="171"/>
      <c r="J2" s="88" t="s">
        <v>592</v>
      </c>
      <c r="K2" s="83" t="s">
        <v>592</v>
      </c>
      <c r="L2" s="68" t="s">
        <v>545</v>
      </c>
      <c r="M2" s="60">
        <f>INDEX(Table_CostThreePoint_Estimates[[Expected_Cost_Estimate]:[Expected_Cost_Estimate]],MATCH(Table_SiteMilestoneTracking[[#Headers],[c0_SiteDesignCostBL]],Table_CostThreePoint_Estimates[[ID]:[ID]],0))</f>
        <v>500</v>
      </c>
      <c r="N2" s="86" t="s">
        <v>378</v>
      </c>
      <c r="O2" s="91"/>
      <c r="P2" s="83" t="s">
        <v>592</v>
      </c>
      <c r="Q2" s="68" t="s">
        <v>545</v>
      </c>
      <c r="R2" s="60">
        <f>INDEX(Table_CostThreePoint_Estimates[[Expected_Cost_Estimate]:[Expected_Cost_Estimate]],MATCH(Table_SiteMilestoneTracking[[#Headers],[c1_SiteSurveyCostBL]],Table_CostThreePoint_Estimates[[ID]:[ID]],0))</f>
        <v>500</v>
      </c>
      <c r="S2" s="86" t="s">
        <v>378</v>
      </c>
      <c r="T2" s="92"/>
      <c r="U2" s="83" t="s">
        <v>592</v>
      </c>
      <c r="V2" s="68" t="s">
        <v>545</v>
      </c>
      <c r="W2" s="60">
        <f>INDEX(Table_CostThreePoint_Estimates[[Expected_Cost_Estimate]:[Expected_Cost_Estimate]],MATCH(Table_SiteMilestoneTracking[[#Headers],[c2_SiteAcquisitionCostBL]],Table_CostThreePoint_Estimates[[ID]:[ID]],0))</f>
        <v>600</v>
      </c>
      <c r="X2" s="80" t="s">
        <v>378</v>
      </c>
      <c r="Y2" s="92"/>
      <c r="Z2" s="83" t="s">
        <v>592</v>
      </c>
      <c r="AA2" s="68" t="s">
        <v>545</v>
      </c>
      <c r="AB2" s="68" t="s">
        <v>545</v>
      </c>
      <c r="AC2" s="60">
        <f>INDEX(Table_CostThreePoint_Estimates[[Expected_Cost_Estimate]:[Expected_Cost_Estimate]],MATCH(Table_SiteMilestoneTracking[[#Headers],[c2a_SiteCWReadinessCost_BL]],Table_CostThreePoint_Estimates[[ID]:[ID]],0))</f>
        <v>150</v>
      </c>
      <c r="AD2" s="80" t="s">
        <v>378</v>
      </c>
      <c r="AE2" s="92"/>
      <c r="AF2" s="83" t="s">
        <v>592</v>
      </c>
      <c r="AG2" s="67" t="s">
        <v>525</v>
      </c>
      <c r="AH2" s="67" t="s">
        <v>525</v>
      </c>
      <c r="AI2" s="60">
        <f>INDEX(Table_CostThreePoint_Estimates[[Expected_Cost_Estimate]:[Expected_Cost_Estimate]],MATCH(Table_SiteMilestoneTracking[[#Headers],[c3_CivilWorksCostBL]],Table_CostThreePoint_Estimates[[ID]:[ID]],0))</f>
        <v>1500</v>
      </c>
      <c r="AJ2" s="80" t="s">
        <v>378</v>
      </c>
      <c r="AK2" s="92"/>
      <c r="AL2" s="83" t="s">
        <v>592</v>
      </c>
      <c r="AM2" s="67" t="s">
        <v>525</v>
      </c>
      <c r="AN2" s="67" t="s">
        <v>525</v>
      </c>
      <c r="AO2" s="60">
        <f>INDEX(Table_CostThreePoint_Estimates[[Expected_Cost_Estimate]:[Expected_Cost_Estimate]],MATCH(Table_SiteMilestoneTracking[[#Headers],[c4_PowerInstallCostBL]],Table_CostThreePoint_Estimates[[ID]:[ID]],0))</f>
        <v>500</v>
      </c>
      <c r="AP2" s="80" t="s">
        <v>378</v>
      </c>
      <c r="AQ2" s="92"/>
      <c r="AR2" s="83" t="s">
        <v>592</v>
      </c>
      <c r="AS2" s="67" t="s">
        <v>525</v>
      </c>
      <c r="AT2" s="67" t="s">
        <v>525</v>
      </c>
      <c r="AU2" s="60">
        <f>INDEX(Table_CostThreePoint_Estimates[[Expected_Cost_Estimate]:[Expected_Cost_Estimate]],MATCH(Table_SiteMilestoneTracking[[#Headers],[c5_TxintegrationCostBL]],Table_CostThreePoint_Estimates[[ID]:[ID]],0))</f>
        <v>500</v>
      </c>
      <c r="AV2" s="80" t="s">
        <v>378</v>
      </c>
      <c r="AW2" s="92"/>
      <c r="AX2" s="83" t="s">
        <v>592</v>
      </c>
      <c r="AY2" s="67" t="s">
        <v>525</v>
      </c>
      <c r="AZ2" s="67" t="s">
        <v>525</v>
      </c>
      <c r="BA2" s="60">
        <f>INDEX(Table_CostThreePoint_Estimates[[Expected_Cost_Estimate]:[Expected_Cost_Estimate]],MATCH(Table_SiteMilestoneTracking[[#Headers],[c6_InstallationCostBL]],Table_CostThreePoint_Estimates[[ID]:[ID]],0))</f>
        <v>2500</v>
      </c>
      <c r="BB2" s="80" t="s">
        <v>378</v>
      </c>
      <c r="BC2" s="92"/>
      <c r="BD2" s="83" t="s">
        <v>592</v>
      </c>
      <c r="BE2" s="67" t="s">
        <v>525</v>
      </c>
      <c r="BF2" s="67" t="s">
        <v>525</v>
      </c>
      <c r="BG2" s="60">
        <f>INDEX(Table_CostThreePoint_Estimates[[Expected_Cost_Estimate]:[Expected_Cost_Estimate]],MATCH(Table_SiteMilestoneTracking[[#Headers],[c7_IntegrationCostBL]],Table_CostThreePoint_Estimates[[ID]:[ID]],0))</f>
        <v>500</v>
      </c>
      <c r="BH2" s="80" t="s">
        <v>378</v>
      </c>
      <c r="BI2" s="92"/>
      <c r="BJ2" s="83" t="s">
        <v>592</v>
      </c>
      <c r="BK2" s="67" t="s">
        <v>525</v>
      </c>
      <c r="BL2" s="67" t="s">
        <v>525</v>
      </c>
      <c r="BM2" s="60">
        <f>INDEX(Table_CostThreePoint_Estimates[[Expected_Cost_Estimate]:[Expected_Cost_Estimate]],MATCH(Table_SiteMilestoneTracking[[#Headers],[c8_AcceptanceCostBL]],Table_CostThreePoint_Estimates[[ID]:[ID]],0))</f>
        <v>250</v>
      </c>
      <c r="BN2" s="80" t="s">
        <v>378</v>
      </c>
      <c r="BO2" s="92"/>
      <c r="BP2" s="83" t="s">
        <v>592</v>
      </c>
      <c r="BQ2" s="67" t="s">
        <v>525</v>
      </c>
      <c r="BR2" s="67" t="s">
        <v>525</v>
      </c>
      <c r="BS2" s="60">
        <f>INDEX(Table_CostThreePoint_Estimates[[Expected_Cost_Estimate]:[Expected_Cost_Estimate]],MATCH(Table_SiteMilestoneTracking[[#Headers],[c9_HandoverCostBL]],Table_CostThreePoint_Estimates[[ID]:[ID]],0))</f>
        <v>200</v>
      </c>
      <c r="BT2" s="80" t="s">
        <v>378</v>
      </c>
      <c r="BU2" s="92"/>
      <c r="BV2" s="83" t="s">
        <v>592</v>
      </c>
      <c r="BW2" s="67" t="s">
        <v>525</v>
      </c>
      <c r="BX2" s="92"/>
      <c r="BY2" s="68" t="s">
        <v>526</v>
      </c>
      <c r="BZ2" s="68" t="s">
        <v>526</v>
      </c>
      <c r="CA2" s="69" t="s">
        <v>526</v>
      </c>
      <c r="CC2" s="93"/>
      <c r="CD2" s="89"/>
      <c r="CE2" s="89"/>
      <c r="CF2" s="70"/>
      <c r="CG2" s="70"/>
      <c r="CH2" s="70"/>
      <c r="CI2" s="70"/>
      <c r="CJ2" s="70"/>
      <c r="CK2" s="70"/>
      <c r="CL2" s="70"/>
      <c r="CM2" s="70"/>
      <c r="CN2" s="70"/>
      <c r="CO2" s="70"/>
      <c r="CP2" s="70"/>
      <c r="CQ2" s="70"/>
      <c r="CR2" s="70"/>
      <c r="CS2" s="70"/>
      <c r="CT2" s="70"/>
      <c r="CU2" s="70"/>
      <c r="CV2" s="70"/>
      <c r="CW2" s="70"/>
      <c r="CX2" s="70"/>
      <c r="CY2" s="70"/>
      <c r="CZ2" s="70"/>
      <c r="DA2" s="70"/>
      <c r="DB2" s="70"/>
      <c r="DC2" s="70"/>
      <c r="DD2" s="70"/>
      <c r="DE2" s="70"/>
      <c r="DF2" s="70"/>
      <c r="DG2" s="70"/>
      <c r="DH2" s="70"/>
      <c r="DI2" s="70"/>
      <c r="DJ2" s="70"/>
      <c r="DK2" s="70"/>
      <c r="DL2" s="70"/>
      <c r="DM2" s="70"/>
      <c r="DN2" s="70"/>
      <c r="DO2" s="70"/>
      <c r="DP2" s="70"/>
      <c r="DQ2" s="70"/>
      <c r="DR2" s="70"/>
      <c r="DS2" s="70"/>
      <c r="DT2" s="70"/>
      <c r="DU2" s="70"/>
      <c r="DV2" s="70"/>
      <c r="DW2" s="70"/>
    </row>
    <row r="3" spans="1:127" x14ac:dyDescent="0.3">
      <c r="A3" s="70" t="s">
        <v>33</v>
      </c>
      <c r="B3" s="70" t="s">
        <v>34</v>
      </c>
      <c r="C3" s="70" t="s">
        <v>44</v>
      </c>
      <c r="D3" s="70" t="s">
        <v>54</v>
      </c>
      <c r="E3" s="70" t="s">
        <v>55</v>
      </c>
      <c r="F3" s="70" t="s">
        <v>60</v>
      </c>
      <c r="G3" s="71" t="s">
        <v>464</v>
      </c>
      <c r="H3" s="72" t="s">
        <v>379</v>
      </c>
      <c r="I3" s="73" t="s">
        <v>380</v>
      </c>
      <c r="J3" s="70" t="s">
        <v>337</v>
      </c>
      <c r="K3" s="75" t="s">
        <v>338</v>
      </c>
      <c r="L3" s="76" t="s">
        <v>652</v>
      </c>
      <c r="M3" s="74" t="s">
        <v>353</v>
      </c>
      <c r="N3" s="81" t="s">
        <v>372</v>
      </c>
      <c r="O3" s="70" t="s">
        <v>166</v>
      </c>
      <c r="P3" s="75" t="s">
        <v>168</v>
      </c>
      <c r="Q3" s="76" t="s">
        <v>653</v>
      </c>
      <c r="R3" s="74" t="s">
        <v>354</v>
      </c>
      <c r="S3" s="81" t="s">
        <v>371</v>
      </c>
      <c r="T3" s="70" t="s">
        <v>568</v>
      </c>
      <c r="U3" s="75" t="s">
        <v>569</v>
      </c>
      <c r="V3" s="76" t="s">
        <v>697</v>
      </c>
      <c r="W3" s="74" t="s">
        <v>355</v>
      </c>
      <c r="X3" s="81" t="s">
        <v>370</v>
      </c>
      <c r="Y3" s="70" t="s">
        <v>543</v>
      </c>
      <c r="Z3" s="75" t="s">
        <v>544</v>
      </c>
      <c r="AA3" s="77" t="s">
        <v>654</v>
      </c>
      <c r="AB3" s="77" t="s">
        <v>698</v>
      </c>
      <c r="AC3" s="74" t="s">
        <v>546</v>
      </c>
      <c r="AD3" s="81" t="s">
        <v>547</v>
      </c>
      <c r="AE3" s="70" t="s">
        <v>449</v>
      </c>
      <c r="AF3" s="75" t="s">
        <v>450</v>
      </c>
      <c r="AG3" s="76" t="s">
        <v>655</v>
      </c>
      <c r="AH3" s="76" t="s">
        <v>672</v>
      </c>
      <c r="AI3" s="74" t="s">
        <v>356</v>
      </c>
      <c r="AJ3" s="81" t="s">
        <v>369</v>
      </c>
      <c r="AK3" s="70" t="s">
        <v>451</v>
      </c>
      <c r="AL3" s="75" t="s">
        <v>452</v>
      </c>
      <c r="AM3" s="78" t="s">
        <v>656</v>
      </c>
      <c r="AN3" s="78" t="s">
        <v>703</v>
      </c>
      <c r="AO3" s="74" t="s">
        <v>357</v>
      </c>
      <c r="AP3" s="81" t="s">
        <v>381</v>
      </c>
      <c r="AQ3" s="70" t="s">
        <v>178</v>
      </c>
      <c r="AR3" s="75" t="s">
        <v>180</v>
      </c>
      <c r="AS3" s="78" t="s">
        <v>657</v>
      </c>
      <c r="AT3" s="78" t="s">
        <v>673</v>
      </c>
      <c r="AU3" s="74" t="s">
        <v>358</v>
      </c>
      <c r="AV3" s="81" t="s">
        <v>373</v>
      </c>
      <c r="AW3" s="70" t="s">
        <v>474</v>
      </c>
      <c r="AX3" s="75" t="s">
        <v>475</v>
      </c>
      <c r="AY3" s="78" t="s">
        <v>658</v>
      </c>
      <c r="AZ3" s="78" t="s">
        <v>674</v>
      </c>
      <c r="BA3" s="74" t="s">
        <v>359</v>
      </c>
      <c r="BB3" s="81" t="s">
        <v>374</v>
      </c>
      <c r="BC3" s="70" t="s">
        <v>456</v>
      </c>
      <c r="BD3" s="75" t="s">
        <v>457</v>
      </c>
      <c r="BE3" s="78" t="s">
        <v>659</v>
      </c>
      <c r="BF3" s="78" t="s">
        <v>675</v>
      </c>
      <c r="BG3" s="74" t="s">
        <v>360</v>
      </c>
      <c r="BH3" s="81" t="s">
        <v>375</v>
      </c>
      <c r="BI3" s="70" t="s">
        <v>186</v>
      </c>
      <c r="BJ3" s="75" t="s">
        <v>188</v>
      </c>
      <c r="BK3" s="78" t="s">
        <v>660</v>
      </c>
      <c r="BL3" s="78" t="s">
        <v>676</v>
      </c>
      <c r="BM3" s="74" t="s">
        <v>361</v>
      </c>
      <c r="BN3" s="81" t="s">
        <v>376</v>
      </c>
      <c r="BO3" s="70" t="s">
        <v>199</v>
      </c>
      <c r="BP3" s="75" t="s">
        <v>200</v>
      </c>
      <c r="BQ3" s="78" t="s">
        <v>661</v>
      </c>
      <c r="BR3" s="78" t="s">
        <v>677</v>
      </c>
      <c r="BS3" s="74" t="s">
        <v>362</v>
      </c>
      <c r="BT3" s="81" t="s">
        <v>377</v>
      </c>
      <c r="BU3" s="70" t="s">
        <v>201</v>
      </c>
      <c r="BV3" s="75" t="s">
        <v>202</v>
      </c>
      <c r="BW3" s="78" t="s">
        <v>663</v>
      </c>
      <c r="BX3" s="70" t="s">
        <v>233</v>
      </c>
      <c r="BY3" s="78" t="s">
        <v>232</v>
      </c>
      <c r="BZ3" s="78" t="s">
        <v>234</v>
      </c>
      <c r="CA3" s="78" t="s">
        <v>516</v>
      </c>
      <c r="CB3" s="70" t="s">
        <v>67</v>
      </c>
      <c r="CC3" s="89"/>
      <c r="CD3" s="89"/>
      <c r="CE3" s="70"/>
      <c r="CF3" s="70"/>
      <c r="CG3" s="70"/>
      <c r="CH3" s="70"/>
      <c r="CI3" s="70"/>
      <c r="CJ3" s="70"/>
      <c r="CK3" s="70"/>
      <c r="CL3" s="70"/>
      <c r="CM3" s="70"/>
      <c r="CN3" s="70"/>
      <c r="CO3" s="70"/>
      <c r="CP3" s="70"/>
      <c r="CQ3" s="70"/>
      <c r="CR3" s="70"/>
      <c r="CS3" s="70"/>
      <c r="CT3" s="70"/>
      <c r="CU3" s="70"/>
      <c r="CV3" s="70"/>
      <c r="CW3" s="70"/>
      <c r="CX3" s="70"/>
      <c r="CY3" s="70"/>
      <c r="CZ3" s="70"/>
      <c r="DA3" s="70"/>
      <c r="DB3" s="70"/>
      <c r="DC3" s="70"/>
      <c r="DD3" s="70"/>
      <c r="DE3" s="70"/>
      <c r="DF3" s="70"/>
      <c r="DG3" s="70"/>
      <c r="DH3" s="70"/>
      <c r="DI3" s="70"/>
      <c r="DJ3" s="70"/>
      <c r="DK3" s="70"/>
      <c r="DL3" s="70"/>
      <c r="DM3" s="70"/>
      <c r="DN3" s="70"/>
      <c r="DO3" s="70"/>
      <c r="DP3" s="70"/>
      <c r="DQ3" s="70"/>
      <c r="DR3" s="70"/>
      <c r="DS3" s="70"/>
      <c r="DT3" s="70"/>
      <c r="DU3" s="70"/>
      <c r="DV3" s="70"/>
    </row>
    <row r="4" spans="1:127" x14ac:dyDescent="0.3">
      <c r="A4" s="79" t="str">
        <f>'4. Design Tracking Summary'!A5</f>
        <v>AA00219</v>
      </c>
      <c r="B4" s="79" t="str">
        <f>'4. Design Tracking Summary'!B5</f>
        <v>North</v>
      </c>
      <c r="C4" s="79" t="str">
        <f>'4. Design Tracking Summary'!C5</f>
        <v>MTY</v>
      </c>
      <c r="D4" s="79" t="str">
        <f>'4. Design Tracking Summary'!D5</f>
        <v>MACRO</v>
      </c>
      <c r="E4" s="79" t="s">
        <v>56</v>
      </c>
      <c r="F4" s="79" t="s">
        <v>61</v>
      </c>
      <c r="G4" s="60" t="str">
        <f>IFERROR(INDEX(Table_SiteMilestonesNames[SiteMilestoneName],COUNTA(Table_SiteMilestoneTracking[[#This Row],[SiteDesignStarted_AC]],Table_SiteMilestoneTracking[[#This Row],[SiteDesignReady_AC]],Table_SiteMilestoneTracking[[#This Row],[SiteSurveyCompleted_AC]],Table_SiteMilestoneTracking[[#This Row],[SiteAcquired_AC]],Table_SiteMilestoneTracking[[#This Row],[SiteReadyForCW_AC]],Table_SiteMilestoneTracking[[#This Row],[SiteReadyForPower_AC]],Table_SiteMilestoneTracking[[#This Row],[TXReady_AC]],Table_SiteMilestoneTracking[[#This Row],[SiteReadyForInstallation_AC]],Table_SiteMilestoneTracking[[#This Row],[SiteReadyForIntegration_AC]],Table_SiteMilestoneTracking[[#This Row],[SiteOnAir_AC]],Table_SiteMilestoneTracking[[#This Row],[SiteAccepted_AC]],Table_SiteMilestoneTracking[[#This Row],[SiteInOperations_AC]])+1),"Invalid Milestone")</f>
        <v>SiteInOperations</v>
      </c>
      <c r="H4" s="61">
        <f>Table_SiteMilestoneTracking[[#This Row],[c0_SiteDesignCostBL]]+Table_SiteMilestoneTracking[[#This Row],[c1_SiteSurveyCostBL]]+Table_SiteMilestoneTracking[[#This Row],[c2_SiteAcquisitionCostBL]]+Table_SiteMilestoneTracking[[#This Row],[c3_CivilWorksCostBL]]+Table_SiteMilestoneTracking[[#This Row],[c4_PowerInstallCostBL]]+Table_SiteMilestoneTracking[[#This Row],[c5_TxintegrationCostBL]]+Table_SiteMilestoneTracking[[#This Row],[c6_InstallationCostBL]]+Table_SiteMilestoneTracking[[#This Row],[c7_IntegrationCostBL]]+Table_SiteMilestoneTracking[[#This Row],[c8_AcceptanceCostBL]]+Table_SiteMilestoneTracking[[#This Row],[c9_HandoverCostBL]]</f>
        <v>7550</v>
      </c>
      <c r="I4" s="62">
        <f>Table_SiteMilestoneTracking[[#This Row],[c0_SiteDesignCostAC]]+Table_SiteMilestoneTracking[[#This Row],[c1_SiteSurveyCostAC]]+Table_SiteMilestoneTracking[[#This Row],[c2_SiteAcquisitionCostAC]]+Table_SiteMilestoneTracking[[#This Row],[c3_CivilWorksCostAC]]+Table_SiteMilestoneTracking[[#This Row],[c4_PowerInstallCostAC]]+Table_SiteMilestoneTracking[[#This Row],[c5_TxintegrationCostAC]]+Table_SiteMilestoneTracking[[#This Row],[c6_InstallationCostAC]]+Table_SiteMilestoneTracking[[#This Row],[c7_IntegrationCostAC]]+Table_SiteMilestoneTracking[[#This Row],[c8_AcceptanceCostAC]]+Table_SiteMilestoneTracking[[#This Row],[c9_HandoverCostAC]]</f>
        <v>7905</v>
      </c>
      <c r="J4" s="84">
        <v>43976</v>
      </c>
      <c r="K4" s="84">
        <v>43976</v>
      </c>
      <c r="L4" s="64">
        <f>IF(ISBLANK(Table_SiteMilestoneTracking[[#This Row],[SiteDesignStarted_AC]])=FALSE,Table_SiteMilestoneTracking[[#This Row],[SiteDesignStarted_AC]]-Table_SiteMilestoneTracking[[#This Row],[SiteDesignStarted_BL]],"")</f>
        <v>0</v>
      </c>
      <c r="M4" s="64">
        <f t="shared" ref="M4:M35" si="0">$M$2</f>
        <v>500</v>
      </c>
      <c r="N4" s="87">
        <v>500</v>
      </c>
      <c r="O4" s="63">
        <f>Table_SiteMilestoneTracking[[#This Row],[SiteDesignStarted_BL]]+t0_SiteDesignDelayBL</f>
        <v>43978</v>
      </c>
      <c r="P4" s="84">
        <v>43978</v>
      </c>
      <c r="Q4" s="64">
        <f>IF(ISBLANK(Table_SiteMilestoneTracking[[#This Row],[SiteDesignReady_AC]])=FALSE,Table_SiteMilestoneTracking[[#This Row],[SiteDesignReady_AC]]-Table_SiteMilestoneTracking[[#This Row],[SiteDesignReady_BL]],"-")</f>
        <v>0</v>
      </c>
      <c r="R4" s="64">
        <f>$R$2</f>
        <v>500</v>
      </c>
      <c r="S4" s="82">
        <v>425</v>
      </c>
      <c r="T4" s="63">
        <f>Table_SiteMilestoneTracking[[#This Row],[SiteDesignReady_BL]]+t1_SiteSurveyBL</f>
        <v>43980</v>
      </c>
      <c r="U4" s="84">
        <v>43981</v>
      </c>
      <c r="V4" s="64">
        <f>IF(ISBLANK(Table_SiteMilestoneTracking[[#This Row],[SiteSurveyCompleted_AC]])=FALSE,Table_SiteMilestoneTracking[[#This Row],[SiteSurveyCompleted_AC]]-Table_SiteMilestoneTracking[[#This Row],[SiteDesignReady_AC]],"-")</f>
        <v>3</v>
      </c>
      <c r="W4" s="64">
        <f t="shared" ref="W4:W35" si="1">$W$2</f>
        <v>600</v>
      </c>
      <c r="X4" s="82">
        <v>420</v>
      </c>
      <c r="Y4" s="63">
        <f>Table_SiteMilestoneTracking[[#This Row],[SiteSurveyCompleted_BL]]+t2_SiteAcquisitionBL</f>
        <v>43991</v>
      </c>
      <c r="Z4" s="84">
        <v>43992</v>
      </c>
      <c r="AA4" s="65">
        <f>IF(ISBLANK(Table_SiteMilestoneTracking[[#This Row],[SiteAcquired_AC]])=FALSE,Table_SiteMilestoneTracking[[#This Row],[SiteAcquired_AC]]-Table_SiteMilestoneTracking[[#This Row],[SiteAcquired_BL]],"-")</f>
        <v>1</v>
      </c>
      <c r="AB4" s="65">
        <f>IF(ISBLANK(Table_SiteMilestoneTracking[[#This Row],[SiteAcquired_AC]])=FALSE,Table_SiteMilestoneTracking[[#This Row],[SiteAcquired_AC]]-Table_SiteMilestoneTracking[[#This Row],[SiteSurveyCompleted_AC]],"-")</f>
        <v>11</v>
      </c>
      <c r="AC4" s="64">
        <f t="shared" ref="AC4:AC35" si="2">$AC$2</f>
        <v>150</v>
      </c>
      <c r="AD4" s="82">
        <v>150</v>
      </c>
      <c r="AE4" s="63">
        <f>Table_SiteMilestoneTracking[[#This Row],[SiteAcquired_BL]]+t2a_SiteCWReadinessBL</f>
        <v>43993</v>
      </c>
      <c r="AF4" s="85">
        <v>43994</v>
      </c>
      <c r="AG4" s="66">
        <f>IF(ISBLANK(Table_SiteMilestoneTracking[[#This Row],[SiteReadyForCW_AC]])=FALSE,Table_SiteMilestoneTracking[[#This Row],[SiteReadyForCW_AC]]-Table_SiteMilestoneTracking[[#This Row],[SiteReadyForCW_BL]],"-")</f>
        <v>1</v>
      </c>
      <c r="AH4" s="66">
        <f>IF(ISBLANK(Table_SiteMilestoneTracking[[#This Row],[SiteReadyForCW_AC]])=FALSE,Table_SiteMilestoneTracking[[#This Row],[SiteReadyForCW_AC]]-Table_SiteMilestoneTracking[[#This Row],[SiteDesignReady_AC]],"-")</f>
        <v>16</v>
      </c>
      <c r="AI4" s="64">
        <f t="shared" ref="AI4:AI35" si="3">$AI$2</f>
        <v>1500</v>
      </c>
      <c r="AJ4" s="82">
        <v>2250</v>
      </c>
      <c r="AK4" s="63">
        <f>Table_SiteMilestoneTracking[[#This Row],[SiteReadyForCW_BL]]+t3_CivilWorksBL</f>
        <v>44001</v>
      </c>
      <c r="AL4" s="84">
        <v>44002</v>
      </c>
      <c r="AM4" s="64">
        <f>IF(ISBLANK(Table_SiteMilestoneTracking[[#This Row],[SiteReadyForPower_AC]])=FALSE,Table_SiteMilestoneTracking[[#This Row],[SiteReadyForPower_AC]]-Table_SiteMilestoneTracking[[#This Row],[SiteReadyForPower_BL]],"-")</f>
        <v>1</v>
      </c>
      <c r="AN4" s="64">
        <f>IF(ISBLANK(Table_SiteMilestoneTracking[[#This Row],[SiteReadyForPower_AC]])=FALSE,Table_SiteMilestoneTracking[[#This Row],[SiteReadyForPower_AC]]-Table_SiteMilestoneTracking[[#This Row],[SiteReadyForCW_AC]],"-")</f>
        <v>8</v>
      </c>
      <c r="AO4" s="64">
        <f t="shared" ref="AO4:AO35" si="4">$AO$2</f>
        <v>500</v>
      </c>
      <c r="AP4" s="82">
        <v>650</v>
      </c>
      <c r="AQ4" s="63">
        <f>Table_SiteMilestoneTracking[[#This Row],[SiteReadyForPower_BL]]+t4_PowerInstallBL</f>
        <v>44006</v>
      </c>
      <c r="AR4" s="84">
        <v>44007</v>
      </c>
      <c r="AS4" s="64">
        <f>IF(ISBLANK(Table_SiteMilestoneTracking[[#This Row],[TXReady_AC]])=FALSE,Table_SiteMilestoneTracking[[#This Row],[TXReady_AC]]-Table_SiteMilestoneTracking[[#This Row],[TXReady_BL]],"-")</f>
        <v>1</v>
      </c>
      <c r="AT4" s="64">
        <f>IF(ISBLANK(Table_SiteMilestoneTracking[[#This Row],[TXReady_AC]])=FALSE,Table_SiteMilestoneTracking[[#This Row],[TXReady_AC]]-Table_SiteMilestoneTracking[[#This Row],[SiteReadyForPower_AC]],"-")</f>
        <v>5</v>
      </c>
      <c r="AU4" s="64">
        <f>$AU$2</f>
        <v>500</v>
      </c>
      <c r="AV4" s="82">
        <v>650</v>
      </c>
      <c r="AW4" s="63">
        <f>Table_SiteMilestoneTracking[[#This Row],[TXReady_BL]]+t5_TxintegrationBL</f>
        <v>44013</v>
      </c>
      <c r="AX4" s="104">
        <v>44013</v>
      </c>
      <c r="AY4" s="64">
        <f>IF(ISBLANK(Table_SiteMilestoneTracking[[#This Row],[SiteReadyForInstallation_AC]])=FALSE,Table_SiteMilestoneTracking[[#This Row],[SiteReadyForInstallation_AC]]-Table_SiteMilestoneTracking[[#This Row],[SiteReadyForInstallation_BL]],"-")</f>
        <v>0</v>
      </c>
      <c r="AZ4" s="64">
        <f>IF(ISBLANK(Table_SiteMilestoneTracking[[#This Row],[SiteReadyForInstallation_AC]])=FALSE,Table_SiteMilestoneTracking[[#This Row],[SiteReadyForInstallation_AC]]-Table_SiteMilestoneTracking[[#This Row],[TXReady_AC]],"-")</f>
        <v>6</v>
      </c>
      <c r="BA4" s="64">
        <f>$BA$2</f>
        <v>2500</v>
      </c>
      <c r="BB4" s="82">
        <v>2100</v>
      </c>
      <c r="BC4" s="63">
        <f>Table_SiteMilestoneTracking[[#This Row],[SiteReadyForInstallation_BL]]+t6_InstallationBL</f>
        <v>44017</v>
      </c>
      <c r="BD4" s="84">
        <v>44018</v>
      </c>
      <c r="BE4" s="64">
        <f>IF(ISBLANK(Table_SiteMilestoneTracking[[#This Row],[SiteReadyForIntegration_AC]])=FALSE,Table_SiteMilestoneTracking[[#This Row],[SiteReadyForIntegration_AC]]-Table_SiteMilestoneTracking[[#This Row],[SiteReadyForIntegration_BL]],"-")</f>
        <v>1</v>
      </c>
      <c r="BF4" s="64">
        <f>IF(ISBLANK(Table_SiteMilestoneTracking[[#This Row],[SiteReadyForIntegration_AC]])=FALSE,Table_SiteMilestoneTracking[[#This Row],[SiteReadyForIntegration_AC]]-Table_SiteMilestoneTracking[[#This Row],[SiteReadyForInstallation_AC]],"-")</f>
        <v>5</v>
      </c>
      <c r="BG4" s="64">
        <f>$BG$2</f>
        <v>500</v>
      </c>
      <c r="BH4" s="82">
        <v>460</v>
      </c>
      <c r="BI4" s="63">
        <f>Table_SiteMilestoneTracking[[#This Row],[SiteReadyForIntegration_BL]]+t7_IntegrationBL</f>
        <v>44021</v>
      </c>
      <c r="BJ4" s="84">
        <v>44021</v>
      </c>
      <c r="BK4" s="64">
        <f>IF(ISBLANK(Table_SiteMilestoneTracking[[#This Row],[SiteOnAir_AC]])=FALSE,Table_SiteMilestoneTracking[[#This Row],[SiteOnAir_AC]]-Table_SiteMilestoneTracking[[#This Row],[SiteOnAir_BL]],"-")</f>
        <v>0</v>
      </c>
      <c r="BL4" s="64">
        <f>IF(ISBLANK(Table_SiteMilestoneTracking[[#This Row],[SiteOnAir_AC]])=FALSE,Table_SiteMilestoneTracking[[#This Row],[SiteOnAir_AC]]-Table_SiteMilestoneTracking[[#This Row],[SiteReadyForIntegration_AC]],"-")</f>
        <v>3</v>
      </c>
      <c r="BM4" s="64">
        <f>$BM$2</f>
        <v>250</v>
      </c>
      <c r="BN4" s="82">
        <v>250</v>
      </c>
      <c r="BO4" s="63">
        <f>Table_SiteMilestoneTracking[[#This Row],[SiteOnAir_BL]]+t8_AcceptanceBL</f>
        <v>44025</v>
      </c>
      <c r="BP4" s="84">
        <v>44025</v>
      </c>
      <c r="BQ4" s="64">
        <f>IF(ISBLANK(Table_SiteMilestoneTracking[[#This Row],[SiteAccepted_AC]])=FALSE,Table_SiteMilestoneTracking[[#This Row],[SiteAccepted_AC]]-Table_SiteMilestoneTracking[[#This Row],[SiteAccepted_BL]],"-")</f>
        <v>0</v>
      </c>
      <c r="BR4" s="64">
        <f>IF(ISBLANK(Table_SiteMilestoneTracking[[#This Row],[SiteAccepted_AC]])=FALSE,Table_SiteMilestoneTracking[[#This Row],[SiteAccepted_AC]]-Table_SiteMilestoneTracking[[#This Row],[SiteOnAir_AC]],"-")</f>
        <v>4</v>
      </c>
      <c r="BS4" s="64">
        <f>$BS$2</f>
        <v>200</v>
      </c>
      <c r="BT4" s="82">
        <v>200</v>
      </c>
      <c r="BU4" s="63">
        <f>Table_SiteMilestoneTracking[[#This Row],[SiteAccepted_BL]]+t9_HandoverBL</f>
        <v>44033</v>
      </c>
      <c r="BV4" s="84">
        <v>44033</v>
      </c>
      <c r="BW4" s="64">
        <f>IF(ISBLANK(Table_SiteMilestoneTracking[[#This Row],[SiteInOperations_AC]])=FALSE,Table_SiteMilestoneTracking[[#This Row],[SiteInOperations_AC]]-Table_SiteMilestoneTracking[[#This Row],[SiteInOperations_BL]],"-")</f>
        <v>0</v>
      </c>
      <c r="BX4" s="66">
        <f>Table_SiteMilestoneTracking[[#This Row],[SiteInOperations_BL]]-Table_SiteMilestoneTracking[[#This Row],[SiteDesignReady_BL]]</f>
        <v>55</v>
      </c>
      <c r="BY4" s="66">
        <f>IF(Table_SiteMilestoneTracking[[#This Row],[CurrentSiteMilestone]]="SiteInOperations",Table_SiteMilestoneTracking[[#This Row],[SiteInOperations_AC]]-Table_SiteMilestoneTracking[[#This Row],[SiteDesignReady_AC]],"")</f>
        <v>55</v>
      </c>
      <c r="BZ4" s="66">
        <f>IFERROR(Table_SiteMilestoneTracking[[#This Row],[E2E_Site_AC]]-Table_SiteMilestoneTracking[[#This Row],[E2E_Site_BL]],"")</f>
        <v>0</v>
      </c>
      <c r="CA4" s="66">
        <f>IF(Table_SiteMilestoneTracking[[#This Row],[CurrentSiteMilestone]]="SiteInOperations",Table_SiteMilestoneTracking[[#This Row],[SiteInOperations_AC]]-Table_SiteMilestoneTracking[[#This Row],[SiteAccepted_AC]],"")</f>
        <v>8</v>
      </c>
      <c r="CB4" s="79"/>
      <c r="CC4" s="89"/>
      <c r="CD4" s="94"/>
      <c r="CE4" s="70"/>
      <c r="CF4" s="70"/>
      <c r="CG4" s="70"/>
      <c r="CH4" s="70"/>
      <c r="CI4" s="70"/>
      <c r="CJ4" s="70"/>
      <c r="CK4" s="70"/>
      <c r="CL4" s="70"/>
      <c r="CM4" s="70"/>
      <c r="CN4" s="70"/>
      <c r="CO4" s="70"/>
      <c r="CP4" s="70"/>
      <c r="CQ4" s="70"/>
      <c r="CR4" s="70"/>
      <c r="CS4" s="70"/>
      <c r="CT4" s="70"/>
      <c r="CU4" s="70"/>
      <c r="CV4" s="70"/>
      <c r="CW4" s="70"/>
      <c r="CX4" s="70"/>
      <c r="CY4" s="70"/>
      <c r="CZ4" s="70"/>
      <c r="DA4" s="70"/>
      <c r="DB4" s="70"/>
      <c r="DC4" s="70"/>
      <c r="DD4" s="70"/>
      <c r="DE4" s="70"/>
      <c r="DF4" s="70"/>
      <c r="DG4" s="70"/>
      <c r="DH4" s="70"/>
      <c r="DI4" s="70"/>
      <c r="DJ4" s="70"/>
      <c r="DK4" s="70"/>
      <c r="DL4" s="70"/>
      <c r="DM4" s="70"/>
      <c r="DN4" s="70"/>
      <c r="DO4" s="70"/>
      <c r="DP4" s="70"/>
      <c r="DQ4" s="70"/>
      <c r="DR4" s="70"/>
      <c r="DS4" s="70"/>
      <c r="DT4" s="70"/>
      <c r="DU4" s="70"/>
      <c r="DV4" s="70"/>
    </row>
    <row r="5" spans="1:127" x14ac:dyDescent="0.3">
      <c r="A5" s="79" t="str">
        <f>'4. Design Tracking Summary'!A6</f>
        <v>AA00951</v>
      </c>
      <c r="B5" s="79" t="str">
        <f>'4. Design Tracking Summary'!B6</f>
        <v>North</v>
      </c>
      <c r="C5" s="79" t="str">
        <f>'4. Design Tracking Summary'!C6</f>
        <v>ZAC</v>
      </c>
      <c r="D5" s="79" t="str">
        <f>'4. Design Tracking Summary'!D6</f>
        <v>MINI</v>
      </c>
      <c r="E5" s="79" t="s">
        <v>57</v>
      </c>
      <c r="F5" s="79" t="s">
        <v>62</v>
      </c>
      <c r="G5" s="60" t="str">
        <f>IFERROR(INDEX(Table_SiteMilestonesNames[SiteMilestoneName],COUNTA(Table_SiteMilestoneTracking[[#This Row],[SiteDesignStarted_AC]],Table_SiteMilestoneTracking[[#This Row],[SiteDesignReady_AC]],Table_SiteMilestoneTracking[[#This Row],[SiteSurveyCompleted_AC]],Table_SiteMilestoneTracking[[#This Row],[SiteAcquired_AC]],Table_SiteMilestoneTracking[[#This Row],[SiteReadyForCW_AC]],Table_SiteMilestoneTracking[[#This Row],[SiteReadyForPower_AC]],Table_SiteMilestoneTracking[[#This Row],[TXReady_AC]],Table_SiteMilestoneTracking[[#This Row],[SiteReadyForInstallation_AC]],Table_SiteMilestoneTracking[[#This Row],[SiteReadyForIntegration_AC]],Table_SiteMilestoneTracking[[#This Row],[SiteOnAir_AC]],Table_SiteMilestoneTracking[[#This Row],[SiteAccepted_AC]],Table_SiteMilestoneTracking[[#This Row],[SiteInOperations_AC]])+1),"Invalid Milestone")</f>
        <v>SiteInOperations</v>
      </c>
      <c r="H5" s="61">
        <f>Table_SiteMilestoneTracking[[#This Row],[c0_SiteDesignCostBL]]+Table_SiteMilestoneTracking[[#This Row],[c1_SiteSurveyCostBL]]+Table_SiteMilestoneTracking[[#This Row],[c2_SiteAcquisitionCostBL]]+Table_SiteMilestoneTracking[[#This Row],[c3_CivilWorksCostBL]]+Table_SiteMilestoneTracking[[#This Row],[c4_PowerInstallCostBL]]+Table_SiteMilestoneTracking[[#This Row],[c5_TxintegrationCostBL]]+Table_SiteMilestoneTracking[[#This Row],[c6_InstallationCostBL]]+Table_SiteMilestoneTracking[[#This Row],[c7_IntegrationCostBL]]+Table_SiteMilestoneTracking[[#This Row],[c8_AcceptanceCostBL]]+Table_SiteMilestoneTracking[[#This Row],[c9_HandoverCostBL]]</f>
        <v>7550</v>
      </c>
      <c r="I5" s="62">
        <f>Table_SiteMilestoneTracking[[#This Row],[c0_SiteDesignCostAC]]+Table_SiteMilestoneTracking[[#This Row],[c1_SiteSurveyCostAC]]+Table_SiteMilestoneTracking[[#This Row],[c2_SiteAcquisitionCostAC]]+Table_SiteMilestoneTracking[[#This Row],[c3_CivilWorksCostAC]]+Table_SiteMilestoneTracking[[#This Row],[c4_PowerInstallCostAC]]+Table_SiteMilestoneTracking[[#This Row],[c5_TxintegrationCostAC]]+Table_SiteMilestoneTracking[[#This Row],[c6_InstallationCostAC]]+Table_SiteMilestoneTracking[[#This Row],[c7_IntegrationCostAC]]+Table_SiteMilestoneTracking[[#This Row],[c8_AcceptanceCostAC]]+Table_SiteMilestoneTracking[[#This Row],[c9_HandoverCostAC]]</f>
        <v>7620</v>
      </c>
      <c r="J5" s="84">
        <v>43981</v>
      </c>
      <c r="K5" s="84">
        <v>43982</v>
      </c>
      <c r="L5" s="64">
        <f>IF(ISBLANK(Table_SiteMilestoneTracking[[#This Row],[SiteDesignStarted_AC]])=FALSE,Table_SiteMilestoneTracking[[#This Row],[SiteDesignStarted_AC]]-Table_SiteMilestoneTracking[[#This Row],[SiteDesignStarted_BL]],"")</f>
        <v>1</v>
      </c>
      <c r="M5" s="64">
        <f t="shared" si="0"/>
        <v>500</v>
      </c>
      <c r="N5" s="87">
        <v>460</v>
      </c>
      <c r="O5" s="63">
        <f>Table_SiteMilestoneTracking[[#This Row],[SiteDesignStarted_BL]]+t0_SiteDesignDelayBL</f>
        <v>43983</v>
      </c>
      <c r="P5" s="84">
        <v>43984</v>
      </c>
      <c r="Q5" s="64">
        <f>IF(ISBLANK(Table_SiteMilestoneTracking[[#This Row],[SiteDesignReady_AC]])=FALSE,Table_SiteMilestoneTracking[[#This Row],[SiteDesignReady_AC]]-Table_SiteMilestoneTracking[[#This Row],[SiteDesignReady_BL]],"-")</f>
        <v>1</v>
      </c>
      <c r="R5" s="64">
        <f t="shared" ref="R5:R68" si="5">$R$2</f>
        <v>500</v>
      </c>
      <c r="S5" s="82">
        <v>375</v>
      </c>
      <c r="T5" s="63">
        <f>Table_SiteMilestoneTracking[[#This Row],[SiteDesignReady_BL]]+t1_SiteSurveyBL</f>
        <v>43985</v>
      </c>
      <c r="U5" s="84">
        <v>43987</v>
      </c>
      <c r="V5" s="64">
        <f>IF(ISBLANK(Table_SiteMilestoneTracking[[#This Row],[SiteSurveyCompleted_AC]])=FALSE,Table_SiteMilestoneTracking[[#This Row],[SiteSurveyCompleted_AC]]-Table_SiteMilestoneTracking[[#This Row],[SiteDesignReady_AC]],"-")</f>
        <v>3</v>
      </c>
      <c r="W5" s="64">
        <f t="shared" si="1"/>
        <v>600</v>
      </c>
      <c r="X5" s="82">
        <v>540</v>
      </c>
      <c r="Y5" s="63">
        <f>Table_SiteMilestoneTracking[[#This Row],[SiteSurveyCompleted_BL]]+t2_SiteAcquisitionBL</f>
        <v>43996</v>
      </c>
      <c r="Z5" s="84">
        <v>43999</v>
      </c>
      <c r="AA5" s="65">
        <f>IF(ISBLANK(Table_SiteMilestoneTracking[[#This Row],[SiteAcquired_AC]])=FALSE,Table_SiteMilestoneTracking[[#This Row],[SiteAcquired_AC]]-Table_SiteMilestoneTracking[[#This Row],[SiteAcquired_BL]],"-")</f>
        <v>3</v>
      </c>
      <c r="AB5" s="65">
        <f>IF(ISBLANK(Table_SiteMilestoneTracking[[#This Row],[SiteAcquired_AC]])=FALSE,Table_SiteMilestoneTracking[[#This Row],[SiteAcquired_AC]]-Table_SiteMilestoneTracking[[#This Row],[SiteSurveyCompleted_AC]],"-")</f>
        <v>12</v>
      </c>
      <c r="AC5" s="64">
        <f t="shared" si="2"/>
        <v>150</v>
      </c>
      <c r="AD5" s="82">
        <v>165</v>
      </c>
      <c r="AE5" s="63">
        <f>Table_SiteMilestoneTracking[[#This Row],[SiteAcquired_BL]]+t2a_SiteCWReadinessBL</f>
        <v>43998</v>
      </c>
      <c r="AF5" s="85">
        <v>44001</v>
      </c>
      <c r="AG5" s="66">
        <f>IF(ISBLANK(Table_SiteMilestoneTracking[[#This Row],[SiteReadyForCW_AC]])=FALSE,Table_SiteMilestoneTracking[[#This Row],[SiteReadyForCW_AC]]-Table_SiteMilestoneTracking[[#This Row],[SiteReadyForCW_BL]],"-")</f>
        <v>3</v>
      </c>
      <c r="AH5" s="66">
        <f>IF(ISBLANK(Table_SiteMilestoneTracking[[#This Row],[SiteReadyForCW_AC]])=FALSE,Table_SiteMilestoneTracking[[#This Row],[SiteReadyForCW_AC]]-Table_SiteMilestoneTracking[[#This Row],[SiteDesignReady_AC]],"-")</f>
        <v>17</v>
      </c>
      <c r="AI5" s="64">
        <f t="shared" si="3"/>
        <v>1500</v>
      </c>
      <c r="AJ5" s="82">
        <v>1950</v>
      </c>
      <c r="AK5" s="63">
        <f>Table_SiteMilestoneTracking[[#This Row],[SiteReadyForCW_BL]]+t3_CivilWorksBL</f>
        <v>44006</v>
      </c>
      <c r="AL5" s="84">
        <v>44010</v>
      </c>
      <c r="AM5" s="64">
        <f>IF(ISBLANK(Table_SiteMilestoneTracking[[#This Row],[SiteReadyForPower_AC]])=FALSE,Table_SiteMilestoneTracking[[#This Row],[SiteReadyForPower_AC]]-Table_SiteMilestoneTracking[[#This Row],[SiteReadyForPower_BL]],"-")</f>
        <v>4</v>
      </c>
      <c r="AN5" s="64">
        <f>IF(ISBLANK(Table_SiteMilestoneTracking[[#This Row],[SiteReadyForPower_AC]])=FALSE,Table_SiteMilestoneTracking[[#This Row],[SiteReadyForPower_AC]]-Table_SiteMilestoneTracking[[#This Row],[SiteReadyForCW_AC]],"-")</f>
        <v>9</v>
      </c>
      <c r="AO5" s="64">
        <f t="shared" si="4"/>
        <v>500</v>
      </c>
      <c r="AP5" s="82">
        <v>600</v>
      </c>
      <c r="AQ5" s="63">
        <f>Table_SiteMilestoneTracking[[#This Row],[SiteReadyForPower_BL]]+t4_PowerInstallBL</f>
        <v>44011</v>
      </c>
      <c r="AR5" s="84">
        <v>44015</v>
      </c>
      <c r="AS5" s="64">
        <f>IF(ISBLANK(Table_SiteMilestoneTracking[[#This Row],[TXReady_AC]])=FALSE,Table_SiteMilestoneTracking[[#This Row],[TXReady_AC]]-Table_SiteMilestoneTracking[[#This Row],[TXReady_BL]],"-")</f>
        <v>4</v>
      </c>
      <c r="AT5" s="64">
        <f>IF(ISBLANK(Table_SiteMilestoneTracking[[#This Row],[TXReady_AC]])=FALSE,Table_SiteMilestoneTracking[[#This Row],[TXReady_AC]]-Table_SiteMilestoneTracking[[#This Row],[SiteReadyForPower_AC]],"-")</f>
        <v>5</v>
      </c>
      <c r="AU5" s="64">
        <f>$AU$2</f>
        <v>500</v>
      </c>
      <c r="AV5" s="82">
        <v>550</v>
      </c>
      <c r="AW5" s="63">
        <f>Table_SiteMilestoneTracking[[#This Row],[TXReady_BL]]+t5_TxintegrationBL</f>
        <v>44018</v>
      </c>
      <c r="AX5" s="84">
        <v>44023</v>
      </c>
      <c r="AY5" s="64">
        <f>IF(ISBLANK(Table_SiteMilestoneTracking[[#This Row],[SiteReadyForInstallation_AC]])=FALSE,Table_SiteMilestoneTracking[[#This Row],[SiteReadyForInstallation_AC]]-Table_SiteMilestoneTracking[[#This Row],[SiteReadyForInstallation_BL]],"-")</f>
        <v>5</v>
      </c>
      <c r="AZ5" s="64">
        <f>IF(ISBLANK(Table_SiteMilestoneTracking[[#This Row],[SiteReadyForInstallation_AC]])=FALSE,Table_SiteMilestoneTracking[[#This Row],[SiteReadyForInstallation_AC]]-Table_SiteMilestoneTracking[[#This Row],[TXReady_AC]],"-")</f>
        <v>8</v>
      </c>
      <c r="BA5" s="64">
        <f>$BA$2</f>
        <v>2500</v>
      </c>
      <c r="BB5" s="82">
        <v>2200.0000000000005</v>
      </c>
      <c r="BC5" s="63">
        <f>Table_SiteMilestoneTracking[[#This Row],[SiteReadyForInstallation_BL]]+t6_InstallationBL</f>
        <v>44022</v>
      </c>
      <c r="BD5" s="84">
        <v>44028</v>
      </c>
      <c r="BE5" s="64">
        <f>IF(ISBLANK(Table_SiteMilestoneTracking[[#This Row],[SiteReadyForIntegration_AC]])=FALSE,Table_SiteMilestoneTracking[[#This Row],[SiteReadyForIntegration_AC]]-Table_SiteMilestoneTracking[[#This Row],[SiteReadyForIntegration_BL]],"-")</f>
        <v>6</v>
      </c>
      <c r="BF5" s="64">
        <f>IF(ISBLANK(Table_SiteMilestoneTracking[[#This Row],[SiteReadyForIntegration_AC]])=FALSE,Table_SiteMilestoneTracking[[#This Row],[SiteReadyForIntegration_AC]]-Table_SiteMilestoneTracking[[#This Row],[SiteReadyForInstallation_AC]],"-")</f>
        <v>5</v>
      </c>
      <c r="BG5" s="64">
        <f>$BG$2</f>
        <v>500</v>
      </c>
      <c r="BH5" s="82">
        <v>495</v>
      </c>
      <c r="BI5" s="63">
        <f>Table_SiteMilestoneTracking[[#This Row],[SiteReadyForIntegration_BL]]+t7_IntegrationBL</f>
        <v>44026</v>
      </c>
      <c r="BJ5" s="84">
        <v>44029</v>
      </c>
      <c r="BK5" s="64">
        <f>IF(ISBLANK(Table_SiteMilestoneTracking[[#This Row],[SiteOnAir_AC]])=FALSE,Table_SiteMilestoneTracking[[#This Row],[SiteOnAir_AC]]-Table_SiteMilestoneTracking[[#This Row],[SiteOnAir_BL]],"-")</f>
        <v>3</v>
      </c>
      <c r="BL5" s="64">
        <f>IF(ISBLANK(Table_SiteMilestoneTracking[[#This Row],[SiteOnAir_AC]])=FALSE,Table_SiteMilestoneTracking[[#This Row],[SiteOnAir_AC]]-Table_SiteMilestoneTracking[[#This Row],[SiteReadyForIntegration_AC]],"-")</f>
        <v>1</v>
      </c>
      <c r="BM5" s="64">
        <f>$BM$2</f>
        <v>250</v>
      </c>
      <c r="BN5" s="82">
        <v>250</v>
      </c>
      <c r="BO5" s="63">
        <f>Table_SiteMilestoneTracking[[#This Row],[SiteOnAir_BL]]+t8_AcceptanceBL</f>
        <v>44030</v>
      </c>
      <c r="BP5" s="84">
        <v>44030</v>
      </c>
      <c r="BQ5" s="64">
        <f>IF(ISBLANK(Table_SiteMilestoneTracking[[#This Row],[SiteAccepted_AC]])=FALSE,Table_SiteMilestoneTracking[[#This Row],[SiteAccepted_AC]]-Table_SiteMilestoneTracking[[#This Row],[SiteAccepted_BL]],"-")</f>
        <v>0</v>
      </c>
      <c r="BR5" s="64">
        <f>IF(ISBLANK(Table_SiteMilestoneTracking[[#This Row],[SiteAccepted_AC]])=FALSE,Table_SiteMilestoneTracking[[#This Row],[SiteAccepted_AC]]-Table_SiteMilestoneTracking[[#This Row],[SiteOnAir_AC]],"-")</f>
        <v>1</v>
      </c>
      <c r="BS5" s="64">
        <f>$BS$2</f>
        <v>200</v>
      </c>
      <c r="BT5" s="82">
        <v>200</v>
      </c>
      <c r="BU5" s="63">
        <f>Table_SiteMilestoneTracking[[#This Row],[SiteAccepted_BL]]+t9_HandoverBL</f>
        <v>44038</v>
      </c>
      <c r="BV5" s="84">
        <v>44047</v>
      </c>
      <c r="BW5" s="64">
        <f>IF(ISBLANK(Table_SiteMilestoneTracking[[#This Row],[SiteInOperations_AC]])=FALSE,Table_SiteMilestoneTracking[[#This Row],[SiteInOperations_AC]]-Table_SiteMilestoneTracking[[#This Row],[SiteInOperations_BL]],"-")</f>
        <v>9</v>
      </c>
      <c r="BX5" s="66">
        <f>Table_SiteMilestoneTracking[[#This Row],[SiteInOperations_BL]]-Table_SiteMilestoneTracking[[#This Row],[SiteDesignReady_BL]]</f>
        <v>55</v>
      </c>
      <c r="BY5" s="66">
        <f>IF(Table_SiteMilestoneTracking[[#This Row],[CurrentSiteMilestone]]="SiteInOperations",Table_SiteMilestoneTracking[[#This Row],[SiteInOperations_AC]]-Table_SiteMilestoneTracking[[#This Row],[SiteDesignReady_AC]],"")</f>
        <v>63</v>
      </c>
      <c r="BZ5" s="66">
        <f>IFERROR(Table_SiteMilestoneTracking[[#This Row],[E2E_Site_AC]]-Table_SiteMilestoneTracking[[#This Row],[E2E_Site_BL]],"")</f>
        <v>8</v>
      </c>
      <c r="CA5" s="66">
        <f>IF(Table_SiteMilestoneTracking[[#This Row],[CurrentSiteMilestone]]="SiteInOperations",Table_SiteMilestoneTracking[[#This Row],[SiteInOperations_AC]]-Table_SiteMilestoneTracking[[#This Row],[SiteAccepted_AC]],"")</f>
        <v>17</v>
      </c>
      <c r="CB5" s="79"/>
      <c r="CC5" s="89"/>
      <c r="CD5" s="89"/>
      <c r="CE5" s="70"/>
      <c r="CF5" s="70"/>
      <c r="CG5" s="70"/>
      <c r="CH5" s="70"/>
      <c r="CI5" s="70"/>
      <c r="CJ5" s="70"/>
      <c r="CK5" s="70"/>
      <c r="CL5" s="70"/>
      <c r="CM5" s="70"/>
      <c r="CN5" s="70"/>
      <c r="CO5" s="70"/>
      <c r="CP5" s="70"/>
      <c r="CQ5" s="70"/>
      <c r="CR5" s="70"/>
      <c r="CS5" s="70"/>
      <c r="CT5" s="70"/>
      <c r="CU5" s="70"/>
      <c r="CV5" s="70"/>
      <c r="CW5" s="70"/>
      <c r="CX5" s="70"/>
      <c r="CY5" s="70"/>
      <c r="CZ5" s="70"/>
      <c r="DA5" s="70"/>
      <c r="DB5" s="70"/>
      <c r="DC5" s="70"/>
      <c r="DD5" s="70"/>
      <c r="DE5" s="70"/>
      <c r="DF5" s="70"/>
      <c r="DG5" s="70"/>
      <c r="DH5" s="70"/>
      <c r="DI5" s="70"/>
      <c r="DJ5" s="70"/>
      <c r="DK5" s="70"/>
      <c r="DL5" s="70"/>
      <c r="DM5" s="70"/>
      <c r="DN5" s="70"/>
      <c r="DO5" s="70"/>
      <c r="DP5" s="70"/>
      <c r="DQ5" s="70"/>
      <c r="DR5" s="70"/>
      <c r="DS5" s="70"/>
      <c r="DT5" s="70"/>
      <c r="DU5" s="70"/>
      <c r="DV5" s="70"/>
    </row>
    <row r="6" spans="1:127" x14ac:dyDescent="0.3">
      <c r="A6" s="79" t="str">
        <f>'4. Design Tracking Summary'!A7</f>
        <v>ED00640</v>
      </c>
      <c r="B6" s="79" t="str">
        <f>'4. Design Tracking Summary'!B7</f>
        <v>Center</v>
      </c>
      <c r="C6" s="79" t="str">
        <f>'4. Design Tracking Summary'!C7</f>
        <v>GTO</v>
      </c>
      <c r="D6" s="79" t="str">
        <f>'4. Design Tracking Summary'!D7</f>
        <v>SMALL</v>
      </c>
      <c r="E6" s="79" t="s">
        <v>58</v>
      </c>
      <c r="F6" s="79" t="s">
        <v>63</v>
      </c>
      <c r="G6" s="60" t="str">
        <f>IFERROR(INDEX(Table_SiteMilestonesNames[SiteMilestoneName],COUNTA(Table_SiteMilestoneTracking[[#This Row],[SiteDesignStarted_AC]],Table_SiteMilestoneTracking[[#This Row],[SiteDesignReady_AC]],Table_SiteMilestoneTracking[[#This Row],[SiteSurveyCompleted_AC]],Table_SiteMilestoneTracking[[#This Row],[SiteAcquired_AC]],Table_SiteMilestoneTracking[[#This Row],[SiteReadyForCW_AC]],Table_SiteMilestoneTracking[[#This Row],[SiteReadyForPower_AC]],Table_SiteMilestoneTracking[[#This Row],[TXReady_AC]],Table_SiteMilestoneTracking[[#This Row],[SiteReadyForInstallation_AC]],Table_SiteMilestoneTracking[[#This Row],[SiteReadyForIntegration_AC]],Table_SiteMilestoneTracking[[#This Row],[SiteOnAir_AC]],Table_SiteMilestoneTracking[[#This Row],[SiteAccepted_AC]],Table_SiteMilestoneTracking[[#This Row],[SiteInOperations_AC]])+1),"Invalid Milestone")</f>
        <v>SiteInOperations</v>
      </c>
      <c r="H6" s="61">
        <f>Table_SiteMilestoneTracking[[#This Row],[c0_SiteDesignCostBL]]+Table_SiteMilestoneTracking[[#This Row],[c1_SiteSurveyCostBL]]+Table_SiteMilestoneTracking[[#This Row],[c2_SiteAcquisitionCostBL]]+Table_SiteMilestoneTracking[[#This Row],[c3_CivilWorksCostBL]]+Table_SiteMilestoneTracking[[#This Row],[c4_PowerInstallCostBL]]+Table_SiteMilestoneTracking[[#This Row],[c5_TxintegrationCostBL]]+Table_SiteMilestoneTracking[[#This Row],[c6_InstallationCostBL]]+Table_SiteMilestoneTracking[[#This Row],[c7_IntegrationCostBL]]+Table_SiteMilestoneTracking[[#This Row],[c8_AcceptanceCostBL]]+Table_SiteMilestoneTracking[[#This Row],[c9_HandoverCostBL]]</f>
        <v>7550</v>
      </c>
      <c r="I6" s="62">
        <f>Table_SiteMilestoneTracking[[#This Row],[c0_SiteDesignCostAC]]+Table_SiteMilestoneTracking[[#This Row],[c1_SiteSurveyCostAC]]+Table_SiteMilestoneTracking[[#This Row],[c2_SiteAcquisitionCostAC]]+Table_SiteMilestoneTracking[[#This Row],[c3_CivilWorksCostAC]]+Table_SiteMilestoneTracking[[#This Row],[c4_PowerInstallCostAC]]+Table_SiteMilestoneTracking[[#This Row],[c5_TxintegrationCostAC]]+Table_SiteMilestoneTracking[[#This Row],[c6_InstallationCostAC]]+Table_SiteMilestoneTracking[[#This Row],[c7_IntegrationCostAC]]+Table_SiteMilestoneTracking[[#This Row],[c8_AcceptanceCostAC]]+Table_SiteMilestoneTracking[[#This Row],[c9_HandoverCostAC]]</f>
        <v>7755</v>
      </c>
      <c r="J6" s="84">
        <v>43981</v>
      </c>
      <c r="K6" s="84">
        <v>43983</v>
      </c>
      <c r="L6" s="64">
        <f>IF(ISBLANK(Table_SiteMilestoneTracking[[#This Row],[SiteDesignStarted_AC]])=FALSE,Table_SiteMilestoneTracking[[#This Row],[SiteDesignStarted_AC]]-Table_SiteMilestoneTracking[[#This Row],[SiteDesignStarted_BL]],"")</f>
        <v>2</v>
      </c>
      <c r="M6" s="64">
        <f t="shared" si="0"/>
        <v>500</v>
      </c>
      <c r="N6" s="87">
        <v>540</v>
      </c>
      <c r="O6" s="63">
        <f>Table_SiteMilestoneTracking[[#This Row],[SiteDesignStarted_BL]]+t0_SiteDesignDelayBL</f>
        <v>43983</v>
      </c>
      <c r="P6" s="84">
        <v>43986</v>
      </c>
      <c r="Q6" s="64">
        <f>IF(ISBLANK(Table_SiteMilestoneTracking[[#This Row],[SiteDesignReady_AC]])=FALSE,Table_SiteMilestoneTracking[[#This Row],[SiteDesignReady_AC]]-Table_SiteMilestoneTracking[[#This Row],[SiteDesignReady_BL]],"-")</f>
        <v>3</v>
      </c>
      <c r="R6" s="64">
        <f t="shared" si="5"/>
        <v>500</v>
      </c>
      <c r="S6" s="82">
        <v>575</v>
      </c>
      <c r="T6" s="63">
        <f>Table_SiteMilestoneTracking[[#This Row],[SiteDesignReady_BL]]+t1_SiteSurveyBL</f>
        <v>43985</v>
      </c>
      <c r="U6" s="84">
        <v>43988</v>
      </c>
      <c r="V6" s="64">
        <f>IF(ISBLANK(Table_SiteMilestoneTracking[[#This Row],[SiteSurveyCompleted_AC]])=FALSE,Table_SiteMilestoneTracking[[#This Row],[SiteSurveyCompleted_AC]]-Table_SiteMilestoneTracking[[#This Row],[SiteDesignReady_AC]],"-")</f>
        <v>2</v>
      </c>
      <c r="W6" s="64">
        <f t="shared" si="1"/>
        <v>600</v>
      </c>
      <c r="X6" s="82">
        <v>480</v>
      </c>
      <c r="Y6" s="63">
        <f>Table_SiteMilestoneTracking[[#This Row],[SiteSurveyCompleted_BL]]+t2_SiteAcquisitionBL</f>
        <v>43996</v>
      </c>
      <c r="Z6" s="84">
        <v>44000</v>
      </c>
      <c r="AA6" s="65">
        <f>IF(ISBLANK(Table_SiteMilestoneTracking[[#This Row],[SiteAcquired_AC]])=FALSE,Table_SiteMilestoneTracking[[#This Row],[SiteAcquired_AC]]-Table_SiteMilestoneTracking[[#This Row],[SiteAcquired_BL]],"-")</f>
        <v>4</v>
      </c>
      <c r="AB6" s="65">
        <f>IF(ISBLANK(Table_SiteMilestoneTracking[[#This Row],[SiteAcquired_AC]])=FALSE,Table_SiteMilestoneTracking[[#This Row],[SiteAcquired_AC]]-Table_SiteMilestoneTracking[[#This Row],[SiteSurveyCompleted_AC]],"-")</f>
        <v>12</v>
      </c>
      <c r="AC6" s="64">
        <f t="shared" si="2"/>
        <v>150</v>
      </c>
      <c r="AD6" s="82">
        <v>150</v>
      </c>
      <c r="AE6" s="63">
        <f>Table_SiteMilestoneTracking[[#This Row],[SiteAcquired_BL]]+t2a_SiteCWReadinessBL</f>
        <v>43998</v>
      </c>
      <c r="AF6" s="85">
        <v>44003</v>
      </c>
      <c r="AG6" s="66">
        <f>IF(ISBLANK(Table_SiteMilestoneTracking[[#This Row],[SiteReadyForCW_AC]])=FALSE,Table_SiteMilestoneTracking[[#This Row],[SiteReadyForCW_AC]]-Table_SiteMilestoneTracking[[#This Row],[SiteReadyForCW_BL]],"-")</f>
        <v>5</v>
      </c>
      <c r="AH6" s="66">
        <f>IF(ISBLANK(Table_SiteMilestoneTracking[[#This Row],[SiteReadyForCW_AC]])=FALSE,Table_SiteMilestoneTracking[[#This Row],[SiteReadyForCW_AC]]-Table_SiteMilestoneTracking[[#This Row],[SiteDesignReady_AC]],"-")</f>
        <v>17</v>
      </c>
      <c r="AI6" s="64">
        <f t="shared" si="3"/>
        <v>1500</v>
      </c>
      <c r="AJ6" s="82">
        <v>2250</v>
      </c>
      <c r="AK6" s="63">
        <f>Table_SiteMilestoneTracking[[#This Row],[SiteReadyForCW_BL]]+t3_CivilWorksBL</f>
        <v>44006</v>
      </c>
      <c r="AL6" s="84">
        <v>44012</v>
      </c>
      <c r="AM6" s="64">
        <f>IF(ISBLANK(Table_SiteMilestoneTracking[[#This Row],[SiteReadyForPower_AC]])=FALSE,Table_SiteMilestoneTracking[[#This Row],[SiteReadyForPower_AC]]-Table_SiteMilestoneTracking[[#This Row],[SiteReadyForPower_BL]],"-")</f>
        <v>6</v>
      </c>
      <c r="AN6" s="64">
        <f>IF(ISBLANK(Table_SiteMilestoneTracking[[#This Row],[SiteReadyForPower_AC]])=FALSE,Table_SiteMilestoneTracking[[#This Row],[SiteReadyForPower_AC]]-Table_SiteMilestoneTracking[[#This Row],[SiteReadyForCW_AC]],"-")</f>
        <v>9</v>
      </c>
      <c r="AO6" s="64">
        <f t="shared" si="4"/>
        <v>500</v>
      </c>
      <c r="AP6" s="82">
        <v>250</v>
      </c>
      <c r="AQ6" s="63">
        <f>Table_SiteMilestoneTracking[[#This Row],[SiteReadyForPower_BL]]+t4_PowerInstallBL</f>
        <v>44011</v>
      </c>
      <c r="AR6" s="84">
        <v>44018</v>
      </c>
      <c r="AS6" s="64">
        <f>IF(ISBLANK(Table_SiteMilestoneTracking[[#This Row],[TXReady_AC]])=FALSE,Table_SiteMilestoneTracking[[#This Row],[TXReady_AC]]-Table_SiteMilestoneTracking[[#This Row],[TXReady_BL]],"-")</f>
        <v>7</v>
      </c>
      <c r="AT6" s="64">
        <f>IF(ISBLANK(Table_SiteMilestoneTracking[[#This Row],[TXReady_AC]])=FALSE,Table_SiteMilestoneTracking[[#This Row],[TXReady_AC]]-Table_SiteMilestoneTracking[[#This Row],[SiteReadyForPower_AC]],"-")</f>
        <v>6</v>
      </c>
      <c r="AU6" s="64">
        <f>$AU$2</f>
        <v>500</v>
      </c>
      <c r="AV6" s="82">
        <v>600</v>
      </c>
      <c r="AW6" s="63">
        <f>Table_SiteMilestoneTracking[[#This Row],[TXReady_BL]]+t5_TxintegrationBL</f>
        <v>44018</v>
      </c>
      <c r="AX6" s="84">
        <v>44026</v>
      </c>
      <c r="AY6" s="64">
        <f>IF(ISBLANK(Table_SiteMilestoneTracking[[#This Row],[SiteReadyForInstallation_AC]])=FALSE,Table_SiteMilestoneTracking[[#This Row],[SiteReadyForInstallation_AC]]-Table_SiteMilestoneTracking[[#This Row],[SiteReadyForInstallation_BL]],"-")</f>
        <v>8</v>
      </c>
      <c r="AZ6" s="64">
        <f>IF(ISBLANK(Table_SiteMilestoneTracking[[#This Row],[SiteReadyForInstallation_AC]])=FALSE,Table_SiteMilestoneTracking[[#This Row],[SiteReadyForInstallation_AC]]-Table_SiteMilestoneTracking[[#This Row],[TXReady_AC]],"-")</f>
        <v>8</v>
      </c>
      <c r="BA6" s="64">
        <f>$BA$2</f>
        <v>2500</v>
      </c>
      <c r="BB6" s="82">
        <v>2150.0000000000005</v>
      </c>
      <c r="BC6" s="63">
        <f>Table_SiteMilestoneTracking[[#This Row],[SiteReadyForInstallation_BL]]+t6_InstallationBL</f>
        <v>44022</v>
      </c>
      <c r="BD6" s="84">
        <v>44028</v>
      </c>
      <c r="BE6" s="64">
        <f>IF(ISBLANK(Table_SiteMilestoneTracking[[#This Row],[SiteReadyForIntegration_AC]])=FALSE,Table_SiteMilestoneTracking[[#This Row],[SiteReadyForIntegration_AC]]-Table_SiteMilestoneTracking[[#This Row],[SiteReadyForIntegration_BL]],"-")</f>
        <v>6</v>
      </c>
      <c r="BF6" s="64">
        <f>IF(ISBLANK(Table_SiteMilestoneTracking[[#This Row],[SiteReadyForIntegration_AC]])=FALSE,Table_SiteMilestoneTracking[[#This Row],[SiteReadyForIntegration_AC]]-Table_SiteMilestoneTracking[[#This Row],[SiteReadyForInstallation_AC]],"-")</f>
        <v>2</v>
      </c>
      <c r="BG6" s="64">
        <f>$BG$2</f>
        <v>500</v>
      </c>
      <c r="BH6" s="82">
        <v>460</v>
      </c>
      <c r="BI6" s="63">
        <f>Table_SiteMilestoneTracking[[#This Row],[SiteReadyForIntegration_BL]]+t7_IntegrationBL</f>
        <v>44026</v>
      </c>
      <c r="BJ6" s="84">
        <v>44028</v>
      </c>
      <c r="BK6" s="64">
        <f>IF(ISBLANK(Table_SiteMilestoneTracking[[#This Row],[SiteOnAir_AC]])=FALSE,Table_SiteMilestoneTracking[[#This Row],[SiteOnAir_AC]]-Table_SiteMilestoneTracking[[#This Row],[SiteOnAir_BL]],"-")</f>
        <v>2</v>
      </c>
      <c r="BL6" s="64">
        <f>IF(ISBLANK(Table_SiteMilestoneTracking[[#This Row],[SiteOnAir_AC]])=FALSE,Table_SiteMilestoneTracking[[#This Row],[SiteOnAir_AC]]-Table_SiteMilestoneTracking[[#This Row],[SiteReadyForIntegration_AC]],"-")</f>
        <v>0</v>
      </c>
      <c r="BM6" s="64">
        <f>$BM$2</f>
        <v>250</v>
      </c>
      <c r="BN6" s="82">
        <v>250</v>
      </c>
      <c r="BO6" s="63">
        <f>Table_SiteMilestoneTracking[[#This Row],[SiteOnAir_BL]]+t8_AcceptanceBL</f>
        <v>44030</v>
      </c>
      <c r="BP6" s="84">
        <v>44040</v>
      </c>
      <c r="BQ6" s="64">
        <f>IF(ISBLANK(Table_SiteMilestoneTracking[[#This Row],[SiteAccepted_AC]])=FALSE,Table_SiteMilestoneTracking[[#This Row],[SiteAccepted_AC]]-Table_SiteMilestoneTracking[[#This Row],[SiteAccepted_BL]],"-")</f>
        <v>10</v>
      </c>
      <c r="BR6" s="64">
        <f>IF(ISBLANK(Table_SiteMilestoneTracking[[#This Row],[SiteAccepted_AC]])=FALSE,Table_SiteMilestoneTracking[[#This Row],[SiteAccepted_AC]]-Table_SiteMilestoneTracking[[#This Row],[SiteOnAir_AC]],"-")</f>
        <v>12</v>
      </c>
      <c r="BS6" s="64">
        <f>$BS$2</f>
        <v>200</v>
      </c>
      <c r="BT6" s="82">
        <v>200</v>
      </c>
      <c r="BU6" s="63">
        <f>Table_SiteMilestoneTracking[[#This Row],[SiteAccepted_BL]]+t9_HandoverBL</f>
        <v>44038</v>
      </c>
      <c r="BV6" s="84">
        <v>44049</v>
      </c>
      <c r="BW6" s="64">
        <f>IF(ISBLANK(Table_SiteMilestoneTracking[[#This Row],[SiteInOperations_AC]])=FALSE,Table_SiteMilestoneTracking[[#This Row],[SiteInOperations_AC]]-Table_SiteMilestoneTracking[[#This Row],[SiteInOperations_BL]],"-")</f>
        <v>11</v>
      </c>
      <c r="BX6" s="66">
        <f>Table_SiteMilestoneTracking[[#This Row],[SiteInOperations_BL]]-Table_SiteMilestoneTracking[[#This Row],[SiteDesignReady_BL]]</f>
        <v>55</v>
      </c>
      <c r="BY6" s="66">
        <f>IF(Table_SiteMilestoneTracking[[#This Row],[CurrentSiteMilestone]]="SiteInOperations",Table_SiteMilestoneTracking[[#This Row],[SiteInOperations_AC]]-Table_SiteMilestoneTracking[[#This Row],[SiteDesignReady_AC]],"")</f>
        <v>63</v>
      </c>
      <c r="BZ6" s="66">
        <f>IFERROR(Table_SiteMilestoneTracking[[#This Row],[E2E_Site_AC]]-Table_SiteMilestoneTracking[[#This Row],[E2E_Site_BL]],"")</f>
        <v>8</v>
      </c>
      <c r="CA6" s="66">
        <f>IF(Table_SiteMilestoneTracking[[#This Row],[CurrentSiteMilestone]]="SiteInOperations",Table_SiteMilestoneTracking[[#This Row],[SiteInOperations_AC]]-Table_SiteMilestoneTracking[[#This Row],[SiteAccepted_AC]],"")</f>
        <v>9</v>
      </c>
      <c r="CB6" s="79"/>
      <c r="CC6" s="89"/>
      <c r="CD6" s="89"/>
      <c r="CE6" s="70"/>
      <c r="CF6" s="70"/>
      <c r="CG6" s="70"/>
      <c r="CH6" s="70"/>
      <c r="CI6" s="70"/>
      <c r="CJ6" s="70"/>
      <c r="CK6" s="70"/>
      <c r="CL6" s="70"/>
      <c r="CM6" s="70"/>
      <c r="CN6" s="70"/>
      <c r="CO6" s="70"/>
      <c r="CP6" s="70"/>
      <c r="CQ6" s="70"/>
      <c r="CR6" s="70"/>
      <c r="CS6" s="70"/>
      <c r="CT6" s="70"/>
      <c r="CU6" s="70"/>
      <c r="CV6" s="70"/>
      <c r="CW6" s="70"/>
      <c r="CX6" s="70"/>
      <c r="CY6" s="70"/>
      <c r="CZ6" s="70"/>
      <c r="DA6" s="70"/>
      <c r="DB6" s="70"/>
      <c r="DC6" s="70"/>
      <c r="DD6" s="70"/>
      <c r="DE6" s="70"/>
      <c r="DF6" s="70"/>
      <c r="DG6" s="70"/>
      <c r="DH6" s="70"/>
      <c r="DI6" s="70"/>
      <c r="DJ6" s="70"/>
      <c r="DK6" s="70"/>
      <c r="DL6" s="70"/>
      <c r="DM6" s="70"/>
      <c r="DN6" s="70"/>
      <c r="DO6" s="70"/>
      <c r="DP6" s="70"/>
      <c r="DQ6" s="70"/>
      <c r="DR6" s="70"/>
      <c r="DS6" s="70"/>
      <c r="DT6" s="70"/>
      <c r="DU6" s="70"/>
      <c r="DV6" s="70"/>
    </row>
    <row r="7" spans="1:127" s="31" customFormat="1" x14ac:dyDescent="0.3">
      <c r="A7" s="79" t="str">
        <f>'4. Design Tracking Summary'!A8</f>
        <v>FE00941</v>
      </c>
      <c r="B7" s="79" t="str">
        <f>'4. Design Tracking Summary'!B8</f>
        <v>Center</v>
      </c>
      <c r="C7" s="79" t="str">
        <f>'4. Design Tracking Summary'!C8</f>
        <v>QRO</v>
      </c>
      <c r="D7" s="79" t="str">
        <f>'4. Design Tracking Summary'!D8</f>
        <v>MACRO</v>
      </c>
      <c r="E7" s="79" t="s">
        <v>58</v>
      </c>
      <c r="F7" s="79" t="s">
        <v>64</v>
      </c>
      <c r="G7" s="60" t="str">
        <f>IFERROR(INDEX(Table_SiteMilestonesNames[SiteMilestoneName],COUNTA(Table_SiteMilestoneTracking[[#This Row],[SiteDesignStarted_AC]],Table_SiteMilestoneTracking[[#This Row],[SiteDesignReady_AC]],Table_SiteMilestoneTracking[[#This Row],[SiteSurveyCompleted_AC]],Table_SiteMilestoneTracking[[#This Row],[SiteAcquired_AC]],Table_SiteMilestoneTracking[[#This Row],[SiteReadyForCW_AC]],Table_SiteMilestoneTracking[[#This Row],[SiteReadyForPower_AC]],Table_SiteMilestoneTracking[[#This Row],[TXReady_AC]],Table_SiteMilestoneTracking[[#This Row],[SiteReadyForInstallation_AC]],Table_SiteMilestoneTracking[[#This Row],[SiteReadyForIntegration_AC]],Table_SiteMilestoneTracking[[#This Row],[SiteOnAir_AC]],Table_SiteMilestoneTracking[[#This Row],[SiteAccepted_AC]],Table_SiteMilestoneTracking[[#This Row],[SiteInOperations_AC]])+1),"Invalid Milestone")</f>
        <v>SiteInOperations</v>
      </c>
      <c r="H7" s="61">
        <f>Table_SiteMilestoneTracking[[#This Row],[c0_SiteDesignCostBL]]+Table_SiteMilestoneTracking[[#This Row],[c1_SiteSurveyCostBL]]+Table_SiteMilestoneTracking[[#This Row],[c2_SiteAcquisitionCostBL]]+Table_SiteMilestoneTracking[[#This Row],[c3_CivilWorksCostBL]]+Table_SiteMilestoneTracking[[#This Row],[c4_PowerInstallCostBL]]+Table_SiteMilestoneTracking[[#This Row],[c5_TxintegrationCostBL]]+Table_SiteMilestoneTracking[[#This Row],[c6_InstallationCostBL]]+Table_SiteMilestoneTracking[[#This Row],[c7_IntegrationCostBL]]+Table_SiteMilestoneTracking[[#This Row],[c8_AcceptanceCostBL]]+Table_SiteMilestoneTracking[[#This Row],[c9_HandoverCostBL]]</f>
        <v>7550</v>
      </c>
      <c r="I7" s="62">
        <f>Table_SiteMilestoneTracking[[#This Row],[c0_SiteDesignCostAC]]+Table_SiteMilestoneTracking[[#This Row],[c1_SiteSurveyCostAC]]+Table_SiteMilestoneTracking[[#This Row],[c2_SiteAcquisitionCostAC]]+Table_SiteMilestoneTracking[[#This Row],[c3_CivilWorksCostAC]]+Table_SiteMilestoneTracking[[#This Row],[c4_PowerInstallCostAC]]+Table_SiteMilestoneTracking[[#This Row],[c5_TxintegrationCostAC]]+Table_SiteMilestoneTracking[[#This Row],[c6_InstallationCostAC]]+Table_SiteMilestoneTracking[[#This Row],[c7_IntegrationCostAC]]+Table_SiteMilestoneTracking[[#This Row],[c8_AcceptanceCostAC]]+Table_SiteMilestoneTracking[[#This Row],[c9_HandoverCostAC]]</f>
        <v>7705</v>
      </c>
      <c r="J7" s="84">
        <v>43981</v>
      </c>
      <c r="K7" s="84">
        <v>43983</v>
      </c>
      <c r="L7" s="64">
        <f>IF(ISBLANK(Table_SiteMilestoneTracking[[#This Row],[SiteDesignStarted_AC]])=FALSE,Table_SiteMilestoneTracking[[#This Row],[SiteDesignStarted_AC]]-Table_SiteMilestoneTracking[[#This Row],[SiteDesignStarted_BL]],"")</f>
        <v>2</v>
      </c>
      <c r="M7" s="64">
        <f t="shared" si="0"/>
        <v>500</v>
      </c>
      <c r="N7" s="87">
        <v>520</v>
      </c>
      <c r="O7" s="63">
        <f>Table_SiteMilestoneTracking[[#This Row],[SiteDesignStarted_BL]]+t0_SiteDesignDelayBL</f>
        <v>43983</v>
      </c>
      <c r="P7" s="84">
        <v>43989</v>
      </c>
      <c r="Q7" s="64">
        <f>IF(ISBLANK(Table_SiteMilestoneTracking[[#This Row],[SiteDesignReady_AC]])=FALSE,Table_SiteMilestoneTracking[[#This Row],[SiteDesignReady_AC]]-Table_SiteMilestoneTracking[[#This Row],[SiteDesignReady_BL]],"-")</f>
        <v>6</v>
      </c>
      <c r="R7" s="64">
        <f t="shared" si="5"/>
        <v>500</v>
      </c>
      <c r="S7" s="82">
        <v>375</v>
      </c>
      <c r="T7" s="63">
        <f>Table_SiteMilestoneTracking[[#This Row],[SiteDesignReady_BL]]+t1_SiteSurveyBL</f>
        <v>43985</v>
      </c>
      <c r="U7" s="84">
        <v>43991</v>
      </c>
      <c r="V7" s="64">
        <f>IF(ISBLANK(Table_SiteMilestoneTracking[[#This Row],[SiteSurveyCompleted_AC]])=FALSE,Table_SiteMilestoneTracking[[#This Row],[SiteSurveyCompleted_AC]]-Table_SiteMilestoneTracking[[#This Row],[SiteDesignReady_AC]],"-")</f>
        <v>2</v>
      </c>
      <c r="W7" s="64">
        <f t="shared" si="1"/>
        <v>600</v>
      </c>
      <c r="X7" s="82">
        <v>600</v>
      </c>
      <c r="Y7" s="63">
        <f>Table_SiteMilestoneTracking[[#This Row],[SiteSurveyCompleted_BL]]+t2_SiteAcquisitionBL</f>
        <v>43996</v>
      </c>
      <c r="Z7" s="84">
        <v>44003</v>
      </c>
      <c r="AA7" s="65">
        <f>IF(ISBLANK(Table_SiteMilestoneTracking[[#This Row],[SiteAcquired_AC]])=FALSE,Table_SiteMilestoneTracking[[#This Row],[SiteAcquired_AC]]-Table_SiteMilestoneTracking[[#This Row],[SiteAcquired_BL]],"-")</f>
        <v>7</v>
      </c>
      <c r="AB7" s="65">
        <f>IF(ISBLANK(Table_SiteMilestoneTracking[[#This Row],[SiteAcquired_AC]])=FALSE,Table_SiteMilestoneTracking[[#This Row],[SiteAcquired_AC]]-Table_SiteMilestoneTracking[[#This Row],[SiteSurveyCompleted_AC]],"-")</f>
        <v>12</v>
      </c>
      <c r="AC7" s="64">
        <f t="shared" si="2"/>
        <v>150</v>
      </c>
      <c r="AD7" s="82">
        <v>150</v>
      </c>
      <c r="AE7" s="63">
        <f>Table_SiteMilestoneTracking[[#This Row],[SiteAcquired_BL]]+t2a_SiteCWReadinessBL</f>
        <v>43998</v>
      </c>
      <c r="AF7" s="85">
        <v>44006</v>
      </c>
      <c r="AG7" s="66">
        <f>IF(ISBLANK(Table_SiteMilestoneTracking[[#This Row],[SiteReadyForCW_AC]])=FALSE,Table_SiteMilestoneTracking[[#This Row],[SiteReadyForCW_AC]]-Table_SiteMilestoneTracking[[#This Row],[SiteReadyForCW_BL]],"-")</f>
        <v>8</v>
      </c>
      <c r="AH7" s="66">
        <f>IF(ISBLANK(Table_SiteMilestoneTracking[[#This Row],[SiteReadyForCW_AC]])=FALSE,Table_SiteMilestoneTracking[[#This Row],[SiteReadyForCW_AC]]-Table_SiteMilestoneTracking[[#This Row],[SiteDesignReady_AC]],"-")</f>
        <v>17</v>
      </c>
      <c r="AI7" s="64">
        <f t="shared" si="3"/>
        <v>1500</v>
      </c>
      <c r="AJ7" s="82">
        <v>2100</v>
      </c>
      <c r="AK7" s="63">
        <f>Table_SiteMilestoneTracking[[#This Row],[SiteReadyForCW_BL]]+t3_CivilWorksBL</f>
        <v>44006</v>
      </c>
      <c r="AL7" s="84">
        <v>44009</v>
      </c>
      <c r="AM7" s="64">
        <f>IF(ISBLANK(Table_SiteMilestoneTracking[[#This Row],[SiteReadyForPower_AC]])=FALSE,Table_SiteMilestoneTracking[[#This Row],[SiteReadyForPower_AC]]-Table_SiteMilestoneTracking[[#This Row],[SiteReadyForPower_BL]],"-")</f>
        <v>3</v>
      </c>
      <c r="AN7" s="64">
        <f>IF(ISBLANK(Table_SiteMilestoneTracking[[#This Row],[SiteReadyForPower_AC]])=FALSE,Table_SiteMilestoneTracking[[#This Row],[SiteReadyForPower_AC]]-Table_SiteMilestoneTracking[[#This Row],[SiteReadyForCW_AC]],"-")</f>
        <v>3</v>
      </c>
      <c r="AO7" s="64">
        <f t="shared" si="4"/>
        <v>500</v>
      </c>
      <c r="AP7" s="82">
        <v>700</v>
      </c>
      <c r="AQ7" s="63">
        <f>Table_SiteMilestoneTracking[[#This Row],[SiteReadyForPower_BL]]+t4_PowerInstallBL</f>
        <v>44011</v>
      </c>
      <c r="AR7" s="84">
        <v>44020</v>
      </c>
      <c r="AS7" s="64">
        <f>IF(ISBLANK(Table_SiteMilestoneTracking[[#This Row],[TXReady_AC]])=FALSE,Table_SiteMilestoneTracking[[#This Row],[TXReady_AC]]-Table_SiteMilestoneTracking[[#This Row],[TXReady_BL]],"-")</f>
        <v>9</v>
      </c>
      <c r="AT7" s="64">
        <f>IF(ISBLANK(Table_SiteMilestoneTracking[[#This Row],[TXReady_AC]])=FALSE,Table_SiteMilestoneTracking[[#This Row],[TXReady_AC]]-Table_SiteMilestoneTracking[[#This Row],[SiteReadyForPower_AC]],"-")</f>
        <v>11</v>
      </c>
      <c r="AU7" s="64">
        <f>$AU$2</f>
        <v>500</v>
      </c>
      <c r="AV7" s="82">
        <v>300</v>
      </c>
      <c r="AW7" s="63">
        <f>Table_SiteMilestoneTracking[[#This Row],[TXReady_BL]]+t5_TxintegrationBL</f>
        <v>44018</v>
      </c>
      <c r="AX7" s="84">
        <v>44020</v>
      </c>
      <c r="AY7" s="64">
        <f>IF(ISBLANK(Table_SiteMilestoneTracking[[#This Row],[SiteReadyForInstallation_AC]])=FALSE,Table_SiteMilestoneTracking[[#This Row],[SiteReadyForInstallation_AC]]-Table_SiteMilestoneTracking[[#This Row],[SiteReadyForInstallation_BL]],"-")</f>
        <v>2</v>
      </c>
      <c r="AZ7" s="64">
        <f>IF(ISBLANK(Table_SiteMilestoneTracking[[#This Row],[SiteReadyForInstallation_AC]])=FALSE,Table_SiteMilestoneTracking[[#This Row],[SiteReadyForInstallation_AC]]-Table_SiteMilestoneTracking[[#This Row],[TXReady_AC]],"-")</f>
        <v>0</v>
      </c>
      <c r="BA7" s="64">
        <f>$BA$2</f>
        <v>2500</v>
      </c>
      <c r="BB7" s="82">
        <v>2200.0000000000005</v>
      </c>
      <c r="BC7" s="63">
        <f>Table_SiteMilestoneTracking[[#This Row],[SiteReadyForInstallation_BL]]+t6_InstallationBL</f>
        <v>44022</v>
      </c>
      <c r="BD7" s="84">
        <v>44024</v>
      </c>
      <c r="BE7" s="64">
        <f>IF(ISBLANK(Table_SiteMilestoneTracking[[#This Row],[SiteReadyForIntegration_AC]])=FALSE,Table_SiteMilestoneTracking[[#This Row],[SiteReadyForIntegration_AC]]-Table_SiteMilestoneTracking[[#This Row],[SiteReadyForIntegration_BL]],"-")</f>
        <v>2</v>
      </c>
      <c r="BF7" s="64">
        <f>IF(ISBLANK(Table_SiteMilestoneTracking[[#This Row],[SiteReadyForIntegration_AC]])=FALSE,Table_SiteMilestoneTracking[[#This Row],[SiteReadyForIntegration_AC]]-Table_SiteMilestoneTracking[[#This Row],[SiteReadyForInstallation_AC]],"-")</f>
        <v>4</v>
      </c>
      <c r="BG7" s="64">
        <f>$BG$2</f>
        <v>500</v>
      </c>
      <c r="BH7" s="82">
        <v>460</v>
      </c>
      <c r="BI7" s="63">
        <f>Table_SiteMilestoneTracking[[#This Row],[SiteReadyForIntegration_BL]]+t7_IntegrationBL</f>
        <v>44026</v>
      </c>
      <c r="BJ7" s="84">
        <v>44027</v>
      </c>
      <c r="BK7" s="64">
        <f>IF(ISBLANK(Table_SiteMilestoneTracking[[#This Row],[SiteOnAir_AC]])=FALSE,Table_SiteMilestoneTracking[[#This Row],[SiteOnAir_AC]]-Table_SiteMilestoneTracking[[#This Row],[SiteOnAir_BL]],"-")</f>
        <v>1</v>
      </c>
      <c r="BL7" s="64">
        <f>IF(ISBLANK(Table_SiteMilestoneTracking[[#This Row],[SiteOnAir_AC]])=FALSE,Table_SiteMilestoneTracking[[#This Row],[SiteOnAir_AC]]-Table_SiteMilestoneTracking[[#This Row],[SiteReadyForIntegration_AC]],"-")</f>
        <v>3</v>
      </c>
      <c r="BM7" s="64">
        <f>$BM$2</f>
        <v>250</v>
      </c>
      <c r="BN7" s="79">
        <v>250</v>
      </c>
      <c r="BO7" s="63">
        <f>Table_SiteMilestoneTracking[[#This Row],[SiteOnAir_BL]]+t8_AcceptanceBL</f>
        <v>44030</v>
      </c>
      <c r="BP7" s="84">
        <v>44034</v>
      </c>
      <c r="BQ7" s="64">
        <f>IF(ISBLANK(Table_SiteMilestoneTracking[[#This Row],[SiteAccepted_AC]])=FALSE,Table_SiteMilestoneTracking[[#This Row],[SiteAccepted_AC]]-Table_SiteMilestoneTracking[[#This Row],[SiteAccepted_BL]],"-")</f>
        <v>4</v>
      </c>
      <c r="BR7" s="64">
        <f>IF(ISBLANK(Table_SiteMilestoneTracking[[#This Row],[SiteAccepted_AC]])=FALSE,Table_SiteMilestoneTracking[[#This Row],[SiteAccepted_AC]]-Table_SiteMilestoneTracking[[#This Row],[SiteOnAir_AC]],"-")</f>
        <v>7</v>
      </c>
      <c r="BS7" s="64">
        <f>$BS$2</f>
        <v>200</v>
      </c>
      <c r="BT7" s="82">
        <v>200</v>
      </c>
      <c r="BU7" s="63">
        <f>Table_SiteMilestoneTracking[[#This Row],[SiteAccepted_BL]]+t9_HandoverBL</f>
        <v>44038</v>
      </c>
      <c r="BV7" s="84">
        <v>44051</v>
      </c>
      <c r="BW7" s="64">
        <f>IF(ISBLANK(Table_SiteMilestoneTracking[[#This Row],[SiteInOperations_AC]])=FALSE,Table_SiteMilestoneTracking[[#This Row],[SiteInOperations_AC]]-Table_SiteMilestoneTracking[[#This Row],[SiteInOperations_BL]],"-")</f>
        <v>13</v>
      </c>
      <c r="BX7" s="66">
        <f>Table_SiteMilestoneTracking[[#This Row],[SiteInOperations_BL]]-Table_SiteMilestoneTracking[[#This Row],[SiteDesignReady_BL]]</f>
        <v>55</v>
      </c>
      <c r="BY7" s="66">
        <f>IF(Table_SiteMilestoneTracking[[#This Row],[CurrentSiteMilestone]]="SiteInOperations",Table_SiteMilestoneTracking[[#This Row],[SiteInOperations_AC]]-Table_SiteMilestoneTracking[[#This Row],[SiteDesignReady_AC]],"")</f>
        <v>62</v>
      </c>
      <c r="BZ7" s="66">
        <f>IFERROR(Table_SiteMilestoneTracking[[#This Row],[E2E_Site_AC]]-Table_SiteMilestoneTracking[[#This Row],[E2E_Site_BL]],"")</f>
        <v>7</v>
      </c>
      <c r="CA7" s="66">
        <f>IF(Table_SiteMilestoneTracking[[#This Row],[CurrentSiteMilestone]]="SiteInOperations",Table_SiteMilestoneTracking[[#This Row],[SiteInOperations_AC]]-Table_SiteMilestoneTracking[[#This Row],[SiteAccepted_AC]],"")</f>
        <v>17</v>
      </c>
      <c r="CB7" s="79"/>
      <c r="CC7" s="89"/>
      <c r="CD7" s="89"/>
      <c r="CE7" s="89"/>
      <c r="CF7" s="89"/>
      <c r="CG7" s="89"/>
      <c r="CH7" s="89"/>
      <c r="CI7" s="89"/>
      <c r="CJ7" s="89"/>
      <c r="CK7" s="89"/>
      <c r="CL7" s="89"/>
      <c r="CM7" s="89"/>
      <c r="CN7" s="89"/>
      <c r="CO7" s="89"/>
      <c r="CP7" s="89"/>
      <c r="CQ7" s="89"/>
      <c r="CR7" s="89"/>
      <c r="CS7" s="89"/>
      <c r="CT7" s="89"/>
      <c r="CU7" s="89"/>
      <c r="CV7" s="89"/>
      <c r="CW7" s="89"/>
      <c r="CX7" s="89"/>
      <c r="CY7" s="89"/>
      <c r="CZ7" s="89"/>
      <c r="DA7" s="89"/>
      <c r="DB7" s="89"/>
      <c r="DC7" s="89"/>
      <c r="DD7" s="89"/>
      <c r="DE7" s="89"/>
      <c r="DF7" s="89"/>
      <c r="DG7" s="89"/>
      <c r="DH7" s="89"/>
      <c r="DI7" s="89"/>
      <c r="DJ7" s="89"/>
      <c r="DK7" s="89"/>
      <c r="DL7" s="89"/>
      <c r="DM7" s="89"/>
      <c r="DN7" s="89"/>
      <c r="DO7" s="89"/>
      <c r="DP7" s="89"/>
      <c r="DQ7" s="89"/>
      <c r="DR7" s="89"/>
      <c r="DS7" s="89"/>
      <c r="DT7" s="89"/>
      <c r="DU7" s="89"/>
      <c r="DV7" s="89"/>
    </row>
    <row r="8" spans="1:127" x14ac:dyDescent="0.3">
      <c r="A8" s="79" t="str">
        <f>'4. Design Tracking Summary'!A9</f>
        <v>VC00029</v>
      </c>
      <c r="B8" s="79" t="str">
        <f>'4. Design Tracking Summary'!B9</f>
        <v>South</v>
      </c>
      <c r="C8" s="79" t="str">
        <f>'4. Design Tracking Summary'!C9</f>
        <v>VER</v>
      </c>
      <c r="D8" s="79" t="str">
        <f>'4. Design Tracking Summary'!D9</f>
        <v>MINI</v>
      </c>
      <c r="E8" s="79" t="s">
        <v>59</v>
      </c>
      <c r="F8" s="79" t="s">
        <v>65</v>
      </c>
      <c r="G8" s="60" t="str">
        <f>IFERROR(INDEX(Table_SiteMilestonesNames[SiteMilestoneName],COUNTA(Table_SiteMilestoneTracking[[#This Row],[SiteDesignStarted_AC]],Table_SiteMilestoneTracking[[#This Row],[SiteDesignReady_AC]],Table_SiteMilestoneTracking[[#This Row],[SiteSurveyCompleted_AC]],Table_SiteMilestoneTracking[[#This Row],[SiteAcquired_AC]],Table_SiteMilestoneTracking[[#This Row],[SiteReadyForCW_AC]],Table_SiteMilestoneTracking[[#This Row],[SiteReadyForPower_AC]],Table_SiteMilestoneTracking[[#This Row],[TXReady_AC]],Table_SiteMilestoneTracking[[#This Row],[SiteReadyForInstallation_AC]],Table_SiteMilestoneTracking[[#This Row],[SiteReadyForIntegration_AC]],Table_SiteMilestoneTracking[[#This Row],[SiteOnAir_AC]],Table_SiteMilestoneTracking[[#This Row],[SiteAccepted_AC]],Table_SiteMilestoneTracking[[#This Row],[SiteInOperations_AC]])+1),"Invalid Milestone")</f>
        <v>SiteInOperations</v>
      </c>
      <c r="H8" s="61">
        <f>Table_SiteMilestoneTracking[[#This Row],[c0_SiteDesignCostBL]]+Table_SiteMilestoneTracking[[#This Row],[c1_SiteSurveyCostBL]]+Table_SiteMilestoneTracking[[#This Row],[c2_SiteAcquisitionCostBL]]+Table_SiteMilestoneTracking[[#This Row],[c3_CivilWorksCostBL]]+Table_SiteMilestoneTracking[[#This Row],[c4_PowerInstallCostBL]]+Table_SiteMilestoneTracking[[#This Row],[c5_TxintegrationCostBL]]+Table_SiteMilestoneTracking[[#This Row],[c6_InstallationCostBL]]+Table_SiteMilestoneTracking[[#This Row],[c7_IntegrationCostBL]]+Table_SiteMilestoneTracking[[#This Row],[c8_AcceptanceCostBL]]+Table_SiteMilestoneTracking[[#This Row],[c9_HandoverCostBL]]</f>
        <v>7550</v>
      </c>
      <c r="I8" s="62">
        <f>Table_SiteMilestoneTracking[[#This Row],[c0_SiteDesignCostAC]]+Table_SiteMilestoneTracking[[#This Row],[c1_SiteSurveyCostAC]]+Table_SiteMilestoneTracking[[#This Row],[c2_SiteAcquisitionCostAC]]+Table_SiteMilestoneTracking[[#This Row],[c3_CivilWorksCostAC]]+Table_SiteMilestoneTracking[[#This Row],[c4_PowerInstallCostAC]]+Table_SiteMilestoneTracking[[#This Row],[c5_TxintegrationCostAC]]+Table_SiteMilestoneTracking[[#This Row],[c6_InstallationCostAC]]+Table_SiteMilestoneTracking[[#This Row],[c7_IntegrationCostAC]]+Table_SiteMilestoneTracking[[#This Row],[c8_AcceptanceCostAC]]+Table_SiteMilestoneTracking[[#This Row],[c9_HandoverCostAC]]</f>
        <v>7185</v>
      </c>
      <c r="J8" s="84">
        <v>43981</v>
      </c>
      <c r="K8" s="84">
        <v>43983</v>
      </c>
      <c r="L8" s="64">
        <f>IF(ISBLANK(Table_SiteMilestoneTracking[[#This Row],[SiteDesignStarted_AC]])=FALSE,Table_SiteMilestoneTracking[[#This Row],[SiteDesignStarted_AC]]-Table_SiteMilestoneTracking[[#This Row],[SiteDesignStarted_BL]],"")</f>
        <v>2</v>
      </c>
      <c r="M8" s="64">
        <f t="shared" si="0"/>
        <v>500</v>
      </c>
      <c r="N8" s="87">
        <v>460</v>
      </c>
      <c r="O8" s="63">
        <f>Table_SiteMilestoneTracking[[#This Row],[SiteDesignStarted_BL]]+t0_SiteDesignDelayBL</f>
        <v>43983</v>
      </c>
      <c r="P8" s="84">
        <v>43984</v>
      </c>
      <c r="Q8" s="64">
        <f>IF(ISBLANK(Table_SiteMilestoneTracking[[#This Row],[SiteDesignReady_AC]])=FALSE,Table_SiteMilestoneTracking[[#This Row],[SiteDesignReady_AC]]-Table_SiteMilestoneTracking[[#This Row],[SiteDesignReady_BL]],"-")</f>
        <v>1</v>
      </c>
      <c r="R8" s="64">
        <f t="shared" si="5"/>
        <v>500</v>
      </c>
      <c r="S8" s="82">
        <v>375</v>
      </c>
      <c r="T8" s="63">
        <f>Table_SiteMilestoneTracking[[#This Row],[SiteDesignReady_BL]]+t1_SiteSurveyBL</f>
        <v>43985</v>
      </c>
      <c r="U8" s="84">
        <v>43987</v>
      </c>
      <c r="V8" s="64">
        <f>IF(ISBLANK(Table_SiteMilestoneTracking[[#This Row],[SiteSurveyCompleted_AC]])=FALSE,Table_SiteMilestoneTracking[[#This Row],[SiteSurveyCompleted_AC]]-Table_SiteMilestoneTracking[[#This Row],[SiteDesignReady_AC]],"-")</f>
        <v>3</v>
      </c>
      <c r="W8" s="64">
        <f t="shared" si="1"/>
        <v>600</v>
      </c>
      <c r="X8" s="82">
        <v>780</v>
      </c>
      <c r="Y8" s="63">
        <f>Table_SiteMilestoneTracking[[#This Row],[SiteSurveyCompleted_BL]]+t2_SiteAcquisitionBL</f>
        <v>43996</v>
      </c>
      <c r="Z8" s="84">
        <v>43998</v>
      </c>
      <c r="AA8" s="65">
        <f>IF(ISBLANK(Table_SiteMilestoneTracking[[#This Row],[SiteAcquired_AC]])=FALSE,Table_SiteMilestoneTracking[[#This Row],[SiteAcquired_AC]]-Table_SiteMilestoneTracking[[#This Row],[SiteAcquired_BL]],"-")</f>
        <v>2</v>
      </c>
      <c r="AB8" s="65">
        <f>IF(ISBLANK(Table_SiteMilestoneTracking[[#This Row],[SiteAcquired_AC]])=FALSE,Table_SiteMilestoneTracking[[#This Row],[SiteAcquired_AC]]-Table_SiteMilestoneTracking[[#This Row],[SiteSurveyCompleted_AC]],"-")</f>
        <v>11</v>
      </c>
      <c r="AC8" s="64">
        <f t="shared" si="2"/>
        <v>150</v>
      </c>
      <c r="AD8" s="82">
        <v>150</v>
      </c>
      <c r="AE8" s="63">
        <f>Table_SiteMilestoneTracking[[#This Row],[SiteAcquired_BL]]+t2a_SiteCWReadinessBL</f>
        <v>43998</v>
      </c>
      <c r="AF8" s="85">
        <v>44000</v>
      </c>
      <c r="AG8" s="66">
        <f>IF(ISBLANK(Table_SiteMilestoneTracking[[#This Row],[SiteReadyForCW_AC]])=FALSE,Table_SiteMilestoneTracking[[#This Row],[SiteReadyForCW_AC]]-Table_SiteMilestoneTracking[[#This Row],[SiteReadyForCW_BL]],"-")</f>
        <v>2</v>
      </c>
      <c r="AH8" s="66">
        <f>IF(ISBLANK(Table_SiteMilestoneTracking[[#This Row],[SiteReadyForCW_AC]])=FALSE,Table_SiteMilestoneTracking[[#This Row],[SiteReadyForCW_AC]]-Table_SiteMilestoneTracking[[#This Row],[SiteDesignReady_AC]],"-")</f>
        <v>16</v>
      </c>
      <c r="AI8" s="64">
        <f t="shared" si="3"/>
        <v>1500</v>
      </c>
      <c r="AJ8" s="82">
        <v>1500</v>
      </c>
      <c r="AK8" s="63">
        <f>Table_SiteMilestoneTracking[[#This Row],[SiteReadyForCW_BL]]+t3_CivilWorksBL</f>
        <v>44006</v>
      </c>
      <c r="AL8" s="84">
        <v>44009</v>
      </c>
      <c r="AM8" s="64">
        <f>IF(ISBLANK(Table_SiteMilestoneTracking[[#This Row],[SiteReadyForPower_AC]])=FALSE,Table_SiteMilestoneTracking[[#This Row],[SiteReadyForPower_AC]]-Table_SiteMilestoneTracking[[#This Row],[SiteReadyForPower_BL]],"-")</f>
        <v>3</v>
      </c>
      <c r="AN8" s="64">
        <f>IF(ISBLANK(Table_SiteMilestoneTracking[[#This Row],[SiteReadyForPower_AC]])=FALSE,Table_SiteMilestoneTracking[[#This Row],[SiteReadyForPower_AC]]-Table_SiteMilestoneTracking[[#This Row],[SiteReadyForCW_AC]],"-")</f>
        <v>9</v>
      </c>
      <c r="AO8" s="64">
        <f t="shared" si="4"/>
        <v>500</v>
      </c>
      <c r="AP8" s="82">
        <v>250</v>
      </c>
      <c r="AQ8" s="63">
        <f>Table_SiteMilestoneTracking[[#This Row],[SiteReadyForPower_BL]]+t4_PowerInstallBL</f>
        <v>44011</v>
      </c>
      <c r="AR8" s="84">
        <v>44014</v>
      </c>
      <c r="AS8" s="64">
        <f>IF(ISBLANK(Table_SiteMilestoneTracking[[#This Row],[TXReady_AC]])=FALSE,Table_SiteMilestoneTracking[[#This Row],[TXReady_AC]]-Table_SiteMilestoneTracking[[#This Row],[TXReady_BL]],"-")</f>
        <v>3</v>
      </c>
      <c r="AT8" s="64">
        <f>IF(ISBLANK(Table_SiteMilestoneTracking[[#This Row],[TXReady_AC]])=FALSE,Table_SiteMilestoneTracking[[#This Row],[TXReady_AC]]-Table_SiteMilestoneTracking[[#This Row],[SiteReadyForPower_AC]],"-")</f>
        <v>5</v>
      </c>
      <c r="AU8" s="64">
        <f>$AU$2</f>
        <v>500</v>
      </c>
      <c r="AV8" s="82">
        <v>600</v>
      </c>
      <c r="AW8" s="63">
        <f>Table_SiteMilestoneTracking[[#This Row],[TXReady_BL]]+t5_TxintegrationBL</f>
        <v>44018</v>
      </c>
      <c r="AX8" s="84">
        <v>44022</v>
      </c>
      <c r="AY8" s="64">
        <f>IF(ISBLANK(Table_SiteMilestoneTracking[[#This Row],[SiteReadyForInstallation_AC]])=FALSE,Table_SiteMilestoneTracking[[#This Row],[SiteReadyForInstallation_AC]]-Table_SiteMilestoneTracking[[#This Row],[SiteReadyForInstallation_BL]],"-")</f>
        <v>4</v>
      </c>
      <c r="AZ8" s="64">
        <f>IF(ISBLANK(Table_SiteMilestoneTracking[[#This Row],[SiteReadyForInstallation_AC]])=FALSE,Table_SiteMilestoneTracking[[#This Row],[SiteReadyForInstallation_AC]]-Table_SiteMilestoneTracking[[#This Row],[TXReady_AC]],"-")</f>
        <v>8</v>
      </c>
      <c r="BA8" s="64">
        <f>$BA$2</f>
        <v>2500</v>
      </c>
      <c r="BB8" s="82">
        <v>2300</v>
      </c>
      <c r="BC8" s="63">
        <f>Table_SiteMilestoneTracking[[#This Row],[SiteReadyForInstallation_BL]]+t6_InstallationBL</f>
        <v>44022</v>
      </c>
      <c r="BD8" s="84">
        <v>44026</v>
      </c>
      <c r="BE8" s="64">
        <f>IF(ISBLANK(Table_SiteMilestoneTracking[[#This Row],[SiteReadyForIntegration_AC]])=FALSE,Table_SiteMilestoneTracking[[#This Row],[SiteReadyForIntegration_AC]]-Table_SiteMilestoneTracking[[#This Row],[SiteReadyForIntegration_BL]],"-")</f>
        <v>4</v>
      </c>
      <c r="BF8" s="64">
        <f>IF(ISBLANK(Table_SiteMilestoneTracking[[#This Row],[SiteReadyForIntegration_AC]])=FALSE,Table_SiteMilestoneTracking[[#This Row],[SiteReadyForIntegration_AC]]-Table_SiteMilestoneTracking[[#This Row],[SiteReadyForInstallation_AC]],"-")</f>
        <v>4</v>
      </c>
      <c r="BG8" s="64">
        <f>$BG$2</f>
        <v>500</v>
      </c>
      <c r="BH8" s="82">
        <v>470.00000000000006</v>
      </c>
      <c r="BI8" s="63">
        <f>Table_SiteMilestoneTracking[[#This Row],[SiteReadyForIntegration_BL]]+t7_IntegrationBL</f>
        <v>44026</v>
      </c>
      <c r="BJ8" s="84">
        <v>44031</v>
      </c>
      <c r="BK8" s="64">
        <f>IF(ISBLANK(Table_SiteMilestoneTracking[[#This Row],[SiteOnAir_AC]])=FALSE,Table_SiteMilestoneTracking[[#This Row],[SiteOnAir_AC]]-Table_SiteMilestoneTracking[[#This Row],[SiteOnAir_BL]],"-")</f>
        <v>5</v>
      </c>
      <c r="BL8" s="64">
        <f>IF(ISBLANK(Table_SiteMilestoneTracking[[#This Row],[SiteOnAir_AC]])=FALSE,Table_SiteMilestoneTracking[[#This Row],[SiteOnAir_AC]]-Table_SiteMilestoneTracking[[#This Row],[SiteReadyForIntegration_AC]],"-")</f>
        <v>5</v>
      </c>
      <c r="BM8" s="64">
        <f>$BM$2</f>
        <v>250</v>
      </c>
      <c r="BN8" s="82">
        <v>250</v>
      </c>
      <c r="BO8" s="63">
        <f>Table_SiteMilestoneTracking[[#This Row],[SiteOnAir_BL]]+t8_AcceptanceBL</f>
        <v>44030</v>
      </c>
      <c r="BP8" s="84">
        <v>44036</v>
      </c>
      <c r="BQ8" s="64">
        <f>IF(ISBLANK(Table_SiteMilestoneTracking[[#This Row],[SiteAccepted_AC]])=FALSE,Table_SiteMilestoneTracking[[#This Row],[SiteAccepted_AC]]-Table_SiteMilestoneTracking[[#This Row],[SiteAccepted_BL]],"-")</f>
        <v>6</v>
      </c>
      <c r="BR8" s="64">
        <f>IF(ISBLANK(Table_SiteMilestoneTracking[[#This Row],[SiteAccepted_AC]])=FALSE,Table_SiteMilestoneTracking[[#This Row],[SiteAccepted_AC]]-Table_SiteMilestoneTracking[[#This Row],[SiteOnAir_AC]],"-")</f>
        <v>5</v>
      </c>
      <c r="BS8" s="64">
        <f>$BS$2</f>
        <v>200</v>
      </c>
      <c r="BT8" s="82">
        <v>200</v>
      </c>
      <c r="BU8" s="63">
        <f>Table_SiteMilestoneTracking[[#This Row],[SiteAccepted_BL]]+t9_HandoverBL</f>
        <v>44038</v>
      </c>
      <c r="BV8" s="84">
        <v>44044</v>
      </c>
      <c r="BW8" s="64">
        <f>IF(ISBLANK(Table_SiteMilestoneTracking[[#This Row],[SiteInOperations_AC]])=FALSE,Table_SiteMilestoneTracking[[#This Row],[SiteInOperations_AC]]-Table_SiteMilestoneTracking[[#This Row],[SiteInOperations_BL]],"-")</f>
        <v>6</v>
      </c>
      <c r="BX8" s="66">
        <f>Table_SiteMilestoneTracking[[#This Row],[SiteInOperations_BL]]-Table_SiteMilestoneTracking[[#This Row],[SiteDesignReady_BL]]</f>
        <v>55</v>
      </c>
      <c r="BY8" s="66">
        <f>IF(Table_SiteMilestoneTracking[[#This Row],[CurrentSiteMilestone]]="SiteInOperations",Table_SiteMilestoneTracking[[#This Row],[SiteInOperations_AC]]-Table_SiteMilestoneTracking[[#This Row],[SiteDesignReady_AC]],"")</f>
        <v>60</v>
      </c>
      <c r="BZ8" s="66">
        <f>IFERROR(Table_SiteMilestoneTracking[[#This Row],[E2E_Site_AC]]-Table_SiteMilestoneTracking[[#This Row],[E2E_Site_BL]],"")</f>
        <v>5</v>
      </c>
      <c r="CA8" s="66">
        <f>IF(Table_SiteMilestoneTracking[[#This Row],[CurrentSiteMilestone]]="SiteInOperations",Table_SiteMilestoneTracking[[#This Row],[SiteInOperations_AC]]-Table_SiteMilestoneTracking[[#This Row],[SiteAccepted_AC]],"")</f>
        <v>8</v>
      </c>
      <c r="CB8" s="79"/>
      <c r="CC8" s="89"/>
      <c r="CD8" s="89"/>
      <c r="CE8" s="70"/>
      <c r="CF8" s="70"/>
      <c r="CG8" s="70"/>
      <c r="CH8" s="70"/>
      <c r="CI8" s="70"/>
      <c r="CJ8" s="70"/>
      <c r="CK8" s="70"/>
      <c r="CL8" s="70"/>
      <c r="CM8" s="70"/>
      <c r="CN8" s="70"/>
      <c r="CO8" s="70"/>
      <c r="CP8" s="70"/>
      <c r="CQ8" s="70"/>
      <c r="CR8" s="70"/>
      <c r="CS8" s="70"/>
      <c r="CT8" s="70"/>
      <c r="CU8" s="70"/>
      <c r="CV8" s="70"/>
      <c r="CW8" s="70"/>
      <c r="CX8" s="70"/>
      <c r="CY8" s="70"/>
      <c r="CZ8" s="70"/>
      <c r="DA8" s="70"/>
      <c r="DB8" s="70"/>
      <c r="DC8" s="70"/>
      <c r="DD8" s="70"/>
      <c r="DE8" s="70"/>
      <c r="DF8" s="70"/>
      <c r="DG8" s="70"/>
      <c r="DH8" s="70"/>
      <c r="DI8" s="70"/>
      <c r="DJ8" s="70"/>
      <c r="DK8" s="70"/>
      <c r="DL8" s="70"/>
      <c r="DM8" s="70"/>
      <c r="DN8" s="70"/>
      <c r="DO8" s="70"/>
      <c r="DP8" s="70"/>
      <c r="DQ8" s="70"/>
      <c r="DR8" s="70"/>
      <c r="DS8" s="70"/>
      <c r="DT8" s="70"/>
      <c r="DU8" s="70"/>
      <c r="DV8" s="70"/>
    </row>
    <row r="9" spans="1:127" x14ac:dyDescent="0.3">
      <c r="A9" s="79" t="str">
        <f>'4. Design Tracking Summary'!A10</f>
        <v>CH00128</v>
      </c>
      <c r="B9" s="79" t="str">
        <f>'4. Design Tracking Summary'!B10</f>
        <v>South</v>
      </c>
      <c r="C9" s="79" t="str">
        <f>'4. Design Tracking Summary'!C10</f>
        <v>CHI</v>
      </c>
      <c r="D9" s="79" t="str">
        <f>'4. Design Tracking Summary'!D10</f>
        <v>SMALL</v>
      </c>
      <c r="E9" s="79" t="s">
        <v>59</v>
      </c>
      <c r="F9" s="79" t="s">
        <v>66</v>
      </c>
      <c r="G9" s="60" t="str">
        <f>IFERROR(INDEX(Table_SiteMilestonesNames[SiteMilestoneName],COUNTA(Table_SiteMilestoneTracking[[#This Row],[SiteDesignStarted_AC]],Table_SiteMilestoneTracking[[#This Row],[SiteDesignReady_AC]],Table_SiteMilestoneTracking[[#This Row],[SiteSurveyCompleted_AC]],Table_SiteMilestoneTracking[[#This Row],[SiteAcquired_AC]],Table_SiteMilestoneTracking[[#This Row],[SiteReadyForCW_AC]],Table_SiteMilestoneTracking[[#This Row],[SiteReadyForPower_AC]],Table_SiteMilestoneTracking[[#This Row],[TXReady_AC]],Table_SiteMilestoneTracking[[#This Row],[SiteReadyForInstallation_AC]],Table_SiteMilestoneTracking[[#This Row],[SiteReadyForIntegration_AC]],Table_SiteMilestoneTracking[[#This Row],[SiteOnAir_AC]],Table_SiteMilestoneTracking[[#This Row],[SiteAccepted_AC]],Table_SiteMilestoneTracking[[#This Row],[SiteInOperations_AC]])+1),"Invalid Milestone")</f>
        <v>SiteInOperations</v>
      </c>
      <c r="H9" s="61">
        <f>Table_SiteMilestoneTracking[[#This Row],[c0_SiteDesignCostBL]]+Table_SiteMilestoneTracking[[#This Row],[c1_SiteSurveyCostBL]]+Table_SiteMilestoneTracking[[#This Row],[c2_SiteAcquisitionCostBL]]+Table_SiteMilestoneTracking[[#This Row],[c3_CivilWorksCostBL]]+Table_SiteMilestoneTracking[[#This Row],[c4_PowerInstallCostBL]]+Table_SiteMilestoneTracking[[#This Row],[c5_TxintegrationCostBL]]+Table_SiteMilestoneTracking[[#This Row],[c6_InstallationCostBL]]+Table_SiteMilestoneTracking[[#This Row],[c7_IntegrationCostBL]]+Table_SiteMilestoneTracking[[#This Row],[c8_AcceptanceCostBL]]+Table_SiteMilestoneTracking[[#This Row],[c9_HandoverCostBL]]</f>
        <v>7550</v>
      </c>
      <c r="I9" s="62">
        <f>Table_SiteMilestoneTracking[[#This Row],[c0_SiteDesignCostAC]]+Table_SiteMilestoneTracking[[#This Row],[c1_SiteSurveyCostAC]]+Table_SiteMilestoneTracking[[#This Row],[c2_SiteAcquisitionCostAC]]+Table_SiteMilestoneTracking[[#This Row],[c3_CivilWorksCostAC]]+Table_SiteMilestoneTracking[[#This Row],[c4_PowerInstallCostAC]]+Table_SiteMilestoneTracking[[#This Row],[c5_TxintegrationCostAC]]+Table_SiteMilestoneTracking[[#This Row],[c6_InstallationCostAC]]+Table_SiteMilestoneTracking[[#This Row],[c7_IntegrationCostAC]]+Table_SiteMilestoneTracking[[#This Row],[c8_AcceptanceCostAC]]+Table_SiteMilestoneTracking[[#This Row],[c9_HandoverCostAC]]</f>
        <v>7975</v>
      </c>
      <c r="J9" s="84">
        <v>43981</v>
      </c>
      <c r="K9" s="84">
        <v>43983</v>
      </c>
      <c r="L9" s="64">
        <f>IF(ISBLANK(Table_SiteMilestoneTracking[[#This Row],[SiteDesignStarted_AC]])=FALSE,Table_SiteMilestoneTracking[[#This Row],[SiteDesignStarted_AC]]-Table_SiteMilestoneTracking[[#This Row],[SiteDesignStarted_BL]],"")</f>
        <v>2</v>
      </c>
      <c r="M9" s="64">
        <f t="shared" si="0"/>
        <v>500</v>
      </c>
      <c r="N9" s="87">
        <v>420</v>
      </c>
      <c r="O9" s="63">
        <f>Table_SiteMilestoneTracking[[#This Row],[SiteDesignStarted_BL]]+t0_SiteDesignDelayBL</f>
        <v>43983</v>
      </c>
      <c r="P9" s="84">
        <v>43985</v>
      </c>
      <c r="Q9" s="64">
        <f>IF(ISBLANK(Table_SiteMilestoneTracking[[#This Row],[SiteDesignReady_AC]])=FALSE,Table_SiteMilestoneTracking[[#This Row],[SiteDesignReady_AC]]-Table_SiteMilestoneTracking[[#This Row],[SiteDesignReady_BL]],"-")</f>
        <v>2</v>
      </c>
      <c r="R9" s="64">
        <f t="shared" si="5"/>
        <v>500</v>
      </c>
      <c r="S9" s="82">
        <v>375</v>
      </c>
      <c r="T9" s="63">
        <f>Table_SiteMilestoneTracking[[#This Row],[SiteDesignReady_BL]]+t1_SiteSurveyBL</f>
        <v>43985</v>
      </c>
      <c r="U9" s="84">
        <v>43987</v>
      </c>
      <c r="V9" s="64">
        <f>IF(ISBLANK(Table_SiteMilestoneTracking[[#This Row],[SiteSurveyCompleted_AC]])=FALSE,Table_SiteMilestoneTracking[[#This Row],[SiteSurveyCompleted_AC]]-Table_SiteMilestoneTracking[[#This Row],[SiteDesignReady_AC]],"-")</f>
        <v>2</v>
      </c>
      <c r="W9" s="64">
        <f t="shared" si="1"/>
        <v>600</v>
      </c>
      <c r="X9" s="82">
        <v>720</v>
      </c>
      <c r="Y9" s="63">
        <f>Table_SiteMilestoneTracking[[#This Row],[SiteSurveyCompleted_BL]]+t2_SiteAcquisitionBL</f>
        <v>43996</v>
      </c>
      <c r="Z9" s="84">
        <v>43998</v>
      </c>
      <c r="AA9" s="65">
        <f>IF(ISBLANK(Table_SiteMilestoneTracking[[#This Row],[SiteAcquired_AC]])=FALSE,Table_SiteMilestoneTracking[[#This Row],[SiteAcquired_AC]]-Table_SiteMilestoneTracking[[#This Row],[SiteAcquired_BL]],"-")</f>
        <v>2</v>
      </c>
      <c r="AB9" s="65">
        <f>IF(ISBLANK(Table_SiteMilestoneTracking[[#This Row],[SiteAcquired_AC]])=FALSE,Table_SiteMilestoneTracking[[#This Row],[SiteAcquired_AC]]-Table_SiteMilestoneTracking[[#This Row],[SiteSurveyCompleted_AC]],"-")</f>
        <v>11</v>
      </c>
      <c r="AC9" s="64">
        <f t="shared" si="2"/>
        <v>150</v>
      </c>
      <c r="AD9" s="82">
        <v>150</v>
      </c>
      <c r="AE9" s="63">
        <f>Table_SiteMilestoneTracking[[#This Row],[SiteAcquired_BL]]+t2a_SiteCWReadinessBL</f>
        <v>43998</v>
      </c>
      <c r="AF9" s="85">
        <v>44000</v>
      </c>
      <c r="AG9" s="66">
        <f>IF(ISBLANK(Table_SiteMilestoneTracking[[#This Row],[SiteReadyForCW_AC]])=FALSE,Table_SiteMilestoneTracking[[#This Row],[SiteReadyForCW_AC]]-Table_SiteMilestoneTracking[[#This Row],[SiteReadyForCW_BL]],"-")</f>
        <v>2</v>
      </c>
      <c r="AH9" s="66">
        <f>IF(ISBLANK(Table_SiteMilestoneTracking[[#This Row],[SiteReadyForCW_AC]])=FALSE,Table_SiteMilestoneTracking[[#This Row],[SiteReadyForCW_AC]]-Table_SiteMilestoneTracking[[#This Row],[SiteDesignReady_AC]],"-")</f>
        <v>15</v>
      </c>
      <c r="AI9" s="64">
        <f t="shared" si="3"/>
        <v>1500</v>
      </c>
      <c r="AJ9" s="82">
        <v>2250</v>
      </c>
      <c r="AK9" s="63">
        <f>Table_SiteMilestoneTracking[[#This Row],[SiteReadyForCW_BL]]+t3_CivilWorksBL</f>
        <v>44006</v>
      </c>
      <c r="AL9" s="84">
        <v>44008</v>
      </c>
      <c r="AM9" s="64">
        <f>IF(ISBLANK(Table_SiteMilestoneTracking[[#This Row],[SiteReadyForPower_AC]])=FALSE,Table_SiteMilestoneTracking[[#This Row],[SiteReadyForPower_AC]]-Table_SiteMilestoneTracking[[#This Row],[SiteReadyForPower_BL]],"-")</f>
        <v>2</v>
      </c>
      <c r="AN9" s="64">
        <f>IF(ISBLANK(Table_SiteMilestoneTracking[[#This Row],[SiteReadyForPower_AC]])=FALSE,Table_SiteMilestoneTracking[[#This Row],[SiteReadyForPower_AC]]-Table_SiteMilestoneTracking[[#This Row],[SiteReadyForCW_AC]],"-")</f>
        <v>8</v>
      </c>
      <c r="AO9" s="64">
        <f t="shared" si="4"/>
        <v>500</v>
      </c>
      <c r="AP9" s="82">
        <v>600</v>
      </c>
      <c r="AQ9" s="63">
        <f>Table_SiteMilestoneTracking[[#This Row],[SiteReadyForPower_BL]]+t4_PowerInstallBL</f>
        <v>44011</v>
      </c>
      <c r="AR9" s="84">
        <v>44014</v>
      </c>
      <c r="AS9" s="64">
        <f>IF(ISBLANK(Table_SiteMilestoneTracking[[#This Row],[TXReady_AC]])=FALSE,Table_SiteMilestoneTracking[[#This Row],[TXReady_AC]]-Table_SiteMilestoneTracking[[#This Row],[TXReady_BL]],"-")</f>
        <v>3</v>
      </c>
      <c r="AT9" s="64">
        <f>IF(ISBLANK(Table_SiteMilestoneTracking[[#This Row],[TXReady_AC]])=FALSE,Table_SiteMilestoneTracking[[#This Row],[TXReady_AC]]-Table_SiteMilestoneTracking[[#This Row],[SiteReadyForPower_AC]],"-")</f>
        <v>6</v>
      </c>
      <c r="AU9" s="64">
        <f>$AU$2</f>
        <v>500</v>
      </c>
      <c r="AV9" s="82">
        <v>700</v>
      </c>
      <c r="AW9" s="63">
        <f>Table_SiteMilestoneTracking[[#This Row],[TXReady_BL]]+t5_TxintegrationBL</f>
        <v>44018</v>
      </c>
      <c r="AX9" s="84">
        <v>44022</v>
      </c>
      <c r="AY9" s="64">
        <f>IF(ISBLANK(Table_SiteMilestoneTracking[[#This Row],[SiteReadyForInstallation_AC]])=FALSE,Table_SiteMilestoneTracking[[#This Row],[SiteReadyForInstallation_AC]]-Table_SiteMilestoneTracking[[#This Row],[SiteReadyForInstallation_BL]],"-")</f>
        <v>4</v>
      </c>
      <c r="AZ9" s="64">
        <f>IF(ISBLANK(Table_SiteMilestoneTracking[[#This Row],[SiteReadyForInstallation_AC]])=FALSE,Table_SiteMilestoneTracking[[#This Row],[SiteReadyForInstallation_AC]]-Table_SiteMilestoneTracking[[#This Row],[TXReady_AC]],"-")</f>
        <v>8</v>
      </c>
      <c r="BA9" s="64">
        <f>$BA$2</f>
        <v>2500</v>
      </c>
      <c r="BB9" s="82">
        <v>2000</v>
      </c>
      <c r="BC9" s="63">
        <f>Table_SiteMilestoneTracking[[#This Row],[SiteReadyForInstallation_BL]]+t6_InstallationBL</f>
        <v>44022</v>
      </c>
      <c r="BD9" s="84">
        <v>44026</v>
      </c>
      <c r="BE9" s="64">
        <f>IF(ISBLANK(Table_SiteMilestoneTracking[[#This Row],[SiteReadyForIntegration_AC]])=FALSE,Table_SiteMilestoneTracking[[#This Row],[SiteReadyForIntegration_AC]]-Table_SiteMilestoneTracking[[#This Row],[SiteReadyForIntegration_BL]],"-")</f>
        <v>4</v>
      </c>
      <c r="BF9" s="64">
        <f>IF(ISBLANK(Table_SiteMilestoneTracking[[#This Row],[SiteReadyForIntegration_AC]])=FALSE,Table_SiteMilestoneTracking[[#This Row],[SiteReadyForIntegration_AC]]-Table_SiteMilestoneTracking[[#This Row],[SiteReadyForInstallation_AC]],"-")</f>
        <v>4</v>
      </c>
      <c r="BG9" s="64">
        <f>$BG$2</f>
        <v>500</v>
      </c>
      <c r="BH9" s="82">
        <v>460</v>
      </c>
      <c r="BI9" s="63">
        <f>Table_SiteMilestoneTracking[[#This Row],[SiteReadyForIntegration_BL]]+t7_IntegrationBL</f>
        <v>44026</v>
      </c>
      <c r="BJ9" s="84">
        <v>44030</v>
      </c>
      <c r="BK9" s="64">
        <f>IF(ISBLANK(Table_SiteMilestoneTracking[[#This Row],[SiteOnAir_AC]])=FALSE,Table_SiteMilestoneTracking[[#This Row],[SiteOnAir_AC]]-Table_SiteMilestoneTracking[[#This Row],[SiteOnAir_BL]],"-")</f>
        <v>4</v>
      </c>
      <c r="BL9" s="64">
        <f>IF(ISBLANK(Table_SiteMilestoneTracking[[#This Row],[SiteOnAir_AC]])=FALSE,Table_SiteMilestoneTracking[[#This Row],[SiteOnAir_AC]]-Table_SiteMilestoneTracking[[#This Row],[SiteReadyForIntegration_AC]],"-")</f>
        <v>4</v>
      </c>
      <c r="BM9" s="64">
        <f>$BM$2</f>
        <v>250</v>
      </c>
      <c r="BN9" s="82">
        <v>250</v>
      </c>
      <c r="BO9" s="63">
        <f>Table_SiteMilestoneTracking[[#This Row],[SiteOnAir_BL]]+t8_AcceptanceBL</f>
        <v>44030</v>
      </c>
      <c r="BP9" s="84">
        <v>44034</v>
      </c>
      <c r="BQ9" s="64">
        <f>IF(ISBLANK(Table_SiteMilestoneTracking[[#This Row],[SiteAccepted_AC]])=FALSE,Table_SiteMilestoneTracking[[#This Row],[SiteAccepted_AC]]-Table_SiteMilestoneTracking[[#This Row],[SiteAccepted_BL]],"-")</f>
        <v>4</v>
      </c>
      <c r="BR9" s="64">
        <f>IF(ISBLANK(Table_SiteMilestoneTracking[[#This Row],[SiteAccepted_AC]])=FALSE,Table_SiteMilestoneTracking[[#This Row],[SiteAccepted_AC]]-Table_SiteMilestoneTracking[[#This Row],[SiteOnAir_AC]],"-")</f>
        <v>4</v>
      </c>
      <c r="BS9" s="64">
        <f>$BS$2</f>
        <v>200</v>
      </c>
      <c r="BT9" s="82">
        <v>200</v>
      </c>
      <c r="BU9" s="63">
        <f>Table_SiteMilestoneTracking[[#This Row],[SiteAccepted_BL]]+t9_HandoverBL</f>
        <v>44038</v>
      </c>
      <c r="BV9" s="84">
        <v>44044</v>
      </c>
      <c r="BW9" s="64">
        <f>IF(ISBLANK(Table_SiteMilestoneTracking[[#This Row],[SiteInOperations_AC]])=FALSE,Table_SiteMilestoneTracking[[#This Row],[SiteInOperations_AC]]-Table_SiteMilestoneTracking[[#This Row],[SiteInOperations_BL]],"-")</f>
        <v>6</v>
      </c>
      <c r="BX9" s="66">
        <f>Table_SiteMilestoneTracking[[#This Row],[SiteInOperations_BL]]-Table_SiteMilestoneTracking[[#This Row],[SiteDesignReady_BL]]</f>
        <v>55</v>
      </c>
      <c r="BY9" s="66">
        <f>IF(Table_SiteMilestoneTracking[[#This Row],[CurrentSiteMilestone]]="SiteInOperations",Table_SiteMilestoneTracking[[#This Row],[SiteInOperations_AC]]-Table_SiteMilestoneTracking[[#This Row],[SiteDesignReady_AC]],"")</f>
        <v>59</v>
      </c>
      <c r="BZ9" s="66">
        <f>IFERROR(Table_SiteMilestoneTracking[[#This Row],[E2E_Site_AC]]-Table_SiteMilestoneTracking[[#This Row],[E2E_Site_BL]],"")</f>
        <v>4</v>
      </c>
      <c r="CA9" s="66">
        <f>IF(Table_SiteMilestoneTracking[[#This Row],[CurrentSiteMilestone]]="SiteInOperations",Table_SiteMilestoneTracking[[#This Row],[SiteInOperations_AC]]-Table_SiteMilestoneTracking[[#This Row],[SiteAccepted_AC]],"")</f>
        <v>10</v>
      </c>
      <c r="CB9" s="79"/>
      <c r="CC9" s="89"/>
      <c r="CD9" s="89"/>
      <c r="CE9" s="70"/>
      <c r="CF9" s="70"/>
      <c r="CG9" s="70"/>
      <c r="CH9" s="70"/>
      <c r="CI9" s="70"/>
      <c r="CJ9" s="70"/>
      <c r="CK9" s="70"/>
      <c r="CL9" s="70"/>
      <c r="CM9" s="70"/>
      <c r="CN9" s="70"/>
      <c r="CO9" s="70"/>
      <c r="CP9" s="70"/>
      <c r="CQ9" s="70"/>
      <c r="CR9" s="70"/>
      <c r="CS9" s="70"/>
      <c r="CT9" s="70"/>
      <c r="CU9" s="70"/>
      <c r="CV9" s="70"/>
      <c r="CW9" s="70"/>
      <c r="CX9" s="70"/>
      <c r="CY9" s="70"/>
      <c r="CZ9" s="70"/>
      <c r="DA9" s="70"/>
      <c r="DB9" s="70"/>
      <c r="DC9" s="70"/>
      <c r="DD9" s="70"/>
      <c r="DE9" s="70"/>
      <c r="DF9" s="70"/>
      <c r="DG9" s="70"/>
      <c r="DH9" s="70"/>
      <c r="DI9" s="70"/>
      <c r="DJ9" s="70"/>
      <c r="DK9" s="70"/>
      <c r="DL9" s="70"/>
      <c r="DM9" s="70"/>
      <c r="DN9" s="70"/>
      <c r="DO9" s="70"/>
      <c r="DP9" s="70"/>
      <c r="DQ9" s="70"/>
      <c r="DR9" s="70"/>
      <c r="DS9" s="70"/>
      <c r="DT9" s="70"/>
      <c r="DU9" s="70"/>
      <c r="DV9" s="70"/>
    </row>
    <row r="10" spans="1:127" x14ac:dyDescent="0.3">
      <c r="A10" s="79" t="str">
        <f>'4. Design Tracking Summary'!A11</f>
        <v>CA00135</v>
      </c>
      <c r="B10" s="79" t="str">
        <f>'4. Design Tracking Summary'!B11</f>
        <v>North</v>
      </c>
      <c r="C10" s="79" t="str">
        <f>'4. Design Tracking Summary'!C11</f>
        <v>MTY</v>
      </c>
      <c r="D10" s="79" t="str">
        <f>'4. Design Tracking Summary'!D11</f>
        <v>MACRO</v>
      </c>
      <c r="E10" s="79" t="s">
        <v>56</v>
      </c>
      <c r="F10" s="79" t="s">
        <v>326</v>
      </c>
      <c r="G10" s="60" t="str">
        <f>IFERROR(INDEX(Table_SiteMilestonesNames[SiteMilestoneName],COUNTA(Table_SiteMilestoneTracking[[#This Row],[SiteDesignStarted_AC]],Table_SiteMilestoneTracking[[#This Row],[SiteDesignReady_AC]],Table_SiteMilestoneTracking[[#This Row],[SiteSurveyCompleted_AC]],Table_SiteMilestoneTracking[[#This Row],[SiteAcquired_AC]],Table_SiteMilestoneTracking[[#This Row],[SiteReadyForCW_AC]],Table_SiteMilestoneTracking[[#This Row],[SiteReadyForPower_AC]],Table_SiteMilestoneTracking[[#This Row],[TXReady_AC]],Table_SiteMilestoneTracking[[#This Row],[SiteReadyForInstallation_AC]],Table_SiteMilestoneTracking[[#This Row],[SiteReadyForIntegration_AC]],Table_SiteMilestoneTracking[[#This Row],[SiteOnAir_AC]],Table_SiteMilestoneTracking[[#This Row],[SiteAccepted_AC]],Table_SiteMilestoneTracking[[#This Row],[SiteInOperations_AC]])+1),"Invalid Milestone")</f>
        <v>SiteInOperations</v>
      </c>
      <c r="H10" s="61">
        <f>Table_SiteMilestoneTracking[[#This Row],[c0_SiteDesignCostBL]]+Table_SiteMilestoneTracking[[#This Row],[c1_SiteSurveyCostBL]]+Table_SiteMilestoneTracking[[#This Row],[c2_SiteAcquisitionCostBL]]+Table_SiteMilestoneTracking[[#This Row],[c3_CivilWorksCostBL]]+Table_SiteMilestoneTracking[[#This Row],[c4_PowerInstallCostBL]]+Table_SiteMilestoneTracking[[#This Row],[c5_TxintegrationCostBL]]+Table_SiteMilestoneTracking[[#This Row],[c6_InstallationCostBL]]+Table_SiteMilestoneTracking[[#This Row],[c7_IntegrationCostBL]]+Table_SiteMilestoneTracking[[#This Row],[c8_AcceptanceCostBL]]+Table_SiteMilestoneTracking[[#This Row],[c9_HandoverCostBL]]</f>
        <v>7550</v>
      </c>
      <c r="I10" s="62">
        <f>Table_SiteMilestoneTracking[[#This Row],[c0_SiteDesignCostAC]]+Table_SiteMilestoneTracking[[#This Row],[c1_SiteSurveyCostAC]]+Table_SiteMilestoneTracking[[#This Row],[c2_SiteAcquisitionCostAC]]+Table_SiteMilestoneTracking[[#This Row],[c3_CivilWorksCostAC]]+Table_SiteMilestoneTracking[[#This Row],[c4_PowerInstallCostAC]]+Table_SiteMilestoneTracking[[#This Row],[c5_TxintegrationCostAC]]+Table_SiteMilestoneTracking[[#This Row],[c6_InstallationCostAC]]+Table_SiteMilestoneTracking[[#This Row],[c7_IntegrationCostAC]]+Table_SiteMilestoneTracking[[#This Row],[c8_AcceptanceCostAC]]+Table_SiteMilestoneTracking[[#This Row],[c9_HandoverCostAC]]</f>
        <v>8025</v>
      </c>
      <c r="J10" s="84">
        <v>43981</v>
      </c>
      <c r="K10" s="84">
        <v>43983</v>
      </c>
      <c r="L10" s="64">
        <f>IF(ISBLANK(Table_SiteMilestoneTracking[[#This Row],[SiteDesignStarted_AC]])=FALSE,Table_SiteMilestoneTracking[[#This Row],[SiteDesignStarted_AC]]-Table_SiteMilestoneTracking[[#This Row],[SiteDesignStarted_BL]],"")</f>
        <v>2</v>
      </c>
      <c r="M10" s="64">
        <f t="shared" si="0"/>
        <v>500</v>
      </c>
      <c r="N10" s="87">
        <v>500</v>
      </c>
      <c r="O10" s="63">
        <f>Table_SiteMilestoneTracking[[#This Row],[SiteDesignStarted_BL]]+t0_SiteDesignDelayBL</f>
        <v>43983</v>
      </c>
      <c r="P10" s="84">
        <v>43988</v>
      </c>
      <c r="Q10" s="64">
        <f>IF(ISBLANK(Table_SiteMilestoneTracking[[#This Row],[SiteDesignReady_AC]])=FALSE,Table_SiteMilestoneTracking[[#This Row],[SiteDesignReady_AC]]-Table_SiteMilestoneTracking[[#This Row],[SiteDesignReady_BL]],"-")</f>
        <v>5</v>
      </c>
      <c r="R10" s="64">
        <f t="shared" si="5"/>
        <v>500</v>
      </c>
      <c r="S10" s="82">
        <v>575</v>
      </c>
      <c r="T10" s="63">
        <f>Table_SiteMilestoneTracking[[#This Row],[SiteDesignReady_BL]]+t1_SiteSurveyBL</f>
        <v>43985</v>
      </c>
      <c r="U10" s="84">
        <v>43990</v>
      </c>
      <c r="V10" s="64">
        <f>IF(ISBLANK(Table_SiteMilestoneTracking[[#This Row],[SiteSurveyCompleted_AC]])=FALSE,Table_SiteMilestoneTracking[[#This Row],[SiteSurveyCompleted_AC]]-Table_SiteMilestoneTracking[[#This Row],[SiteDesignReady_AC]],"-")</f>
        <v>2</v>
      </c>
      <c r="W10" s="64">
        <f t="shared" si="1"/>
        <v>600</v>
      </c>
      <c r="X10" s="82">
        <v>660</v>
      </c>
      <c r="Y10" s="63">
        <f>Table_SiteMilestoneTracking[[#This Row],[SiteSurveyCompleted_BL]]+t2_SiteAcquisitionBL</f>
        <v>43996</v>
      </c>
      <c r="Z10" s="84">
        <v>44002</v>
      </c>
      <c r="AA10" s="65">
        <f>IF(ISBLANK(Table_SiteMilestoneTracking[[#This Row],[SiteAcquired_AC]])=FALSE,Table_SiteMilestoneTracking[[#This Row],[SiteAcquired_AC]]-Table_SiteMilestoneTracking[[#This Row],[SiteAcquired_BL]],"-")</f>
        <v>6</v>
      </c>
      <c r="AB10" s="65">
        <f>IF(ISBLANK(Table_SiteMilestoneTracking[[#This Row],[SiteAcquired_AC]])=FALSE,Table_SiteMilestoneTracking[[#This Row],[SiteAcquired_AC]]-Table_SiteMilestoneTracking[[#This Row],[SiteSurveyCompleted_AC]],"-")</f>
        <v>12</v>
      </c>
      <c r="AC10" s="64">
        <f t="shared" si="2"/>
        <v>150</v>
      </c>
      <c r="AD10" s="82">
        <v>180.00000000000003</v>
      </c>
      <c r="AE10" s="63">
        <f>Table_SiteMilestoneTracking[[#This Row],[SiteAcquired_BL]]+t2a_SiteCWReadinessBL</f>
        <v>43998</v>
      </c>
      <c r="AF10" s="85">
        <v>44005</v>
      </c>
      <c r="AG10" s="66">
        <f>IF(ISBLANK(Table_SiteMilestoneTracking[[#This Row],[SiteReadyForCW_AC]])=FALSE,Table_SiteMilestoneTracking[[#This Row],[SiteReadyForCW_AC]]-Table_SiteMilestoneTracking[[#This Row],[SiteReadyForCW_BL]],"-")</f>
        <v>7</v>
      </c>
      <c r="AH10" s="66">
        <f>IF(ISBLANK(Table_SiteMilestoneTracking[[#This Row],[SiteReadyForCW_AC]])=FALSE,Table_SiteMilestoneTracking[[#This Row],[SiteReadyForCW_AC]]-Table_SiteMilestoneTracking[[#This Row],[SiteDesignReady_AC]],"-")</f>
        <v>17</v>
      </c>
      <c r="AI10" s="64">
        <f t="shared" si="3"/>
        <v>1500</v>
      </c>
      <c r="AJ10" s="82">
        <v>1950</v>
      </c>
      <c r="AK10" s="63">
        <f>Table_SiteMilestoneTracking[[#This Row],[SiteReadyForCW_BL]]+t3_CivilWorksBL</f>
        <v>44006</v>
      </c>
      <c r="AL10" s="84">
        <v>44008</v>
      </c>
      <c r="AM10" s="64">
        <f>IF(ISBLANK(Table_SiteMilestoneTracking[[#This Row],[SiteReadyForPower_AC]])=FALSE,Table_SiteMilestoneTracking[[#This Row],[SiteReadyForPower_AC]]-Table_SiteMilestoneTracking[[#This Row],[SiteReadyForPower_BL]],"-")</f>
        <v>2</v>
      </c>
      <c r="AN10" s="64">
        <f>IF(ISBLANK(Table_SiteMilestoneTracking[[#This Row],[SiteReadyForPower_AC]])=FALSE,Table_SiteMilestoneTracking[[#This Row],[SiteReadyForPower_AC]]-Table_SiteMilestoneTracking[[#This Row],[SiteReadyForCW_AC]],"-")</f>
        <v>3</v>
      </c>
      <c r="AO10" s="64">
        <f t="shared" si="4"/>
        <v>500</v>
      </c>
      <c r="AP10" s="82">
        <v>450</v>
      </c>
      <c r="AQ10" s="63">
        <f>Table_SiteMilestoneTracking[[#This Row],[SiteReadyForPower_BL]]+t4_PowerInstallBL</f>
        <v>44011</v>
      </c>
      <c r="AR10" s="84">
        <v>44019</v>
      </c>
      <c r="AS10" s="64">
        <f>IF(ISBLANK(Table_SiteMilestoneTracking[[#This Row],[TXReady_AC]])=FALSE,Table_SiteMilestoneTracking[[#This Row],[TXReady_AC]]-Table_SiteMilestoneTracking[[#This Row],[TXReady_BL]],"-")</f>
        <v>8</v>
      </c>
      <c r="AT10" s="64">
        <f>IF(ISBLANK(Table_SiteMilestoneTracking[[#This Row],[TXReady_AC]])=FALSE,Table_SiteMilestoneTracking[[#This Row],[TXReady_AC]]-Table_SiteMilestoneTracking[[#This Row],[SiteReadyForPower_AC]],"-")</f>
        <v>11</v>
      </c>
      <c r="AU10" s="64">
        <f>$AU$2</f>
        <v>500</v>
      </c>
      <c r="AV10" s="82">
        <v>500</v>
      </c>
      <c r="AW10" s="63">
        <f>Table_SiteMilestoneTracking[[#This Row],[TXReady_BL]]+t5_TxintegrationBL</f>
        <v>44018</v>
      </c>
      <c r="AX10" s="84">
        <v>44026</v>
      </c>
      <c r="AY10" s="64">
        <f>IF(ISBLANK(Table_SiteMilestoneTracking[[#This Row],[SiteReadyForInstallation_AC]])=FALSE,Table_SiteMilestoneTracking[[#This Row],[SiteReadyForInstallation_AC]]-Table_SiteMilestoneTracking[[#This Row],[SiteReadyForInstallation_BL]],"-")</f>
        <v>8</v>
      </c>
      <c r="AZ10" s="64">
        <f>IF(ISBLANK(Table_SiteMilestoneTracking[[#This Row],[SiteReadyForInstallation_AC]])=FALSE,Table_SiteMilestoneTracking[[#This Row],[SiteReadyForInstallation_AC]]-Table_SiteMilestoneTracking[[#This Row],[TXReady_AC]],"-")</f>
        <v>7</v>
      </c>
      <c r="BA10" s="64">
        <f>$BA$2</f>
        <v>2500</v>
      </c>
      <c r="BB10" s="82">
        <v>2450.0000000000005</v>
      </c>
      <c r="BC10" s="63">
        <f>Table_SiteMilestoneTracking[[#This Row],[SiteReadyForInstallation_BL]]+t6_InstallationBL</f>
        <v>44022</v>
      </c>
      <c r="BD10" s="84">
        <v>44031</v>
      </c>
      <c r="BE10" s="64">
        <f>IF(ISBLANK(Table_SiteMilestoneTracking[[#This Row],[SiteReadyForIntegration_AC]])=FALSE,Table_SiteMilestoneTracking[[#This Row],[SiteReadyForIntegration_AC]]-Table_SiteMilestoneTracking[[#This Row],[SiteReadyForIntegration_BL]],"-")</f>
        <v>9</v>
      </c>
      <c r="BF10" s="64">
        <f>IF(ISBLANK(Table_SiteMilestoneTracking[[#This Row],[SiteReadyForIntegration_AC]])=FALSE,Table_SiteMilestoneTracking[[#This Row],[SiteReadyForIntegration_AC]]-Table_SiteMilestoneTracking[[#This Row],[SiteReadyForInstallation_AC]],"-")</f>
        <v>5</v>
      </c>
      <c r="BG10" s="64">
        <f>$BG$2</f>
        <v>500</v>
      </c>
      <c r="BH10" s="82">
        <v>490</v>
      </c>
      <c r="BI10" s="63">
        <f>Table_SiteMilestoneTracking[[#This Row],[SiteReadyForIntegration_BL]]+t7_IntegrationBL</f>
        <v>44026</v>
      </c>
      <c r="BJ10" s="84">
        <v>44035</v>
      </c>
      <c r="BK10" s="64">
        <f>IF(ISBLANK(Table_SiteMilestoneTracking[[#This Row],[SiteOnAir_AC]])=FALSE,Table_SiteMilestoneTracking[[#This Row],[SiteOnAir_AC]]-Table_SiteMilestoneTracking[[#This Row],[SiteOnAir_BL]],"-")</f>
        <v>9</v>
      </c>
      <c r="BL10" s="64">
        <f>IF(ISBLANK(Table_SiteMilestoneTracking[[#This Row],[SiteOnAir_AC]])=FALSE,Table_SiteMilestoneTracking[[#This Row],[SiteOnAir_AC]]-Table_SiteMilestoneTracking[[#This Row],[SiteReadyForIntegration_AC]],"-")</f>
        <v>4</v>
      </c>
      <c r="BM10" s="64">
        <f>$BM$2</f>
        <v>250</v>
      </c>
      <c r="BN10" s="82">
        <v>250</v>
      </c>
      <c r="BO10" s="63">
        <f>Table_SiteMilestoneTracking[[#This Row],[SiteOnAir_BL]]+t8_AcceptanceBL</f>
        <v>44030</v>
      </c>
      <c r="BP10" s="84">
        <v>44040</v>
      </c>
      <c r="BQ10" s="64">
        <f>IF(ISBLANK(Table_SiteMilestoneTracking[[#This Row],[SiteAccepted_AC]])=FALSE,Table_SiteMilestoneTracking[[#This Row],[SiteAccepted_AC]]-Table_SiteMilestoneTracking[[#This Row],[SiteAccepted_BL]],"-")</f>
        <v>10</v>
      </c>
      <c r="BR10" s="64">
        <f>IF(ISBLANK(Table_SiteMilestoneTracking[[#This Row],[SiteAccepted_AC]])=FALSE,Table_SiteMilestoneTracking[[#This Row],[SiteAccepted_AC]]-Table_SiteMilestoneTracking[[#This Row],[SiteOnAir_AC]],"-")</f>
        <v>5</v>
      </c>
      <c r="BS10" s="64">
        <f>$BS$2</f>
        <v>200</v>
      </c>
      <c r="BT10" s="82">
        <v>200</v>
      </c>
      <c r="BU10" s="63">
        <f>Table_SiteMilestoneTracking[[#This Row],[SiteAccepted_BL]]+t9_HandoverBL</f>
        <v>44038</v>
      </c>
      <c r="BV10" s="84">
        <v>44050</v>
      </c>
      <c r="BW10" s="64">
        <f>IF(ISBLANK(Table_SiteMilestoneTracking[[#This Row],[SiteInOperations_AC]])=FALSE,Table_SiteMilestoneTracking[[#This Row],[SiteInOperations_AC]]-Table_SiteMilestoneTracking[[#This Row],[SiteInOperations_BL]],"-")</f>
        <v>12</v>
      </c>
      <c r="BX10" s="66">
        <f>Table_SiteMilestoneTracking[[#This Row],[SiteInOperations_BL]]-Table_SiteMilestoneTracking[[#This Row],[SiteDesignReady_BL]]</f>
        <v>55</v>
      </c>
      <c r="BY10" s="66">
        <f>IF(Table_SiteMilestoneTracking[[#This Row],[CurrentSiteMilestone]]="SiteInOperations",Table_SiteMilestoneTracking[[#This Row],[SiteInOperations_AC]]-Table_SiteMilestoneTracking[[#This Row],[SiteDesignReady_AC]],"")</f>
        <v>62</v>
      </c>
      <c r="BZ10" s="66">
        <f>IFERROR(Table_SiteMilestoneTracking[[#This Row],[E2E_Site_AC]]-Table_SiteMilestoneTracking[[#This Row],[E2E_Site_BL]],"")</f>
        <v>7</v>
      </c>
      <c r="CA10" s="66">
        <f>IF(Table_SiteMilestoneTracking[[#This Row],[CurrentSiteMilestone]]="SiteInOperations",Table_SiteMilestoneTracking[[#This Row],[SiteInOperations_AC]]-Table_SiteMilestoneTracking[[#This Row],[SiteAccepted_AC]],"")</f>
        <v>10</v>
      </c>
      <c r="CB10" s="79"/>
      <c r="CC10" s="89"/>
      <c r="CD10" s="89"/>
      <c r="CE10" s="70"/>
      <c r="CF10" s="70"/>
      <c r="CG10" s="70"/>
      <c r="CH10" s="70"/>
      <c r="CI10" s="70"/>
      <c r="CJ10" s="70"/>
      <c r="CK10" s="70"/>
      <c r="CL10" s="70"/>
      <c r="CM10" s="70"/>
      <c r="CN10" s="70"/>
      <c r="CO10" s="70"/>
      <c r="CP10" s="70"/>
      <c r="CQ10" s="70"/>
      <c r="CR10" s="70"/>
      <c r="CS10" s="70"/>
      <c r="CT10" s="70"/>
      <c r="CU10" s="70"/>
      <c r="CV10" s="70"/>
      <c r="CW10" s="70"/>
      <c r="CX10" s="70"/>
      <c r="CY10" s="70"/>
      <c r="CZ10" s="70"/>
      <c r="DA10" s="70"/>
      <c r="DB10" s="70"/>
      <c r="DC10" s="70"/>
      <c r="DD10" s="70"/>
      <c r="DE10" s="70"/>
      <c r="DF10" s="70"/>
      <c r="DG10" s="70"/>
      <c r="DH10" s="70"/>
      <c r="DI10" s="70"/>
      <c r="DJ10" s="70"/>
      <c r="DK10" s="70"/>
      <c r="DL10" s="70"/>
      <c r="DM10" s="70"/>
      <c r="DN10" s="70"/>
      <c r="DO10" s="70"/>
      <c r="DP10" s="70"/>
      <c r="DQ10" s="70"/>
      <c r="DR10" s="70"/>
      <c r="DS10" s="70"/>
      <c r="DT10" s="70"/>
      <c r="DU10" s="70"/>
      <c r="DV10" s="70"/>
    </row>
    <row r="11" spans="1:127" x14ac:dyDescent="0.3">
      <c r="A11" s="79" t="str">
        <f>'4. Design Tracking Summary'!A12</f>
        <v>CA00216</v>
      </c>
      <c r="B11" s="79" t="str">
        <f>'4. Design Tracking Summary'!B12</f>
        <v>North</v>
      </c>
      <c r="C11" s="79" t="str">
        <f>'4. Design Tracking Summary'!C12</f>
        <v>ZAC</v>
      </c>
      <c r="D11" s="79" t="str">
        <f>'4. Design Tracking Summary'!D12</f>
        <v>MINI</v>
      </c>
      <c r="E11" s="79" t="s">
        <v>57</v>
      </c>
      <c r="F11" s="79" t="s">
        <v>327</v>
      </c>
      <c r="G11" s="60" t="str">
        <f>IFERROR(INDEX(Table_SiteMilestonesNames[SiteMilestoneName],COUNTA(Table_SiteMilestoneTracking[[#This Row],[SiteDesignStarted_AC]],Table_SiteMilestoneTracking[[#This Row],[SiteDesignReady_AC]],Table_SiteMilestoneTracking[[#This Row],[SiteSurveyCompleted_AC]],Table_SiteMilestoneTracking[[#This Row],[SiteAcquired_AC]],Table_SiteMilestoneTracking[[#This Row],[SiteReadyForCW_AC]],Table_SiteMilestoneTracking[[#This Row],[SiteReadyForPower_AC]],Table_SiteMilestoneTracking[[#This Row],[TXReady_AC]],Table_SiteMilestoneTracking[[#This Row],[SiteReadyForInstallation_AC]],Table_SiteMilestoneTracking[[#This Row],[SiteReadyForIntegration_AC]],Table_SiteMilestoneTracking[[#This Row],[SiteOnAir_AC]],Table_SiteMilestoneTracking[[#This Row],[SiteAccepted_AC]],Table_SiteMilestoneTracking[[#This Row],[SiteInOperations_AC]])+1),"Invalid Milestone")</f>
        <v>SiteInOperations</v>
      </c>
      <c r="H11" s="61">
        <f>Table_SiteMilestoneTracking[[#This Row],[c0_SiteDesignCostBL]]+Table_SiteMilestoneTracking[[#This Row],[c1_SiteSurveyCostBL]]+Table_SiteMilestoneTracking[[#This Row],[c2_SiteAcquisitionCostBL]]+Table_SiteMilestoneTracking[[#This Row],[c3_CivilWorksCostBL]]+Table_SiteMilestoneTracking[[#This Row],[c4_PowerInstallCostBL]]+Table_SiteMilestoneTracking[[#This Row],[c5_TxintegrationCostBL]]+Table_SiteMilestoneTracking[[#This Row],[c6_InstallationCostBL]]+Table_SiteMilestoneTracking[[#This Row],[c7_IntegrationCostBL]]+Table_SiteMilestoneTracking[[#This Row],[c8_AcceptanceCostBL]]+Table_SiteMilestoneTracking[[#This Row],[c9_HandoverCostBL]]</f>
        <v>7550</v>
      </c>
      <c r="I11" s="62">
        <f>Table_SiteMilestoneTracking[[#This Row],[c0_SiteDesignCostAC]]+Table_SiteMilestoneTracking[[#This Row],[c1_SiteSurveyCostAC]]+Table_SiteMilestoneTracking[[#This Row],[c2_SiteAcquisitionCostAC]]+Table_SiteMilestoneTracking[[#This Row],[c3_CivilWorksCostAC]]+Table_SiteMilestoneTracking[[#This Row],[c4_PowerInstallCostAC]]+Table_SiteMilestoneTracking[[#This Row],[c5_TxintegrationCostAC]]+Table_SiteMilestoneTracking[[#This Row],[c6_InstallationCostAC]]+Table_SiteMilestoneTracking[[#This Row],[c7_IntegrationCostAC]]+Table_SiteMilestoneTracking[[#This Row],[c8_AcceptanceCostAC]]+Table_SiteMilestoneTracking[[#This Row],[c9_HandoverCostAC]]</f>
        <v>7985</v>
      </c>
      <c r="J11" s="84">
        <v>43988</v>
      </c>
      <c r="K11" s="84">
        <v>43990</v>
      </c>
      <c r="L11" s="64">
        <f>IF(ISBLANK(Table_SiteMilestoneTracking[[#This Row],[SiteDesignStarted_AC]])=FALSE,Table_SiteMilestoneTracking[[#This Row],[SiteDesignStarted_AC]]-Table_SiteMilestoneTracking[[#This Row],[SiteDesignStarted_BL]],"")</f>
        <v>2</v>
      </c>
      <c r="M11" s="64">
        <f t="shared" si="0"/>
        <v>500</v>
      </c>
      <c r="N11" s="87">
        <v>520</v>
      </c>
      <c r="O11" s="63">
        <f>Table_SiteMilestoneTracking[[#This Row],[SiteDesignStarted_BL]]+t0_SiteDesignDelayBL</f>
        <v>43990</v>
      </c>
      <c r="P11" s="84">
        <v>43993</v>
      </c>
      <c r="Q11" s="64">
        <f>IF(ISBLANK(Table_SiteMilestoneTracking[[#This Row],[SiteDesignReady_AC]])=FALSE,Table_SiteMilestoneTracking[[#This Row],[SiteDesignReady_AC]]-Table_SiteMilestoneTracking[[#This Row],[SiteDesignReady_BL]],"-")</f>
        <v>3</v>
      </c>
      <c r="R11" s="64">
        <f t="shared" si="5"/>
        <v>500</v>
      </c>
      <c r="S11" s="82">
        <v>825</v>
      </c>
      <c r="T11" s="63">
        <f>Table_SiteMilestoneTracking[[#This Row],[SiteDesignReady_BL]]+t1_SiteSurveyBL</f>
        <v>43992</v>
      </c>
      <c r="U11" s="84">
        <v>43996</v>
      </c>
      <c r="V11" s="64">
        <f>IF(ISBLANK(Table_SiteMilestoneTracking[[#This Row],[SiteSurveyCompleted_AC]])=FALSE,Table_SiteMilestoneTracking[[#This Row],[SiteSurveyCompleted_AC]]-Table_SiteMilestoneTracking[[#This Row],[SiteDesignReady_AC]],"-")</f>
        <v>3</v>
      </c>
      <c r="W11" s="64">
        <f t="shared" si="1"/>
        <v>600</v>
      </c>
      <c r="X11" s="82">
        <v>420</v>
      </c>
      <c r="Y11" s="63">
        <f>Table_SiteMilestoneTracking[[#This Row],[SiteSurveyCompleted_BL]]+t2_SiteAcquisitionBL</f>
        <v>44003</v>
      </c>
      <c r="Z11" s="84">
        <v>44008</v>
      </c>
      <c r="AA11" s="65">
        <f>IF(ISBLANK(Table_SiteMilestoneTracking[[#This Row],[SiteAcquired_AC]])=FALSE,Table_SiteMilestoneTracking[[#This Row],[SiteAcquired_AC]]-Table_SiteMilestoneTracking[[#This Row],[SiteAcquired_BL]],"-")</f>
        <v>5</v>
      </c>
      <c r="AB11" s="65">
        <f>IF(ISBLANK(Table_SiteMilestoneTracking[[#This Row],[SiteAcquired_AC]])=FALSE,Table_SiteMilestoneTracking[[#This Row],[SiteAcquired_AC]]-Table_SiteMilestoneTracking[[#This Row],[SiteSurveyCompleted_AC]],"-")</f>
        <v>12</v>
      </c>
      <c r="AC11" s="64">
        <f t="shared" si="2"/>
        <v>150</v>
      </c>
      <c r="AD11" s="82">
        <v>150</v>
      </c>
      <c r="AE11" s="63">
        <f>Table_SiteMilestoneTracking[[#This Row],[SiteAcquired_BL]]+t2a_SiteCWReadinessBL</f>
        <v>44005</v>
      </c>
      <c r="AF11" s="85">
        <v>44010</v>
      </c>
      <c r="AG11" s="66">
        <f>IF(ISBLANK(Table_SiteMilestoneTracking[[#This Row],[SiteReadyForCW_AC]])=FALSE,Table_SiteMilestoneTracking[[#This Row],[SiteReadyForCW_AC]]-Table_SiteMilestoneTracking[[#This Row],[SiteReadyForCW_BL]],"-")</f>
        <v>5</v>
      </c>
      <c r="AH11" s="66">
        <f>IF(ISBLANK(Table_SiteMilestoneTracking[[#This Row],[SiteReadyForCW_AC]])=FALSE,Table_SiteMilestoneTracking[[#This Row],[SiteReadyForCW_AC]]-Table_SiteMilestoneTracking[[#This Row],[SiteDesignReady_AC]],"-")</f>
        <v>17</v>
      </c>
      <c r="AI11" s="64">
        <f t="shared" si="3"/>
        <v>1500</v>
      </c>
      <c r="AJ11" s="82">
        <v>1950</v>
      </c>
      <c r="AK11" s="63">
        <f>Table_SiteMilestoneTracking[[#This Row],[SiteReadyForCW_BL]]+t3_CivilWorksBL</f>
        <v>44013</v>
      </c>
      <c r="AL11" s="84">
        <v>44019</v>
      </c>
      <c r="AM11" s="64">
        <f>IF(ISBLANK(Table_SiteMilestoneTracking[[#This Row],[SiteReadyForPower_AC]])=FALSE,Table_SiteMilestoneTracking[[#This Row],[SiteReadyForPower_AC]]-Table_SiteMilestoneTracking[[#This Row],[SiteReadyForPower_BL]],"-")</f>
        <v>6</v>
      </c>
      <c r="AN11" s="64">
        <f>IF(ISBLANK(Table_SiteMilestoneTracking[[#This Row],[SiteReadyForPower_AC]])=FALSE,Table_SiteMilestoneTracking[[#This Row],[SiteReadyForPower_AC]]-Table_SiteMilestoneTracking[[#This Row],[SiteReadyForCW_AC]],"-")</f>
        <v>9</v>
      </c>
      <c r="AO11" s="64">
        <f t="shared" si="4"/>
        <v>500</v>
      </c>
      <c r="AP11" s="82">
        <v>650</v>
      </c>
      <c r="AQ11" s="63">
        <f>Table_SiteMilestoneTracking[[#This Row],[SiteReadyForPower_BL]]+t4_PowerInstallBL</f>
        <v>44018</v>
      </c>
      <c r="AR11" s="84">
        <v>44024</v>
      </c>
      <c r="AS11" s="64">
        <f>IF(ISBLANK(Table_SiteMilestoneTracking[[#This Row],[TXReady_AC]])=FALSE,Table_SiteMilestoneTracking[[#This Row],[TXReady_AC]]-Table_SiteMilestoneTracking[[#This Row],[TXReady_BL]],"-")</f>
        <v>6</v>
      </c>
      <c r="AT11" s="64">
        <f>IF(ISBLANK(Table_SiteMilestoneTracking[[#This Row],[TXReady_AC]])=FALSE,Table_SiteMilestoneTracking[[#This Row],[TXReady_AC]]-Table_SiteMilestoneTracking[[#This Row],[SiteReadyForPower_AC]],"-")</f>
        <v>5</v>
      </c>
      <c r="AU11" s="64">
        <f>$AU$2</f>
        <v>500</v>
      </c>
      <c r="AV11" s="82">
        <v>250</v>
      </c>
      <c r="AW11" s="63">
        <f>Table_SiteMilestoneTracking[[#This Row],[TXReady_BL]]+t5_TxintegrationBL</f>
        <v>44025</v>
      </c>
      <c r="AX11" s="84">
        <v>44032</v>
      </c>
      <c r="AY11" s="64">
        <f>IF(ISBLANK(Table_SiteMilestoneTracking[[#This Row],[SiteReadyForInstallation_AC]])=FALSE,Table_SiteMilestoneTracking[[#This Row],[SiteReadyForInstallation_AC]]-Table_SiteMilestoneTracking[[#This Row],[SiteReadyForInstallation_BL]],"-")</f>
        <v>7</v>
      </c>
      <c r="AZ11" s="64">
        <f>IF(ISBLANK(Table_SiteMilestoneTracking[[#This Row],[SiteReadyForInstallation_AC]])=FALSE,Table_SiteMilestoneTracking[[#This Row],[SiteReadyForInstallation_AC]]-Table_SiteMilestoneTracking[[#This Row],[TXReady_AC]],"-")</f>
        <v>8</v>
      </c>
      <c r="BA11" s="64">
        <f>$BA$2</f>
        <v>2500</v>
      </c>
      <c r="BB11" s="82">
        <v>2450.0000000000005</v>
      </c>
      <c r="BC11" s="63">
        <f>Table_SiteMilestoneTracking[[#This Row],[SiteReadyForInstallation_BL]]+t6_InstallationBL</f>
        <v>44029</v>
      </c>
      <c r="BD11" s="84">
        <v>44037</v>
      </c>
      <c r="BE11" s="64">
        <f>IF(ISBLANK(Table_SiteMilestoneTracking[[#This Row],[SiteReadyForIntegration_AC]])=FALSE,Table_SiteMilestoneTracking[[#This Row],[SiteReadyForIntegration_AC]]-Table_SiteMilestoneTracking[[#This Row],[SiteReadyForIntegration_BL]],"-")</f>
        <v>8</v>
      </c>
      <c r="BF11" s="64">
        <f>IF(ISBLANK(Table_SiteMilestoneTracking[[#This Row],[SiteReadyForIntegration_AC]])=FALSE,Table_SiteMilestoneTracking[[#This Row],[SiteReadyForIntegration_AC]]-Table_SiteMilestoneTracking[[#This Row],[SiteReadyForInstallation_AC]],"-")</f>
        <v>5</v>
      </c>
      <c r="BG11" s="64">
        <f>$BG$2</f>
        <v>500</v>
      </c>
      <c r="BH11" s="82">
        <v>470.00000000000006</v>
      </c>
      <c r="BI11" s="63">
        <f>Table_SiteMilestoneTracking[[#This Row],[SiteReadyForIntegration_BL]]+t7_IntegrationBL</f>
        <v>44033</v>
      </c>
      <c r="BJ11" s="84">
        <v>44042</v>
      </c>
      <c r="BK11" s="64">
        <f>IF(ISBLANK(Table_SiteMilestoneTracking[[#This Row],[SiteOnAir_AC]])=FALSE,Table_SiteMilestoneTracking[[#This Row],[SiteOnAir_AC]]-Table_SiteMilestoneTracking[[#This Row],[SiteOnAir_BL]],"-")</f>
        <v>9</v>
      </c>
      <c r="BL11" s="64">
        <f>IF(ISBLANK(Table_SiteMilestoneTracking[[#This Row],[SiteOnAir_AC]])=FALSE,Table_SiteMilestoneTracking[[#This Row],[SiteOnAir_AC]]-Table_SiteMilestoneTracking[[#This Row],[SiteReadyForIntegration_AC]],"-")</f>
        <v>5</v>
      </c>
      <c r="BM11" s="64">
        <f>$BM$2</f>
        <v>250</v>
      </c>
      <c r="BN11" s="82">
        <v>250</v>
      </c>
      <c r="BO11" s="63">
        <f>Table_SiteMilestoneTracking[[#This Row],[SiteOnAir_BL]]+t8_AcceptanceBL</f>
        <v>44037</v>
      </c>
      <c r="BP11" s="84">
        <v>44047</v>
      </c>
      <c r="BQ11" s="64">
        <f>IF(ISBLANK(Table_SiteMilestoneTracking[[#This Row],[SiteAccepted_AC]])=FALSE,Table_SiteMilestoneTracking[[#This Row],[SiteAccepted_AC]]-Table_SiteMilestoneTracking[[#This Row],[SiteAccepted_BL]],"-")</f>
        <v>10</v>
      </c>
      <c r="BR11" s="64">
        <f>IF(ISBLANK(Table_SiteMilestoneTracking[[#This Row],[SiteAccepted_AC]])=FALSE,Table_SiteMilestoneTracking[[#This Row],[SiteAccepted_AC]]-Table_SiteMilestoneTracking[[#This Row],[SiteOnAir_AC]],"-")</f>
        <v>5</v>
      </c>
      <c r="BS11" s="64">
        <f>$BS$2</f>
        <v>200</v>
      </c>
      <c r="BT11" s="82">
        <v>200</v>
      </c>
      <c r="BU11" s="63">
        <f>Table_SiteMilestoneTracking[[#This Row],[SiteAccepted_BL]]+t9_HandoverBL</f>
        <v>44045</v>
      </c>
      <c r="BV11" s="84">
        <v>44057</v>
      </c>
      <c r="BW11" s="64">
        <f>IF(ISBLANK(Table_SiteMilestoneTracking[[#This Row],[SiteInOperations_AC]])=FALSE,Table_SiteMilestoneTracking[[#This Row],[SiteInOperations_AC]]-Table_SiteMilestoneTracking[[#This Row],[SiteInOperations_BL]],"-")</f>
        <v>12</v>
      </c>
      <c r="BX11" s="66">
        <f>Table_SiteMilestoneTracking[[#This Row],[SiteInOperations_BL]]-Table_SiteMilestoneTracking[[#This Row],[SiteDesignReady_BL]]</f>
        <v>55</v>
      </c>
      <c r="BY11" s="66">
        <f>IF(Table_SiteMilestoneTracking[[#This Row],[CurrentSiteMilestone]]="SiteInOperations",Table_SiteMilestoneTracking[[#This Row],[SiteInOperations_AC]]-Table_SiteMilestoneTracking[[#This Row],[SiteDesignReady_AC]],"")</f>
        <v>64</v>
      </c>
      <c r="BZ11" s="66">
        <f>IFERROR(Table_SiteMilestoneTracking[[#This Row],[E2E_Site_AC]]-Table_SiteMilestoneTracking[[#This Row],[E2E_Site_BL]],"")</f>
        <v>9</v>
      </c>
      <c r="CA11" s="66">
        <f>IF(Table_SiteMilestoneTracking[[#This Row],[CurrentSiteMilestone]]="SiteInOperations",Table_SiteMilestoneTracking[[#This Row],[SiteInOperations_AC]]-Table_SiteMilestoneTracking[[#This Row],[SiteAccepted_AC]],"")</f>
        <v>10</v>
      </c>
      <c r="CB11" s="79"/>
      <c r="CC11" s="89"/>
      <c r="CD11" s="89"/>
      <c r="CE11" s="70"/>
      <c r="CF11" s="70"/>
      <c r="CG11" s="70"/>
      <c r="CH11" s="70"/>
      <c r="CI11" s="70"/>
      <c r="CJ11" s="70"/>
      <c r="CK11" s="70"/>
      <c r="CL11" s="70"/>
      <c r="CM11" s="70"/>
      <c r="CN11" s="70"/>
      <c r="CO11" s="70"/>
      <c r="CP11" s="70"/>
      <c r="CQ11" s="70"/>
      <c r="CR11" s="70"/>
      <c r="CS11" s="70"/>
      <c r="CT11" s="70"/>
      <c r="CU11" s="70"/>
      <c r="CV11" s="70"/>
      <c r="CW11" s="70"/>
      <c r="CX11" s="70"/>
      <c r="CY11" s="70"/>
      <c r="CZ11" s="70"/>
      <c r="DA11" s="70"/>
      <c r="DB11" s="70"/>
      <c r="DC11" s="70"/>
      <c r="DD11" s="70"/>
      <c r="DE11" s="70"/>
      <c r="DF11" s="70"/>
      <c r="DG11" s="70"/>
      <c r="DH11" s="70"/>
      <c r="DI11" s="70"/>
      <c r="DJ11" s="70"/>
      <c r="DK11" s="70"/>
      <c r="DL11" s="70"/>
      <c r="DM11" s="70"/>
      <c r="DN11" s="70"/>
      <c r="DO11" s="70"/>
      <c r="DP11" s="70"/>
      <c r="DQ11" s="70"/>
      <c r="DR11" s="70"/>
      <c r="DS11" s="70"/>
      <c r="DT11" s="70"/>
      <c r="DU11" s="70"/>
      <c r="DV11" s="70"/>
    </row>
    <row r="12" spans="1:127" x14ac:dyDescent="0.3">
      <c r="A12" s="79" t="str">
        <f>'4. Design Tracking Summary'!A13</f>
        <v>CA00162</v>
      </c>
      <c r="B12" s="79" t="str">
        <f>'4. Design Tracking Summary'!B13</f>
        <v>Center</v>
      </c>
      <c r="C12" s="79" t="str">
        <f>'4. Design Tracking Summary'!C13</f>
        <v>GTO</v>
      </c>
      <c r="D12" s="79" t="str">
        <f>'4. Design Tracking Summary'!D13</f>
        <v>SMALL</v>
      </c>
      <c r="E12" s="79" t="s">
        <v>58</v>
      </c>
      <c r="F12" s="79" t="s">
        <v>328</v>
      </c>
      <c r="G12" s="60" t="str">
        <f>IFERROR(INDEX(Table_SiteMilestonesNames[SiteMilestoneName],COUNTA(Table_SiteMilestoneTracking[[#This Row],[SiteDesignStarted_AC]],Table_SiteMilestoneTracking[[#This Row],[SiteDesignReady_AC]],Table_SiteMilestoneTracking[[#This Row],[SiteSurveyCompleted_AC]],Table_SiteMilestoneTracking[[#This Row],[SiteAcquired_AC]],Table_SiteMilestoneTracking[[#This Row],[SiteReadyForCW_AC]],Table_SiteMilestoneTracking[[#This Row],[SiteReadyForPower_AC]],Table_SiteMilestoneTracking[[#This Row],[TXReady_AC]],Table_SiteMilestoneTracking[[#This Row],[SiteReadyForInstallation_AC]],Table_SiteMilestoneTracking[[#This Row],[SiteReadyForIntegration_AC]],Table_SiteMilestoneTracking[[#This Row],[SiteOnAir_AC]],Table_SiteMilestoneTracking[[#This Row],[SiteAccepted_AC]],Table_SiteMilestoneTracking[[#This Row],[SiteInOperations_AC]])+1),"Invalid Milestone")</f>
        <v>SiteInOperations</v>
      </c>
      <c r="H12" s="61">
        <f>Table_SiteMilestoneTracking[[#This Row],[c0_SiteDesignCostBL]]+Table_SiteMilestoneTracking[[#This Row],[c1_SiteSurveyCostBL]]+Table_SiteMilestoneTracking[[#This Row],[c2_SiteAcquisitionCostBL]]+Table_SiteMilestoneTracking[[#This Row],[c3_CivilWorksCostBL]]+Table_SiteMilestoneTracking[[#This Row],[c4_PowerInstallCostBL]]+Table_SiteMilestoneTracking[[#This Row],[c5_TxintegrationCostBL]]+Table_SiteMilestoneTracking[[#This Row],[c6_InstallationCostBL]]+Table_SiteMilestoneTracking[[#This Row],[c7_IntegrationCostBL]]+Table_SiteMilestoneTracking[[#This Row],[c8_AcceptanceCostBL]]+Table_SiteMilestoneTracking[[#This Row],[c9_HandoverCostBL]]</f>
        <v>7550</v>
      </c>
      <c r="I12" s="62">
        <f>Table_SiteMilestoneTracking[[#This Row],[c0_SiteDesignCostAC]]+Table_SiteMilestoneTracking[[#This Row],[c1_SiteSurveyCostAC]]+Table_SiteMilestoneTracking[[#This Row],[c2_SiteAcquisitionCostAC]]+Table_SiteMilestoneTracking[[#This Row],[c3_CivilWorksCostAC]]+Table_SiteMilestoneTracking[[#This Row],[c4_PowerInstallCostAC]]+Table_SiteMilestoneTracking[[#This Row],[c5_TxintegrationCostAC]]+Table_SiteMilestoneTracking[[#This Row],[c6_InstallationCostAC]]+Table_SiteMilestoneTracking[[#This Row],[c7_IntegrationCostAC]]+Table_SiteMilestoneTracking[[#This Row],[c8_AcceptanceCostAC]]+Table_SiteMilestoneTracking[[#This Row],[c9_HandoverCostAC]]</f>
        <v>6845</v>
      </c>
      <c r="J12" s="84">
        <v>43988</v>
      </c>
      <c r="K12" s="84">
        <v>43989</v>
      </c>
      <c r="L12" s="64">
        <f>IF(ISBLANK(Table_SiteMilestoneTracking[[#This Row],[SiteDesignStarted_AC]])=FALSE,Table_SiteMilestoneTracking[[#This Row],[SiteDesignStarted_AC]]-Table_SiteMilestoneTracking[[#This Row],[SiteDesignStarted_BL]],"")</f>
        <v>1</v>
      </c>
      <c r="M12" s="64">
        <f t="shared" si="0"/>
        <v>500</v>
      </c>
      <c r="N12" s="87">
        <v>540</v>
      </c>
      <c r="O12" s="63">
        <f>Table_SiteMilestoneTracking[[#This Row],[SiteDesignStarted_BL]]+t0_SiteDesignDelayBL</f>
        <v>43990</v>
      </c>
      <c r="P12" s="84">
        <v>43994</v>
      </c>
      <c r="Q12" s="64">
        <f>IF(ISBLANK(Table_SiteMilestoneTracking[[#This Row],[SiteDesignReady_AC]])=FALSE,Table_SiteMilestoneTracking[[#This Row],[SiteDesignReady_AC]]-Table_SiteMilestoneTracking[[#This Row],[SiteDesignReady_BL]],"-")</f>
        <v>4</v>
      </c>
      <c r="R12" s="64">
        <f t="shared" si="5"/>
        <v>500</v>
      </c>
      <c r="S12" s="82">
        <v>475</v>
      </c>
      <c r="T12" s="63">
        <f>Table_SiteMilestoneTracking[[#This Row],[SiteDesignReady_BL]]+t1_SiteSurveyBL</f>
        <v>43992</v>
      </c>
      <c r="U12" s="84">
        <v>43997</v>
      </c>
      <c r="V12" s="64">
        <f>IF(ISBLANK(Table_SiteMilestoneTracking[[#This Row],[SiteSurveyCompleted_AC]])=FALSE,Table_SiteMilestoneTracking[[#This Row],[SiteSurveyCompleted_AC]]-Table_SiteMilestoneTracking[[#This Row],[SiteDesignReady_AC]],"-")</f>
        <v>3</v>
      </c>
      <c r="W12" s="64">
        <f t="shared" si="1"/>
        <v>600</v>
      </c>
      <c r="X12" s="82">
        <v>360</v>
      </c>
      <c r="Y12" s="63">
        <f>Table_SiteMilestoneTracking[[#This Row],[SiteSurveyCompleted_BL]]+t2_SiteAcquisitionBL</f>
        <v>44003</v>
      </c>
      <c r="Z12" s="84">
        <v>44008</v>
      </c>
      <c r="AA12" s="65">
        <f>IF(ISBLANK(Table_SiteMilestoneTracking[[#This Row],[SiteAcquired_AC]])=FALSE,Table_SiteMilestoneTracking[[#This Row],[SiteAcquired_AC]]-Table_SiteMilestoneTracking[[#This Row],[SiteAcquired_BL]],"-")</f>
        <v>5</v>
      </c>
      <c r="AB12" s="65">
        <f>IF(ISBLANK(Table_SiteMilestoneTracking[[#This Row],[SiteAcquired_AC]])=FALSE,Table_SiteMilestoneTracking[[#This Row],[SiteAcquired_AC]]-Table_SiteMilestoneTracking[[#This Row],[SiteSurveyCompleted_AC]],"-")</f>
        <v>11</v>
      </c>
      <c r="AC12" s="64">
        <f t="shared" si="2"/>
        <v>150</v>
      </c>
      <c r="AD12" s="82">
        <v>150</v>
      </c>
      <c r="AE12" s="63">
        <f>Table_SiteMilestoneTracking[[#This Row],[SiteAcquired_BL]]+t2a_SiteCWReadinessBL</f>
        <v>44005</v>
      </c>
      <c r="AF12" s="85">
        <v>44010</v>
      </c>
      <c r="AG12" s="66">
        <f>IF(ISBLANK(Table_SiteMilestoneTracking[[#This Row],[SiteReadyForCW_AC]])=FALSE,Table_SiteMilestoneTracking[[#This Row],[SiteReadyForCW_AC]]-Table_SiteMilestoneTracking[[#This Row],[SiteReadyForCW_BL]],"-")</f>
        <v>5</v>
      </c>
      <c r="AH12" s="66">
        <f>IF(ISBLANK(Table_SiteMilestoneTracking[[#This Row],[SiteReadyForCW_AC]])=FALSE,Table_SiteMilestoneTracking[[#This Row],[SiteReadyForCW_AC]]-Table_SiteMilestoneTracking[[#This Row],[SiteDesignReady_AC]],"-")</f>
        <v>16</v>
      </c>
      <c r="AI12" s="64">
        <f t="shared" si="3"/>
        <v>1500</v>
      </c>
      <c r="AJ12" s="82">
        <v>1650</v>
      </c>
      <c r="AK12" s="63">
        <f>Table_SiteMilestoneTracking[[#This Row],[SiteReadyForCW_BL]]+t3_CivilWorksBL</f>
        <v>44013</v>
      </c>
      <c r="AL12" s="84">
        <v>44019</v>
      </c>
      <c r="AM12" s="64">
        <f>IF(ISBLANK(Table_SiteMilestoneTracking[[#This Row],[SiteReadyForPower_AC]])=FALSE,Table_SiteMilestoneTracking[[#This Row],[SiteReadyForPower_AC]]-Table_SiteMilestoneTracking[[#This Row],[SiteReadyForPower_BL]],"-")</f>
        <v>6</v>
      </c>
      <c r="AN12" s="64">
        <f>IF(ISBLANK(Table_SiteMilestoneTracking[[#This Row],[SiteReadyForPower_AC]])=FALSE,Table_SiteMilestoneTracking[[#This Row],[SiteReadyForPower_AC]]-Table_SiteMilestoneTracking[[#This Row],[SiteReadyForCW_AC]],"-")</f>
        <v>9</v>
      </c>
      <c r="AO12" s="64">
        <f t="shared" si="4"/>
        <v>500</v>
      </c>
      <c r="AP12" s="82">
        <v>350</v>
      </c>
      <c r="AQ12" s="63">
        <f>Table_SiteMilestoneTracking[[#This Row],[SiteReadyForPower_BL]]+t4_PowerInstallBL</f>
        <v>44018</v>
      </c>
      <c r="AR12" s="84">
        <v>44024</v>
      </c>
      <c r="AS12" s="64">
        <f>IF(ISBLANK(Table_SiteMilestoneTracking[[#This Row],[TXReady_AC]])=FALSE,Table_SiteMilestoneTracking[[#This Row],[TXReady_AC]]-Table_SiteMilestoneTracking[[#This Row],[TXReady_BL]],"-")</f>
        <v>6</v>
      </c>
      <c r="AT12" s="64">
        <f>IF(ISBLANK(Table_SiteMilestoneTracking[[#This Row],[TXReady_AC]])=FALSE,Table_SiteMilestoneTracking[[#This Row],[TXReady_AC]]-Table_SiteMilestoneTracking[[#This Row],[SiteReadyForPower_AC]],"-")</f>
        <v>5</v>
      </c>
      <c r="AU12" s="64">
        <f>$AU$2</f>
        <v>500</v>
      </c>
      <c r="AV12" s="82">
        <v>300</v>
      </c>
      <c r="AW12" s="63">
        <f>Table_SiteMilestoneTracking[[#This Row],[TXReady_BL]]+t5_TxintegrationBL</f>
        <v>44025</v>
      </c>
      <c r="AX12" s="84">
        <v>44031</v>
      </c>
      <c r="AY12" s="64">
        <f>IF(ISBLANK(Table_SiteMilestoneTracking[[#This Row],[SiteReadyForInstallation_AC]])=FALSE,Table_SiteMilestoneTracking[[#This Row],[SiteReadyForInstallation_AC]]-Table_SiteMilestoneTracking[[#This Row],[SiteReadyForInstallation_BL]],"-")</f>
        <v>6</v>
      </c>
      <c r="AZ12" s="64">
        <f>IF(ISBLANK(Table_SiteMilestoneTracking[[#This Row],[SiteReadyForInstallation_AC]])=FALSE,Table_SiteMilestoneTracking[[#This Row],[SiteReadyForInstallation_AC]]-Table_SiteMilestoneTracking[[#This Row],[TXReady_AC]],"-")</f>
        <v>7</v>
      </c>
      <c r="BA12" s="64">
        <f>$BA$2</f>
        <v>2500</v>
      </c>
      <c r="BB12" s="82">
        <v>2250</v>
      </c>
      <c r="BC12" s="63">
        <f>Table_SiteMilestoneTracking[[#This Row],[SiteReadyForInstallation_BL]]+t6_InstallationBL</f>
        <v>44029</v>
      </c>
      <c r="BD12" s="84">
        <v>44035</v>
      </c>
      <c r="BE12" s="64">
        <f>IF(ISBLANK(Table_SiteMilestoneTracking[[#This Row],[SiteReadyForIntegration_AC]])=FALSE,Table_SiteMilestoneTracking[[#This Row],[SiteReadyForIntegration_AC]]-Table_SiteMilestoneTracking[[#This Row],[SiteReadyForIntegration_BL]],"-")</f>
        <v>6</v>
      </c>
      <c r="BF12" s="64">
        <f>IF(ISBLANK(Table_SiteMilestoneTracking[[#This Row],[SiteReadyForIntegration_AC]])=FALSE,Table_SiteMilestoneTracking[[#This Row],[SiteReadyForIntegration_AC]]-Table_SiteMilestoneTracking[[#This Row],[SiteReadyForInstallation_AC]],"-")</f>
        <v>4</v>
      </c>
      <c r="BG12" s="64">
        <f>$BG$2</f>
        <v>500</v>
      </c>
      <c r="BH12" s="82">
        <v>470.00000000000006</v>
      </c>
      <c r="BI12" s="63">
        <f>Table_SiteMilestoneTracking[[#This Row],[SiteReadyForIntegration_BL]]+t7_IntegrationBL</f>
        <v>44033</v>
      </c>
      <c r="BJ12" s="84">
        <v>44040</v>
      </c>
      <c r="BK12" s="64">
        <f>IF(ISBLANK(Table_SiteMilestoneTracking[[#This Row],[SiteOnAir_AC]])=FALSE,Table_SiteMilestoneTracking[[#This Row],[SiteOnAir_AC]]-Table_SiteMilestoneTracking[[#This Row],[SiteOnAir_BL]],"-")</f>
        <v>7</v>
      </c>
      <c r="BL12" s="64">
        <f>IF(ISBLANK(Table_SiteMilestoneTracking[[#This Row],[SiteOnAir_AC]])=FALSE,Table_SiteMilestoneTracking[[#This Row],[SiteOnAir_AC]]-Table_SiteMilestoneTracking[[#This Row],[SiteReadyForIntegration_AC]],"-")</f>
        <v>5</v>
      </c>
      <c r="BM12" s="64">
        <f>$BM$2</f>
        <v>250</v>
      </c>
      <c r="BN12" s="82">
        <v>250</v>
      </c>
      <c r="BO12" s="63">
        <f>Table_SiteMilestoneTracking[[#This Row],[SiteOnAir_BL]]+t8_AcceptanceBL</f>
        <v>44037</v>
      </c>
      <c r="BP12" s="84">
        <v>44044</v>
      </c>
      <c r="BQ12" s="64">
        <f>IF(ISBLANK(Table_SiteMilestoneTracking[[#This Row],[SiteAccepted_AC]])=FALSE,Table_SiteMilestoneTracking[[#This Row],[SiteAccepted_AC]]-Table_SiteMilestoneTracking[[#This Row],[SiteAccepted_BL]],"-")</f>
        <v>7</v>
      </c>
      <c r="BR12" s="64">
        <f>IF(ISBLANK(Table_SiteMilestoneTracking[[#This Row],[SiteAccepted_AC]])=FALSE,Table_SiteMilestoneTracking[[#This Row],[SiteAccepted_AC]]-Table_SiteMilestoneTracking[[#This Row],[SiteOnAir_AC]],"-")</f>
        <v>4</v>
      </c>
      <c r="BS12" s="64">
        <f>$BS$2</f>
        <v>200</v>
      </c>
      <c r="BT12" s="82">
        <v>200</v>
      </c>
      <c r="BU12" s="63">
        <f>Table_SiteMilestoneTracking[[#This Row],[SiteAccepted_BL]]+t9_HandoverBL</f>
        <v>44045</v>
      </c>
      <c r="BV12" s="84">
        <v>44054</v>
      </c>
      <c r="BW12" s="64">
        <f>IF(ISBLANK(Table_SiteMilestoneTracking[[#This Row],[SiteInOperations_AC]])=FALSE,Table_SiteMilestoneTracking[[#This Row],[SiteInOperations_AC]]-Table_SiteMilestoneTracking[[#This Row],[SiteInOperations_BL]],"-")</f>
        <v>9</v>
      </c>
      <c r="BX12" s="66">
        <f>Table_SiteMilestoneTracking[[#This Row],[SiteInOperations_BL]]-Table_SiteMilestoneTracking[[#This Row],[SiteDesignReady_BL]]</f>
        <v>55</v>
      </c>
      <c r="BY12" s="66">
        <f>IF(Table_SiteMilestoneTracking[[#This Row],[CurrentSiteMilestone]]="SiteInOperations",Table_SiteMilestoneTracking[[#This Row],[SiteInOperations_AC]]-Table_SiteMilestoneTracking[[#This Row],[SiteDesignReady_AC]],"")</f>
        <v>60</v>
      </c>
      <c r="BZ12" s="66">
        <f>IFERROR(Table_SiteMilestoneTracking[[#This Row],[E2E_Site_AC]]-Table_SiteMilestoneTracking[[#This Row],[E2E_Site_BL]],"")</f>
        <v>5</v>
      </c>
      <c r="CA12" s="66">
        <f>IF(Table_SiteMilestoneTracking[[#This Row],[CurrentSiteMilestone]]="SiteInOperations",Table_SiteMilestoneTracking[[#This Row],[SiteInOperations_AC]]-Table_SiteMilestoneTracking[[#This Row],[SiteAccepted_AC]],"")</f>
        <v>10</v>
      </c>
      <c r="CB12" s="79"/>
      <c r="CC12" s="89"/>
      <c r="CD12" s="89"/>
      <c r="CE12" s="70"/>
      <c r="CF12" s="70"/>
      <c r="CG12" s="70"/>
      <c r="CH12" s="70"/>
      <c r="CI12" s="70"/>
      <c r="CJ12" s="70"/>
      <c r="CK12" s="70"/>
      <c r="CL12" s="70"/>
      <c r="CM12" s="70"/>
      <c r="CN12" s="70"/>
      <c r="CO12" s="70"/>
      <c r="CP12" s="70"/>
      <c r="CQ12" s="70"/>
      <c r="CR12" s="70"/>
      <c r="CS12" s="70"/>
      <c r="CT12" s="70"/>
      <c r="CU12" s="70"/>
      <c r="CV12" s="70"/>
      <c r="CW12" s="70"/>
      <c r="CX12" s="70"/>
      <c r="CY12" s="70"/>
      <c r="CZ12" s="70"/>
      <c r="DA12" s="70"/>
      <c r="DB12" s="70"/>
      <c r="DC12" s="70"/>
      <c r="DD12" s="70"/>
      <c r="DE12" s="70"/>
      <c r="DF12" s="70"/>
      <c r="DG12" s="70"/>
      <c r="DH12" s="70"/>
      <c r="DI12" s="70"/>
      <c r="DJ12" s="70"/>
      <c r="DK12" s="70"/>
      <c r="DL12" s="70"/>
      <c r="DM12" s="70"/>
      <c r="DN12" s="70"/>
      <c r="DO12" s="70"/>
      <c r="DP12" s="70"/>
      <c r="DQ12" s="70"/>
      <c r="DR12" s="70"/>
      <c r="DS12" s="70"/>
      <c r="DT12" s="70"/>
      <c r="DU12" s="70"/>
      <c r="DV12" s="70"/>
    </row>
    <row r="13" spans="1:127" x14ac:dyDescent="0.3">
      <c r="A13" s="79" t="str">
        <f>'4. Design Tracking Summary'!A14</f>
        <v>CA00257</v>
      </c>
      <c r="B13" s="79" t="str">
        <f>'4. Design Tracking Summary'!B14</f>
        <v>Center</v>
      </c>
      <c r="C13" s="79" t="str">
        <f>'4. Design Tracking Summary'!C14</f>
        <v>QRO</v>
      </c>
      <c r="D13" s="79" t="str">
        <f>'4. Design Tracking Summary'!D14</f>
        <v>MACRO</v>
      </c>
      <c r="E13" s="79" t="s">
        <v>58</v>
      </c>
      <c r="F13" s="79" t="s">
        <v>329</v>
      </c>
      <c r="G13" s="60" t="str">
        <f>IFERROR(INDEX(Table_SiteMilestonesNames[SiteMilestoneName],COUNTA(Table_SiteMilestoneTracking[[#This Row],[SiteDesignStarted_AC]],Table_SiteMilestoneTracking[[#This Row],[SiteDesignReady_AC]],Table_SiteMilestoneTracking[[#This Row],[SiteSurveyCompleted_AC]],Table_SiteMilestoneTracking[[#This Row],[SiteAcquired_AC]],Table_SiteMilestoneTracking[[#This Row],[SiteReadyForCW_AC]],Table_SiteMilestoneTracking[[#This Row],[SiteReadyForPower_AC]],Table_SiteMilestoneTracking[[#This Row],[TXReady_AC]],Table_SiteMilestoneTracking[[#This Row],[SiteReadyForInstallation_AC]],Table_SiteMilestoneTracking[[#This Row],[SiteReadyForIntegration_AC]],Table_SiteMilestoneTracking[[#This Row],[SiteOnAir_AC]],Table_SiteMilestoneTracking[[#This Row],[SiteAccepted_AC]],Table_SiteMilestoneTracking[[#This Row],[SiteInOperations_AC]])+1),"Invalid Milestone")</f>
        <v>SiteInOperations</v>
      </c>
      <c r="H13" s="61">
        <f>Table_SiteMilestoneTracking[[#This Row],[c0_SiteDesignCostBL]]+Table_SiteMilestoneTracking[[#This Row],[c1_SiteSurveyCostBL]]+Table_SiteMilestoneTracking[[#This Row],[c2_SiteAcquisitionCostBL]]+Table_SiteMilestoneTracking[[#This Row],[c3_CivilWorksCostBL]]+Table_SiteMilestoneTracking[[#This Row],[c4_PowerInstallCostBL]]+Table_SiteMilestoneTracking[[#This Row],[c5_TxintegrationCostBL]]+Table_SiteMilestoneTracking[[#This Row],[c6_InstallationCostBL]]+Table_SiteMilestoneTracking[[#This Row],[c7_IntegrationCostBL]]+Table_SiteMilestoneTracking[[#This Row],[c8_AcceptanceCostBL]]+Table_SiteMilestoneTracking[[#This Row],[c9_HandoverCostBL]]</f>
        <v>7550</v>
      </c>
      <c r="I13" s="62">
        <f>Table_SiteMilestoneTracking[[#This Row],[c0_SiteDesignCostAC]]+Table_SiteMilestoneTracking[[#This Row],[c1_SiteSurveyCostAC]]+Table_SiteMilestoneTracking[[#This Row],[c2_SiteAcquisitionCostAC]]+Table_SiteMilestoneTracking[[#This Row],[c3_CivilWorksCostAC]]+Table_SiteMilestoneTracking[[#This Row],[c4_PowerInstallCostAC]]+Table_SiteMilestoneTracking[[#This Row],[c5_TxintegrationCostAC]]+Table_SiteMilestoneTracking[[#This Row],[c6_InstallationCostAC]]+Table_SiteMilestoneTracking[[#This Row],[c7_IntegrationCostAC]]+Table_SiteMilestoneTracking[[#This Row],[c8_AcceptanceCostAC]]+Table_SiteMilestoneTracking[[#This Row],[c9_HandoverCostAC]]</f>
        <v>6795</v>
      </c>
      <c r="J13" s="84">
        <v>43988</v>
      </c>
      <c r="K13" s="84">
        <v>43990</v>
      </c>
      <c r="L13" s="64">
        <f>IF(ISBLANK(Table_SiteMilestoneTracking[[#This Row],[SiteDesignStarted_AC]])=FALSE,Table_SiteMilestoneTracking[[#This Row],[SiteDesignStarted_AC]]-Table_SiteMilestoneTracking[[#This Row],[SiteDesignStarted_BL]],"")</f>
        <v>2</v>
      </c>
      <c r="M13" s="64">
        <f t="shared" si="0"/>
        <v>500</v>
      </c>
      <c r="N13" s="87">
        <v>540</v>
      </c>
      <c r="O13" s="63">
        <f>Table_SiteMilestoneTracking[[#This Row],[SiteDesignStarted_BL]]+t0_SiteDesignDelayBL</f>
        <v>43990</v>
      </c>
      <c r="P13" s="84">
        <v>43992</v>
      </c>
      <c r="Q13" s="64">
        <f>IF(ISBLANK(Table_SiteMilestoneTracking[[#This Row],[SiteDesignReady_AC]])=FALSE,Table_SiteMilestoneTracking[[#This Row],[SiteDesignReady_AC]]-Table_SiteMilestoneTracking[[#This Row],[SiteDesignReady_BL]],"-")</f>
        <v>2</v>
      </c>
      <c r="R13" s="64">
        <f t="shared" si="5"/>
        <v>500</v>
      </c>
      <c r="S13" s="82">
        <v>375</v>
      </c>
      <c r="T13" s="63">
        <f>Table_SiteMilestoneTracking[[#This Row],[SiteDesignReady_BL]]+t1_SiteSurveyBL</f>
        <v>43992</v>
      </c>
      <c r="U13" s="84">
        <v>43995</v>
      </c>
      <c r="V13" s="64">
        <f>IF(ISBLANK(Table_SiteMilestoneTracking[[#This Row],[SiteSurveyCompleted_AC]])=FALSE,Table_SiteMilestoneTracking[[#This Row],[SiteSurveyCompleted_AC]]-Table_SiteMilestoneTracking[[#This Row],[SiteDesignReady_AC]],"-")</f>
        <v>3</v>
      </c>
      <c r="W13" s="64">
        <f t="shared" si="1"/>
        <v>600</v>
      </c>
      <c r="X13" s="82">
        <v>660</v>
      </c>
      <c r="Y13" s="63">
        <f>Table_SiteMilestoneTracking[[#This Row],[SiteSurveyCompleted_BL]]+t2_SiteAcquisitionBL</f>
        <v>44003</v>
      </c>
      <c r="Z13" s="84">
        <v>44007</v>
      </c>
      <c r="AA13" s="65">
        <f>IF(ISBLANK(Table_SiteMilestoneTracking[[#This Row],[SiteAcquired_AC]])=FALSE,Table_SiteMilestoneTracking[[#This Row],[SiteAcquired_AC]]-Table_SiteMilestoneTracking[[#This Row],[SiteAcquired_BL]],"-")</f>
        <v>4</v>
      </c>
      <c r="AB13" s="65">
        <f>IF(ISBLANK(Table_SiteMilestoneTracking[[#This Row],[SiteAcquired_AC]])=FALSE,Table_SiteMilestoneTracking[[#This Row],[SiteAcquired_AC]]-Table_SiteMilestoneTracking[[#This Row],[SiteSurveyCompleted_AC]],"-")</f>
        <v>12</v>
      </c>
      <c r="AC13" s="64">
        <f t="shared" si="2"/>
        <v>150</v>
      </c>
      <c r="AD13" s="82">
        <v>180.00000000000003</v>
      </c>
      <c r="AE13" s="63">
        <f>Table_SiteMilestoneTracking[[#This Row],[SiteAcquired_BL]]+t2a_SiteCWReadinessBL</f>
        <v>44005</v>
      </c>
      <c r="AF13" s="85">
        <v>44010</v>
      </c>
      <c r="AG13" s="66">
        <f>IF(ISBLANK(Table_SiteMilestoneTracking[[#This Row],[SiteReadyForCW_AC]])=FALSE,Table_SiteMilestoneTracking[[#This Row],[SiteReadyForCW_AC]]-Table_SiteMilestoneTracking[[#This Row],[SiteReadyForCW_BL]],"-")</f>
        <v>5</v>
      </c>
      <c r="AH13" s="66">
        <f>IF(ISBLANK(Table_SiteMilestoneTracking[[#This Row],[SiteReadyForCW_AC]])=FALSE,Table_SiteMilestoneTracking[[#This Row],[SiteReadyForCW_AC]]-Table_SiteMilestoneTracking[[#This Row],[SiteDesignReady_AC]],"-")</f>
        <v>18</v>
      </c>
      <c r="AI13" s="64">
        <f t="shared" si="3"/>
        <v>1500</v>
      </c>
      <c r="AJ13" s="82">
        <v>1350</v>
      </c>
      <c r="AK13" s="63">
        <f>Table_SiteMilestoneTracking[[#This Row],[SiteReadyForCW_BL]]+t3_CivilWorksBL</f>
        <v>44013</v>
      </c>
      <c r="AL13" s="84">
        <v>44019</v>
      </c>
      <c r="AM13" s="64">
        <f>IF(ISBLANK(Table_SiteMilestoneTracking[[#This Row],[SiteReadyForPower_AC]])=FALSE,Table_SiteMilestoneTracking[[#This Row],[SiteReadyForPower_AC]]-Table_SiteMilestoneTracking[[#This Row],[SiteReadyForPower_BL]],"-")</f>
        <v>6</v>
      </c>
      <c r="AN13" s="64">
        <f>IF(ISBLANK(Table_SiteMilestoneTracking[[#This Row],[SiteReadyForPower_AC]])=FALSE,Table_SiteMilestoneTracking[[#This Row],[SiteReadyForPower_AC]]-Table_SiteMilestoneTracking[[#This Row],[SiteReadyForCW_AC]],"-")</f>
        <v>9</v>
      </c>
      <c r="AO13" s="64">
        <f t="shared" si="4"/>
        <v>500</v>
      </c>
      <c r="AP13" s="82">
        <v>250</v>
      </c>
      <c r="AQ13" s="63">
        <f>Table_SiteMilestoneTracking[[#This Row],[SiteReadyForPower_BL]]+t4_PowerInstallBL</f>
        <v>44018</v>
      </c>
      <c r="AR13" s="84">
        <v>44024</v>
      </c>
      <c r="AS13" s="64">
        <f>IF(ISBLANK(Table_SiteMilestoneTracking[[#This Row],[TXReady_AC]])=FALSE,Table_SiteMilestoneTracking[[#This Row],[TXReady_AC]]-Table_SiteMilestoneTracking[[#This Row],[TXReady_BL]],"-")</f>
        <v>6</v>
      </c>
      <c r="AT13" s="64">
        <f>IF(ISBLANK(Table_SiteMilestoneTracking[[#This Row],[TXReady_AC]])=FALSE,Table_SiteMilestoneTracking[[#This Row],[TXReady_AC]]-Table_SiteMilestoneTracking[[#This Row],[SiteReadyForPower_AC]],"-")</f>
        <v>5</v>
      </c>
      <c r="AU13" s="64">
        <f>$AU$2</f>
        <v>500</v>
      </c>
      <c r="AV13" s="82">
        <v>500</v>
      </c>
      <c r="AW13" s="63">
        <f>Table_SiteMilestoneTracking[[#This Row],[TXReady_BL]]+t5_TxintegrationBL</f>
        <v>44025</v>
      </c>
      <c r="AX13" s="84">
        <v>44032</v>
      </c>
      <c r="AY13" s="64">
        <f>IF(ISBLANK(Table_SiteMilestoneTracking[[#This Row],[SiteReadyForInstallation_AC]])=FALSE,Table_SiteMilestoneTracking[[#This Row],[SiteReadyForInstallation_AC]]-Table_SiteMilestoneTracking[[#This Row],[SiteReadyForInstallation_BL]],"-")</f>
        <v>7</v>
      </c>
      <c r="AZ13" s="64">
        <f>IF(ISBLANK(Table_SiteMilestoneTracking[[#This Row],[SiteReadyForInstallation_AC]])=FALSE,Table_SiteMilestoneTracking[[#This Row],[SiteReadyForInstallation_AC]]-Table_SiteMilestoneTracking[[#This Row],[TXReady_AC]],"-")</f>
        <v>8</v>
      </c>
      <c r="BA13" s="64">
        <f>$BA$2</f>
        <v>2500</v>
      </c>
      <c r="BB13" s="82">
        <v>2200.0000000000005</v>
      </c>
      <c r="BC13" s="63">
        <f>Table_SiteMilestoneTracking[[#This Row],[SiteReadyForInstallation_BL]]+t6_InstallationBL</f>
        <v>44029</v>
      </c>
      <c r="BD13" s="84">
        <v>44036</v>
      </c>
      <c r="BE13" s="64">
        <f>IF(ISBLANK(Table_SiteMilestoneTracking[[#This Row],[SiteReadyForIntegration_AC]])=FALSE,Table_SiteMilestoneTracking[[#This Row],[SiteReadyForIntegration_AC]]-Table_SiteMilestoneTracking[[#This Row],[SiteReadyForIntegration_BL]],"-")</f>
        <v>7</v>
      </c>
      <c r="BF13" s="64">
        <f>IF(ISBLANK(Table_SiteMilestoneTracking[[#This Row],[SiteReadyForIntegration_AC]])=FALSE,Table_SiteMilestoneTracking[[#This Row],[SiteReadyForIntegration_AC]]-Table_SiteMilestoneTracking[[#This Row],[SiteReadyForInstallation_AC]],"-")</f>
        <v>4</v>
      </c>
      <c r="BG13" s="64">
        <f>$BG$2</f>
        <v>500</v>
      </c>
      <c r="BH13" s="82">
        <v>470.00000000000006</v>
      </c>
      <c r="BI13" s="63">
        <f>Table_SiteMilestoneTracking[[#This Row],[SiteReadyForIntegration_BL]]+t7_IntegrationBL</f>
        <v>44033</v>
      </c>
      <c r="BJ13" s="84">
        <v>44041</v>
      </c>
      <c r="BK13" s="64">
        <f>IF(ISBLANK(Table_SiteMilestoneTracking[[#This Row],[SiteOnAir_AC]])=FALSE,Table_SiteMilestoneTracking[[#This Row],[SiteOnAir_AC]]-Table_SiteMilestoneTracking[[#This Row],[SiteOnAir_BL]],"-")</f>
        <v>8</v>
      </c>
      <c r="BL13" s="64">
        <f>IF(ISBLANK(Table_SiteMilestoneTracking[[#This Row],[SiteOnAir_AC]])=FALSE,Table_SiteMilestoneTracking[[#This Row],[SiteOnAir_AC]]-Table_SiteMilestoneTracking[[#This Row],[SiteReadyForIntegration_AC]],"-")</f>
        <v>5</v>
      </c>
      <c r="BM13" s="64">
        <f>$BM$2</f>
        <v>250</v>
      </c>
      <c r="BN13" s="82">
        <v>250</v>
      </c>
      <c r="BO13" s="63">
        <f>Table_SiteMilestoneTracking[[#This Row],[SiteOnAir_BL]]+t8_AcceptanceBL</f>
        <v>44037</v>
      </c>
      <c r="BP13" s="84">
        <v>44045</v>
      </c>
      <c r="BQ13" s="64">
        <f>IF(ISBLANK(Table_SiteMilestoneTracking[[#This Row],[SiteAccepted_AC]])=FALSE,Table_SiteMilestoneTracking[[#This Row],[SiteAccepted_AC]]-Table_SiteMilestoneTracking[[#This Row],[SiteAccepted_BL]],"-")</f>
        <v>8</v>
      </c>
      <c r="BR13" s="64">
        <f>IF(ISBLANK(Table_SiteMilestoneTracking[[#This Row],[SiteAccepted_AC]])=FALSE,Table_SiteMilestoneTracking[[#This Row],[SiteAccepted_AC]]-Table_SiteMilestoneTracking[[#This Row],[SiteOnAir_AC]],"-")</f>
        <v>4</v>
      </c>
      <c r="BS13" s="64">
        <f>$BS$2</f>
        <v>200</v>
      </c>
      <c r="BT13" s="82">
        <v>200</v>
      </c>
      <c r="BU13" s="63">
        <f>Table_SiteMilestoneTracking[[#This Row],[SiteAccepted_BL]]+t9_HandoverBL</f>
        <v>44045</v>
      </c>
      <c r="BV13" s="84">
        <v>44063</v>
      </c>
      <c r="BW13" s="64">
        <f>IF(ISBLANK(Table_SiteMilestoneTracking[[#This Row],[SiteInOperations_AC]])=FALSE,Table_SiteMilestoneTracking[[#This Row],[SiteInOperations_AC]]-Table_SiteMilestoneTracking[[#This Row],[SiteInOperations_BL]],"-")</f>
        <v>18</v>
      </c>
      <c r="BX13" s="66">
        <f>Table_SiteMilestoneTracking[[#This Row],[SiteInOperations_BL]]-Table_SiteMilestoneTracking[[#This Row],[SiteDesignReady_BL]]</f>
        <v>55</v>
      </c>
      <c r="BY13" s="66">
        <f>IF(Table_SiteMilestoneTracking[[#This Row],[CurrentSiteMilestone]]="SiteInOperations",Table_SiteMilestoneTracking[[#This Row],[SiteInOperations_AC]]-Table_SiteMilestoneTracking[[#This Row],[SiteDesignReady_AC]],"")</f>
        <v>71</v>
      </c>
      <c r="BZ13" s="66">
        <f>IFERROR(Table_SiteMilestoneTracking[[#This Row],[E2E_Site_AC]]-Table_SiteMilestoneTracking[[#This Row],[E2E_Site_BL]],"")</f>
        <v>16</v>
      </c>
      <c r="CA13" s="66">
        <f>IF(Table_SiteMilestoneTracking[[#This Row],[CurrentSiteMilestone]]="SiteInOperations",Table_SiteMilestoneTracking[[#This Row],[SiteInOperations_AC]]-Table_SiteMilestoneTracking[[#This Row],[SiteAccepted_AC]],"")</f>
        <v>18</v>
      </c>
      <c r="CB13" s="79"/>
      <c r="CC13" s="89"/>
      <c r="CD13" s="89"/>
      <c r="CE13" s="70"/>
      <c r="CF13" s="70"/>
      <c r="CG13" s="70"/>
      <c r="CH13" s="70"/>
      <c r="CI13" s="70"/>
      <c r="CJ13" s="70"/>
      <c r="CK13" s="70"/>
      <c r="CL13" s="70"/>
      <c r="CM13" s="70"/>
      <c r="CN13" s="70"/>
      <c r="CO13" s="70"/>
      <c r="CP13" s="70"/>
      <c r="CQ13" s="70"/>
      <c r="CR13" s="70"/>
      <c r="CS13" s="70"/>
      <c r="CT13" s="70"/>
      <c r="CU13" s="70"/>
      <c r="CV13" s="70"/>
      <c r="CW13" s="70"/>
      <c r="CX13" s="70"/>
      <c r="CY13" s="70"/>
      <c r="CZ13" s="70"/>
      <c r="DA13" s="70"/>
      <c r="DB13" s="70"/>
      <c r="DC13" s="70"/>
      <c r="DD13" s="70"/>
      <c r="DE13" s="70"/>
      <c r="DF13" s="70"/>
      <c r="DG13" s="70"/>
      <c r="DH13" s="70"/>
      <c r="DI13" s="70"/>
      <c r="DJ13" s="70"/>
      <c r="DK13" s="70"/>
      <c r="DL13" s="70"/>
      <c r="DM13" s="70"/>
      <c r="DN13" s="70"/>
      <c r="DO13" s="70"/>
      <c r="DP13" s="70"/>
      <c r="DQ13" s="70"/>
      <c r="DR13" s="70"/>
      <c r="DS13" s="70"/>
      <c r="DT13" s="70"/>
      <c r="DU13" s="70"/>
      <c r="DV13" s="70"/>
    </row>
    <row r="14" spans="1:127" x14ac:dyDescent="0.3">
      <c r="A14" s="79" t="str">
        <f>'4. Design Tracking Summary'!A15</f>
        <v>CA00391</v>
      </c>
      <c r="B14" s="79" t="str">
        <f>'4. Design Tracking Summary'!B15</f>
        <v>South</v>
      </c>
      <c r="C14" s="79" t="str">
        <f>'4. Design Tracking Summary'!C15</f>
        <v>VER</v>
      </c>
      <c r="D14" s="79" t="str">
        <f>'4. Design Tracking Summary'!D15</f>
        <v>MINI</v>
      </c>
      <c r="E14" s="79" t="s">
        <v>56</v>
      </c>
      <c r="F14" s="79" t="s">
        <v>330</v>
      </c>
      <c r="G14" s="60" t="str">
        <f>IFERROR(INDEX(Table_SiteMilestonesNames[SiteMilestoneName],COUNTA(Table_SiteMilestoneTracking[[#This Row],[SiteDesignStarted_AC]],Table_SiteMilestoneTracking[[#This Row],[SiteDesignReady_AC]],Table_SiteMilestoneTracking[[#This Row],[SiteSurveyCompleted_AC]],Table_SiteMilestoneTracking[[#This Row],[SiteAcquired_AC]],Table_SiteMilestoneTracking[[#This Row],[SiteReadyForCW_AC]],Table_SiteMilestoneTracking[[#This Row],[SiteReadyForPower_AC]],Table_SiteMilestoneTracking[[#This Row],[TXReady_AC]],Table_SiteMilestoneTracking[[#This Row],[SiteReadyForInstallation_AC]],Table_SiteMilestoneTracking[[#This Row],[SiteReadyForIntegration_AC]],Table_SiteMilestoneTracking[[#This Row],[SiteOnAir_AC]],Table_SiteMilestoneTracking[[#This Row],[SiteAccepted_AC]],Table_SiteMilestoneTracking[[#This Row],[SiteInOperations_AC]])+1),"Invalid Milestone")</f>
        <v>SiteAccepted</v>
      </c>
      <c r="H14" s="61">
        <f>Table_SiteMilestoneTracking[[#This Row],[c0_SiteDesignCostBL]]+Table_SiteMilestoneTracking[[#This Row],[c1_SiteSurveyCostBL]]+Table_SiteMilestoneTracking[[#This Row],[c2_SiteAcquisitionCostBL]]+Table_SiteMilestoneTracking[[#This Row],[c3_CivilWorksCostBL]]+Table_SiteMilestoneTracking[[#This Row],[c4_PowerInstallCostBL]]+Table_SiteMilestoneTracking[[#This Row],[c5_TxintegrationCostBL]]+Table_SiteMilestoneTracking[[#This Row],[c6_InstallationCostBL]]+Table_SiteMilestoneTracking[[#This Row],[c7_IntegrationCostBL]]+Table_SiteMilestoneTracking[[#This Row],[c8_AcceptanceCostBL]]+Table_SiteMilestoneTracking[[#This Row],[c9_HandoverCostBL]]</f>
        <v>7550</v>
      </c>
      <c r="I14" s="62">
        <f>Table_SiteMilestoneTracking[[#This Row],[c0_SiteDesignCostAC]]+Table_SiteMilestoneTracking[[#This Row],[c1_SiteSurveyCostAC]]+Table_SiteMilestoneTracking[[#This Row],[c2_SiteAcquisitionCostAC]]+Table_SiteMilestoneTracking[[#This Row],[c3_CivilWorksCostAC]]+Table_SiteMilestoneTracking[[#This Row],[c4_PowerInstallCostAC]]+Table_SiteMilestoneTracking[[#This Row],[c5_TxintegrationCostAC]]+Table_SiteMilestoneTracking[[#This Row],[c6_InstallationCostAC]]+Table_SiteMilestoneTracking[[#This Row],[c7_IntegrationCostAC]]+Table_SiteMilestoneTracking[[#This Row],[c8_AcceptanceCostAC]]+Table_SiteMilestoneTracking[[#This Row],[c9_HandoverCostAC]]</f>
        <v>7780</v>
      </c>
      <c r="J14" s="84">
        <v>43988</v>
      </c>
      <c r="K14" s="84">
        <v>43989</v>
      </c>
      <c r="L14" s="64">
        <f>IF(ISBLANK(Table_SiteMilestoneTracking[[#This Row],[SiteDesignStarted_AC]])=FALSE,Table_SiteMilestoneTracking[[#This Row],[SiteDesignStarted_AC]]-Table_SiteMilestoneTracking[[#This Row],[SiteDesignStarted_BL]],"")</f>
        <v>1</v>
      </c>
      <c r="M14" s="64">
        <f t="shared" si="0"/>
        <v>500</v>
      </c>
      <c r="N14" s="87">
        <v>440</v>
      </c>
      <c r="O14" s="63">
        <f>Table_SiteMilestoneTracking[[#This Row],[SiteDesignStarted_BL]]+t0_SiteDesignDelayBL</f>
        <v>43990</v>
      </c>
      <c r="P14" s="84">
        <v>43995</v>
      </c>
      <c r="Q14" s="64">
        <f>IF(ISBLANK(Table_SiteMilestoneTracking[[#This Row],[SiteDesignReady_AC]])=FALSE,Table_SiteMilestoneTracking[[#This Row],[SiteDesignReady_AC]]-Table_SiteMilestoneTracking[[#This Row],[SiteDesignReady_BL]],"-")</f>
        <v>5</v>
      </c>
      <c r="R14" s="64">
        <f t="shared" si="5"/>
        <v>500</v>
      </c>
      <c r="S14" s="82">
        <v>625</v>
      </c>
      <c r="T14" s="63">
        <f>Table_SiteMilestoneTracking[[#This Row],[SiteDesignReady_BL]]+t1_SiteSurveyBL</f>
        <v>43992</v>
      </c>
      <c r="U14" s="84">
        <v>43997</v>
      </c>
      <c r="V14" s="64">
        <f>IF(ISBLANK(Table_SiteMilestoneTracking[[#This Row],[SiteSurveyCompleted_AC]])=FALSE,Table_SiteMilestoneTracking[[#This Row],[SiteSurveyCompleted_AC]]-Table_SiteMilestoneTracking[[#This Row],[SiteDesignReady_AC]],"-")</f>
        <v>2</v>
      </c>
      <c r="W14" s="64">
        <f t="shared" si="1"/>
        <v>600</v>
      </c>
      <c r="X14" s="82">
        <v>840</v>
      </c>
      <c r="Y14" s="63">
        <f>Table_SiteMilestoneTracking[[#This Row],[SiteSurveyCompleted_BL]]+t2_SiteAcquisitionBL</f>
        <v>44003</v>
      </c>
      <c r="Z14" s="84">
        <v>44008</v>
      </c>
      <c r="AA14" s="65">
        <f>IF(ISBLANK(Table_SiteMilestoneTracking[[#This Row],[SiteAcquired_AC]])=FALSE,Table_SiteMilestoneTracking[[#This Row],[SiteAcquired_AC]]-Table_SiteMilestoneTracking[[#This Row],[SiteAcquired_BL]],"-")</f>
        <v>5</v>
      </c>
      <c r="AB14" s="65">
        <f>IF(ISBLANK(Table_SiteMilestoneTracking[[#This Row],[SiteAcquired_AC]])=FALSE,Table_SiteMilestoneTracking[[#This Row],[SiteAcquired_AC]]-Table_SiteMilestoneTracking[[#This Row],[SiteSurveyCompleted_AC]],"-")</f>
        <v>11</v>
      </c>
      <c r="AC14" s="64">
        <f t="shared" si="2"/>
        <v>150</v>
      </c>
      <c r="AD14" s="82">
        <v>150</v>
      </c>
      <c r="AE14" s="63">
        <f>Table_SiteMilestoneTracking[[#This Row],[SiteAcquired_BL]]+t2a_SiteCWReadinessBL</f>
        <v>44005</v>
      </c>
      <c r="AF14" s="85">
        <v>44011</v>
      </c>
      <c r="AG14" s="66">
        <f>IF(ISBLANK(Table_SiteMilestoneTracking[[#This Row],[SiteReadyForCW_AC]])=FALSE,Table_SiteMilestoneTracking[[#This Row],[SiteReadyForCW_AC]]-Table_SiteMilestoneTracking[[#This Row],[SiteReadyForCW_BL]],"-")</f>
        <v>6</v>
      </c>
      <c r="AH14" s="66">
        <f>IF(ISBLANK(Table_SiteMilestoneTracking[[#This Row],[SiteReadyForCW_AC]])=FALSE,Table_SiteMilestoneTracking[[#This Row],[SiteReadyForCW_AC]]-Table_SiteMilestoneTracking[[#This Row],[SiteDesignReady_AC]],"-")</f>
        <v>16</v>
      </c>
      <c r="AI14" s="64">
        <f t="shared" si="3"/>
        <v>1500</v>
      </c>
      <c r="AJ14" s="82">
        <v>1650</v>
      </c>
      <c r="AK14" s="63">
        <f>Table_SiteMilestoneTracking[[#This Row],[SiteReadyForCW_BL]]+t3_CivilWorksBL</f>
        <v>44013</v>
      </c>
      <c r="AL14" s="84">
        <v>44020</v>
      </c>
      <c r="AM14" s="64">
        <f>IF(ISBLANK(Table_SiteMilestoneTracking[[#This Row],[SiteReadyForPower_AC]])=FALSE,Table_SiteMilestoneTracking[[#This Row],[SiteReadyForPower_AC]]-Table_SiteMilestoneTracking[[#This Row],[SiteReadyForPower_BL]],"-")</f>
        <v>7</v>
      </c>
      <c r="AN14" s="64">
        <f>IF(ISBLANK(Table_SiteMilestoneTracking[[#This Row],[SiteReadyForPower_AC]])=FALSE,Table_SiteMilestoneTracking[[#This Row],[SiteReadyForPower_AC]]-Table_SiteMilestoneTracking[[#This Row],[SiteReadyForCW_AC]],"-")</f>
        <v>9</v>
      </c>
      <c r="AO14" s="64">
        <f t="shared" si="4"/>
        <v>500</v>
      </c>
      <c r="AP14" s="82">
        <v>700</v>
      </c>
      <c r="AQ14" s="63">
        <f>Table_SiteMilestoneTracking[[#This Row],[SiteReadyForPower_BL]]+t4_PowerInstallBL</f>
        <v>44018</v>
      </c>
      <c r="AR14" s="84">
        <v>44025</v>
      </c>
      <c r="AS14" s="64">
        <f>IF(ISBLANK(Table_SiteMilestoneTracking[[#This Row],[TXReady_AC]])=FALSE,Table_SiteMilestoneTracking[[#This Row],[TXReady_AC]]-Table_SiteMilestoneTracking[[#This Row],[TXReady_BL]],"-")</f>
        <v>7</v>
      </c>
      <c r="AT14" s="64">
        <f>IF(ISBLANK(Table_SiteMilestoneTracking[[#This Row],[TXReady_AC]])=FALSE,Table_SiteMilestoneTracking[[#This Row],[TXReady_AC]]-Table_SiteMilestoneTracking[[#This Row],[SiteReadyForPower_AC]],"-")</f>
        <v>5</v>
      </c>
      <c r="AU14" s="64">
        <f>$AU$2</f>
        <v>500</v>
      </c>
      <c r="AV14" s="82">
        <v>400</v>
      </c>
      <c r="AW14" s="63">
        <f>Table_SiteMilestoneTracking[[#This Row],[TXReady_BL]]+t5_TxintegrationBL</f>
        <v>44025</v>
      </c>
      <c r="AX14" s="84">
        <v>44032</v>
      </c>
      <c r="AY14" s="64">
        <f>IF(ISBLANK(Table_SiteMilestoneTracking[[#This Row],[SiteReadyForInstallation_AC]])=FALSE,Table_SiteMilestoneTracking[[#This Row],[SiteReadyForInstallation_AC]]-Table_SiteMilestoneTracking[[#This Row],[SiteReadyForInstallation_BL]],"-")</f>
        <v>7</v>
      </c>
      <c r="AZ14" s="64">
        <f>IF(ISBLANK(Table_SiteMilestoneTracking[[#This Row],[SiteReadyForInstallation_AC]])=FALSE,Table_SiteMilestoneTracking[[#This Row],[SiteReadyForInstallation_AC]]-Table_SiteMilestoneTracking[[#This Row],[TXReady_AC]],"-")</f>
        <v>7</v>
      </c>
      <c r="BA14" s="64">
        <f>$BA$2</f>
        <v>2500</v>
      </c>
      <c r="BB14" s="82">
        <v>2400</v>
      </c>
      <c r="BC14" s="63">
        <f>Table_SiteMilestoneTracking[[#This Row],[SiteReadyForInstallation_BL]]+t6_InstallationBL</f>
        <v>44029</v>
      </c>
      <c r="BD14" s="84">
        <v>44036</v>
      </c>
      <c r="BE14" s="64">
        <f>IF(ISBLANK(Table_SiteMilestoneTracking[[#This Row],[SiteReadyForIntegration_AC]])=FALSE,Table_SiteMilestoneTracking[[#This Row],[SiteReadyForIntegration_AC]]-Table_SiteMilestoneTracking[[#This Row],[SiteReadyForIntegration_BL]],"-")</f>
        <v>7</v>
      </c>
      <c r="BF14" s="64">
        <f>IF(ISBLANK(Table_SiteMilestoneTracking[[#This Row],[SiteReadyForIntegration_AC]])=FALSE,Table_SiteMilestoneTracking[[#This Row],[SiteReadyForIntegration_AC]]-Table_SiteMilestoneTracking[[#This Row],[SiteReadyForInstallation_AC]],"-")</f>
        <v>4</v>
      </c>
      <c r="BG14" s="64">
        <f>$BG$2</f>
        <v>500</v>
      </c>
      <c r="BH14" s="82">
        <v>475.00000000000006</v>
      </c>
      <c r="BI14" s="63">
        <f>Table_SiteMilestoneTracking[[#This Row],[SiteReadyForIntegration_BL]]+t7_IntegrationBL</f>
        <v>44033</v>
      </c>
      <c r="BJ14" s="84">
        <v>44040</v>
      </c>
      <c r="BK14" s="64">
        <f>IF(ISBLANK(Table_SiteMilestoneTracking[[#This Row],[SiteOnAir_AC]])=FALSE,Table_SiteMilestoneTracking[[#This Row],[SiteOnAir_AC]]-Table_SiteMilestoneTracking[[#This Row],[SiteOnAir_BL]],"-")</f>
        <v>7</v>
      </c>
      <c r="BL14" s="64">
        <f>IF(ISBLANK(Table_SiteMilestoneTracking[[#This Row],[SiteOnAir_AC]])=FALSE,Table_SiteMilestoneTracking[[#This Row],[SiteOnAir_AC]]-Table_SiteMilestoneTracking[[#This Row],[SiteReadyForIntegration_AC]],"-")</f>
        <v>4</v>
      </c>
      <c r="BM14" s="64">
        <f>$BM$2</f>
        <v>250</v>
      </c>
      <c r="BN14" s="82">
        <v>250</v>
      </c>
      <c r="BO14" s="63">
        <f>Table_SiteMilestoneTracking[[#This Row],[SiteOnAir_BL]]+t8_AcceptanceBL</f>
        <v>44037</v>
      </c>
      <c r="BP14" s="84">
        <v>44044</v>
      </c>
      <c r="BQ14" s="64">
        <f>IF(ISBLANK(Table_SiteMilestoneTracking[[#This Row],[SiteAccepted_AC]])=FALSE,Table_SiteMilestoneTracking[[#This Row],[SiteAccepted_AC]]-Table_SiteMilestoneTracking[[#This Row],[SiteAccepted_BL]],"-")</f>
        <v>7</v>
      </c>
      <c r="BR14" s="64">
        <f>IF(ISBLANK(Table_SiteMilestoneTracking[[#This Row],[SiteAccepted_AC]])=FALSE,Table_SiteMilestoneTracking[[#This Row],[SiteAccepted_AC]]-Table_SiteMilestoneTracking[[#This Row],[SiteOnAir_AC]],"-")</f>
        <v>4</v>
      </c>
      <c r="BS14" s="64">
        <f>$BS$2</f>
        <v>200</v>
      </c>
      <c r="BT14" s="82"/>
      <c r="BU14" s="63">
        <f>Table_SiteMilestoneTracking[[#This Row],[SiteAccepted_BL]]+t9_HandoverBL</f>
        <v>44045</v>
      </c>
      <c r="BV14" s="84"/>
      <c r="BW14" s="64" t="str">
        <f>IF(ISBLANK(Table_SiteMilestoneTracking[[#This Row],[SiteInOperations_AC]])=FALSE,Table_SiteMilestoneTracking[[#This Row],[SiteInOperations_AC]]-Table_SiteMilestoneTracking[[#This Row],[SiteInOperations_BL]],"-")</f>
        <v>-</v>
      </c>
      <c r="BX14" s="66">
        <f>Table_SiteMilestoneTracking[[#This Row],[SiteInOperations_BL]]-Table_SiteMilestoneTracking[[#This Row],[SiteDesignReady_BL]]</f>
        <v>55</v>
      </c>
      <c r="BY14" s="66" t="str">
        <f>IF(Table_SiteMilestoneTracking[[#This Row],[CurrentSiteMilestone]]="SiteInOperations",Table_SiteMilestoneTracking[[#This Row],[SiteInOperations_AC]]-Table_SiteMilestoneTracking[[#This Row],[SiteDesignReady_AC]],"")</f>
        <v/>
      </c>
      <c r="BZ14" s="66" t="str">
        <f>IFERROR(Table_SiteMilestoneTracking[[#This Row],[E2E_Site_AC]]-Table_SiteMilestoneTracking[[#This Row],[E2E_Site_BL]],"")</f>
        <v/>
      </c>
      <c r="CA14" s="66" t="str">
        <f>IF(Table_SiteMilestoneTracking[[#This Row],[CurrentSiteMilestone]]="SiteInOperations",Table_SiteMilestoneTracking[[#This Row],[SiteInOperations_AC]]-Table_SiteMilestoneTracking[[#This Row],[SiteAccepted_AC]],"")</f>
        <v/>
      </c>
      <c r="CB14" s="79"/>
      <c r="CC14" s="89"/>
      <c r="CD14" s="89"/>
      <c r="CE14" s="70"/>
      <c r="CF14" s="70"/>
      <c r="CG14" s="70"/>
      <c r="CH14" s="70"/>
      <c r="CI14" s="70"/>
      <c r="CJ14" s="70"/>
      <c r="CK14" s="70"/>
      <c r="CL14" s="70"/>
      <c r="CM14" s="70"/>
      <c r="CN14" s="70"/>
      <c r="CO14" s="70"/>
      <c r="CP14" s="70"/>
      <c r="CQ14" s="70"/>
      <c r="CR14" s="70"/>
      <c r="CS14" s="70"/>
      <c r="CT14" s="70"/>
      <c r="CU14" s="70"/>
      <c r="CV14" s="70"/>
      <c r="CW14" s="70"/>
      <c r="CX14" s="70"/>
      <c r="CY14" s="70"/>
      <c r="CZ14" s="70"/>
      <c r="DA14" s="70"/>
      <c r="DB14" s="70"/>
      <c r="DC14" s="70"/>
      <c r="DD14" s="70"/>
      <c r="DE14" s="70"/>
      <c r="DF14" s="70"/>
      <c r="DG14" s="70"/>
      <c r="DH14" s="70"/>
      <c r="DI14" s="70"/>
      <c r="DJ14" s="70"/>
      <c r="DK14" s="70"/>
      <c r="DL14" s="70"/>
      <c r="DM14" s="70"/>
      <c r="DN14" s="70"/>
      <c r="DO14" s="70"/>
      <c r="DP14" s="70"/>
      <c r="DQ14" s="70"/>
      <c r="DR14" s="70"/>
      <c r="DS14" s="70"/>
      <c r="DT14" s="70"/>
      <c r="DU14" s="70"/>
      <c r="DV14" s="70"/>
    </row>
    <row r="15" spans="1:127" x14ac:dyDescent="0.3">
      <c r="A15" s="79" t="str">
        <f>'4. Design Tracking Summary'!A16</f>
        <v>CA00130</v>
      </c>
      <c r="B15" s="79" t="str">
        <f>'4. Design Tracking Summary'!B16</f>
        <v>South</v>
      </c>
      <c r="C15" s="79" t="str">
        <f>'4. Design Tracking Summary'!C16</f>
        <v>CHI</v>
      </c>
      <c r="D15" s="79" t="str">
        <f>'4. Design Tracking Summary'!D16</f>
        <v>SMALL</v>
      </c>
      <c r="E15" s="79" t="s">
        <v>57</v>
      </c>
      <c r="F15" s="79" t="s">
        <v>331</v>
      </c>
      <c r="G15" s="60" t="str">
        <f>IFERROR(INDEX(Table_SiteMilestonesNames[SiteMilestoneName],COUNTA(Table_SiteMilestoneTracking[[#This Row],[SiteDesignStarted_AC]],Table_SiteMilestoneTracking[[#This Row],[SiteDesignReady_AC]],Table_SiteMilestoneTracking[[#This Row],[SiteSurveyCompleted_AC]],Table_SiteMilestoneTracking[[#This Row],[SiteAcquired_AC]],Table_SiteMilestoneTracking[[#This Row],[SiteReadyForCW_AC]],Table_SiteMilestoneTracking[[#This Row],[SiteReadyForPower_AC]],Table_SiteMilestoneTracking[[#This Row],[TXReady_AC]],Table_SiteMilestoneTracking[[#This Row],[SiteReadyForInstallation_AC]],Table_SiteMilestoneTracking[[#This Row],[SiteReadyForIntegration_AC]],Table_SiteMilestoneTracking[[#This Row],[SiteOnAir_AC]],Table_SiteMilestoneTracking[[#This Row],[SiteAccepted_AC]],Table_SiteMilestoneTracking[[#This Row],[SiteInOperations_AC]])+1),"Invalid Milestone")</f>
        <v>SiteAccepted</v>
      </c>
      <c r="H15" s="61">
        <f>Table_SiteMilestoneTracking[[#This Row],[c0_SiteDesignCostBL]]+Table_SiteMilestoneTracking[[#This Row],[c1_SiteSurveyCostBL]]+Table_SiteMilestoneTracking[[#This Row],[c2_SiteAcquisitionCostBL]]+Table_SiteMilestoneTracking[[#This Row],[c3_CivilWorksCostBL]]+Table_SiteMilestoneTracking[[#This Row],[c4_PowerInstallCostBL]]+Table_SiteMilestoneTracking[[#This Row],[c5_TxintegrationCostBL]]+Table_SiteMilestoneTracking[[#This Row],[c6_InstallationCostBL]]+Table_SiteMilestoneTracking[[#This Row],[c7_IntegrationCostBL]]+Table_SiteMilestoneTracking[[#This Row],[c8_AcceptanceCostBL]]+Table_SiteMilestoneTracking[[#This Row],[c9_HandoverCostBL]]</f>
        <v>7550</v>
      </c>
      <c r="I15" s="62">
        <f>Table_SiteMilestoneTracking[[#This Row],[c0_SiteDesignCostAC]]+Table_SiteMilestoneTracking[[#This Row],[c1_SiteSurveyCostAC]]+Table_SiteMilestoneTracking[[#This Row],[c2_SiteAcquisitionCostAC]]+Table_SiteMilestoneTracking[[#This Row],[c3_CivilWorksCostAC]]+Table_SiteMilestoneTracking[[#This Row],[c4_PowerInstallCostAC]]+Table_SiteMilestoneTracking[[#This Row],[c5_TxintegrationCostAC]]+Table_SiteMilestoneTracking[[#This Row],[c6_InstallationCostAC]]+Table_SiteMilestoneTracking[[#This Row],[c7_IntegrationCostAC]]+Table_SiteMilestoneTracking[[#This Row],[c8_AcceptanceCostAC]]+Table_SiteMilestoneTracking[[#This Row],[c9_HandoverCostAC]]</f>
        <v>7690</v>
      </c>
      <c r="J15" s="84">
        <v>43988</v>
      </c>
      <c r="K15" s="84">
        <v>43990</v>
      </c>
      <c r="L15" s="64">
        <f>IF(ISBLANK(Table_SiteMilestoneTracking[[#This Row],[SiteDesignStarted_AC]])=FALSE,Table_SiteMilestoneTracking[[#This Row],[SiteDesignStarted_AC]]-Table_SiteMilestoneTracking[[#This Row],[SiteDesignStarted_BL]],"")</f>
        <v>2</v>
      </c>
      <c r="M15" s="64">
        <f t="shared" si="0"/>
        <v>500</v>
      </c>
      <c r="N15" s="87">
        <v>560</v>
      </c>
      <c r="O15" s="63">
        <f>Table_SiteMilestoneTracking[[#This Row],[SiteDesignStarted_BL]]+t0_SiteDesignDelayBL</f>
        <v>43990</v>
      </c>
      <c r="P15" s="84">
        <v>43993</v>
      </c>
      <c r="Q15" s="64">
        <f>IF(ISBLANK(Table_SiteMilestoneTracking[[#This Row],[SiteDesignReady_AC]])=FALSE,Table_SiteMilestoneTracking[[#This Row],[SiteDesignReady_AC]]-Table_SiteMilestoneTracking[[#This Row],[SiteDesignReady_BL]],"-")</f>
        <v>3</v>
      </c>
      <c r="R15" s="64">
        <f t="shared" si="5"/>
        <v>500</v>
      </c>
      <c r="S15" s="82">
        <v>675</v>
      </c>
      <c r="T15" s="63">
        <f>Table_SiteMilestoneTracking[[#This Row],[SiteDesignReady_BL]]+t1_SiteSurveyBL</f>
        <v>43992</v>
      </c>
      <c r="U15" s="84">
        <v>43995</v>
      </c>
      <c r="V15" s="64">
        <f>IF(ISBLANK(Table_SiteMilestoneTracking[[#This Row],[SiteSurveyCompleted_AC]])=FALSE,Table_SiteMilestoneTracking[[#This Row],[SiteSurveyCompleted_AC]]-Table_SiteMilestoneTracking[[#This Row],[SiteDesignReady_AC]],"-")</f>
        <v>2</v>
      </c>
      <c r="W15" s="64">
        <f t="shared" si="1"/>
        <v>600</v>
      </c>
      <c r="X15" s="82">
        <v>420</v>
      </c>
      <c r="Y15" s="63">
        <f>Table_SiteMilestoneTracking[[#This Row],[SiteSurveyCompleted_BL]]+t2_SiteAcquisitionBL</f>
        <v>44003</v>
      </c>
      <c r="Z15" s="84">
        <v>44007</v>
      </c>
      <c r="AA15" s="65">
        <f>IF(ISBLANK(Table_SiteMilestoneTracking[[#This Row],[SiteAcquired_AC]])=FALSE,Table_SiteMilestoneTracking[[#This Row],[SiteAcquired_AC]]-Table_SiteMilestoneTracking[[#This Row],[SiteAcquired_BL]],"-")</f>
        <v>4</v>
      </c>
      <c r="AB15" s="65">
        <f>IF(ISBLANK(Table_SiteMilestoneTracking[[#This Row],[SiteAcquired_AC]])=FALSE,Table_SiteMilestoneTracking[[#This Row],[SiteAcquired_AC]]-Table_SiteMilestoneTracking[[#This Row],[SiteSurveyCompleted_AC]],"-")</f>
        <v>12</v>
      </c>
      <c r="AC15" s="64">
        <f t="shared" si="2"/>
        <v>150</v>
      </c>
      <c r="AD15" s="82">
        <v>165</v>
      </c>
      <c r="AE15" s="63">
        <f>Table_SiteMilestoneTracking[[#This Row],[SiteAcquired_BL]]+t2a_SiteCWReadinessBL</f>
        <v>44005</v>
      </c>
      <c r="AF15" s="85">
        <v>44010</v>
      </c>
      <c r="AG15" s="66">
        <f>IF(ISBLANK(Table_SiteMilestoneTracking[[#This Row],[SiteReadyForCW_AC]])=FALSE,Table_SiteMilestoneTracking[[#This Row],[SiteReadyForCW_AC]]-Table_SiteMilestoneTracking[[#This Row],[SiteReadyForCW_BL]],"-")</f>
        <v>5</v>
      </c>
      <c r="AH15" s="66">
        <f>IF(ISBLANK(Table_SiteMilestoneTracking[[#This Row],[SiteReadyForCW_AC]])=FALSE,Table_SiteMilestoneTracking[[#This Row],[SiteReadyForCW_AC]]-Table_SiteMilestoneTracking[[#This Row],[SiteDesignReady_AC]],"-")</f>
        <v>17</v>
      </c>
      <c r="AI15" s="64">
        <f t="shared" si="3"/>
        <v>1500</v>
      </c>
      <c r="AJ15" s="82">
        <v>1950</v>
      </c>
      <c r="AK15" s="63">
        <f>Table_SiteMilestoneTracking[[#This Row],[SiteReadyForCW_BL]]+t3_CivilWorksBL</f>
        <v>44013</v>
      </c>
      <c r="AL15" s="84">
        <v>44018</v>
      </c>
      <c r="AM15" s="64">
        <f>IF(ISBLANK(Table_SiteMilestoneTracking[[#This Row],[SiteReadyForPower_AC]])=FALSE,Table_SiteMilestoneTracking[[#This Row],[SiteReadyForPower_AC]]-Table_SiteMilestoneTracking[[#This Row],[SiteReadyForPower_BL]],"-")</f>
        <v>5</v>
      </c>
      <c r="AN15" s="64">
        <f>IF(ISBLANK(Table_SiteMilestoneTracking[[#This Row],[SiteReadyForPower_AC]])=FALSE,Table_SiteMilestoneTracking[[#This Row],[SiteReadyForPower_AC]]-Table_SiteMilestoneTracking[[#This Row],[SiteReadyForCW_AC]],"-")</f>
        <v>8</v>
      </c>
      <c r="AO15" s="64">
        <f t="shared" si="4"/>
        <v>500</v>
      </c>
      <c r="AP15" s="82">
        <v>450</v>
      </c>
      <c r="AQ15" s="63">
        <f>Table_SiteMilestoneTracking[[#This Row],[SiteReadyForPower_BL]]+t4_PowerInstallBL</f>
        <v>44018</v>
      </c>
      <c r="AR15" s="84">
        <v>44024</v>
      </c>
      <c r="AS15" s="64">
        <f>IF(ISBLANK(Table_SiteMilestoneTracking[[#This Row],[TXReady_AC]])=FALSE,Table_SiteMilestoneTracking[[#This Row],[TXReady_AC]]-Table_SiteMilestoneTracking[[#This Row],[TXReady_BL]],"-")</f>
        <v>6</v>
      </c>
      <c r="AT15" s="64">
        <f>IF(ISBLANK(Table_SiteMilestoneTracking[[#This Row],[TXReady_AC]])=FALSE,Table_SiteMilestoneTracking[[#This Row],[TXReady_AC]]-Table_SiteMilestoneTracking[[#This Row],[SiteReadyForPower_AC]],"-")</f>
        <v>6</v>
      </c>
      <c r="AU15" s="64">
        <f>$AU$2</f>
        <v>500</v>
      </c>
      <c r="AV15" s="82">
        <v>700</v>
      </c>
      <c r="AW15" s="63">
        <f>Table_SiteMilestoneTracking[[#This Row],[TXReady_BL]]+t5_TxintegrationBL</f>
        <v>44025</v>
      </c>
      <c r="AX15" s="84">
        <v>44031</v>
      </c>
      <c r="AY15" s="64">
        <f>IF(ISBLANK(Table_SiteMilestoneTracking[[#This Row],[SiteReadyForInstallation_AC]])=FALSE,Table_SiteMilestoneTracking[[#This Row],[SiteReadyForInstallation_AC]]-Table_SiteMilestoneTracking[[#This Row],[SiteReadyForInstallation_BL]],"-")</f>
        <v>6</v>
      </c>
      <c r="AZ15" s="64">
        <f>IF(ISBLANK(Table_SiteMilestoneTracking[[#This Row],[SiteReadyForInstallation_AC]])=FALSE,Table_SiteMilestoneTracking[[#This Row],[SiteReadyForInstallation_AC]]-Table_SiteMilestoneTracking[[#This Row],[TXReady_AC]],"-")</f>
        <v>7</v>
      </c>
      <c r="BA15" s="64">
        <f>$BA$2</f>
        <v>2500</v>
      </c>
      <c r="BB15" s="82">
        <v>2200.0000000000005</v>
      </c>
      <c r="BC15" s="63">
        <f>Table_SiteMilestoneTracking[[#This Row],[SiteReadyForInstallation_BL]]+t6_InstallationBL</f>
        <v>44029</v>
      </c>
      <c r="BD15" s="84">
        <v>44036</v>
      </c>
      <c r="BE15" s="64">
        <f>IF(ISBLANK(Table_SiteMilestoneTracking[[#This Row],[SiteReadyForIntegration_AC]])=FALSE,Table_SiteMilestoneTracking[[#This Row],[SiteReadyForIntegration_AC]]-Table_SiteMilestoneTracking[[#This Row],[SiteReadyForIntegration_BL]],"-")</f>
        <v>7</v>
      </c>
      <c r="BF15" s="64">
        <f>IF(ISBLANK(Table_SiteMilestoneTracking[[#This Row],[SiteReadyForIntegration_AC]])=FALSE,Table_SiteMilestoneTracking[[#This Row],[SiteReadyForIntegration_AC]]-Table_SiteMilestoneTracking[[#This Row],[SiteReadyForInstallation_AC]],"-")</f>
        <v>5</v>
      </c>
      <c r="BG15" s="64">
        <f>$BG$2</f>
        <v>500</v>
      </c>
      <c r="BH15" s="82">
        <v>485</v>
      </c>
      <c r="BI15" s="63">
        <f>Table_SiteMilestoneTracking[[#This Row],[SiteReadyForIntegration_BL]]+t7_IntegrationBL</f>
        <v>44033</v>
      </c>
      <c r="BJ15" s="84">
        <v>44041</v>
      </c>
      <c r="BK15" s="64">
        <f>IF(ISBLANK(Table_SiteMilestoneTracking[[#This Row],[SiteOnAir_AC]])=FALSE,Table_SiteMilestoneTracking[[#This Row],[SiteOnAir_AC]]-Table_SiteMilestoneTracking[[#This Row],[SiteOnAir_BL]],"-")</f>
        <v>8</v>
      </c>
      <c r="BL15" s="64">
        <f>IF(ISBLANK(Table_SiteMilestoneTracking[[#This Row],[SiteOnAir_AC]])=FALSE,Table_SiteMilestoneTracking[[#This Row],[SiteOnAir_AC]]-Table_SiteMilestoneTracking[[#This Row],[SiteReadyForIntegration_AC]],"-")</f>
        <v>5</v>
      </c>
      <c r="BM15" s="64">
        <f>$BM$2</f>
        <v>250</v>
      </c>
      <c r="BN15" s="82">
        <v>250</v>
      </c>
      <c r="BO15" s="63">
        <f>Table_SiteMilestoneTracking[[#This Row],[SiteOnAir_BL]]+t8_AcceptanceBL</f>
        <v>44037</v>
      </c>
      <c r="BP15" s="84">
        <v>44046</v>
      </c>
      <c r="BQ15" s="64">
        <f>IF(ISBLANK(Table_SiteMilestoneTracking[[#This Row],[SiteAccepted_AC]])=FALSE,Table_SiteMilestoneTracking[[#This Row],[SiteAccepted_AC]]-Table_SiteMilestoneTracking[[#This Row],[SiteAccepted_BL]],"-")</f>
        <v>9</v>
      </c>
      <c r="BR15" s="64">
        <f>IF(ISBLANK(Table_SiteMilestoneTracking[[#This Row],[SiteAccepted_AC]])=FALSE,Table_SiteMilestoneTracking[[#This Row],[SiteAccepted_AC]]-Table_SiteMilestoneTracking[[#This Row],[SiteOnAir_AC]],"-")</f>
        <v>5</v>
      </c>
      <c r="BS15" s="64">
        <f>$BS$2</f>
        <v>200</v>
      </c>
      <c r="BT15" s="82"/>
      <c r="BU15" s="63">
        <f>Table_SiteMilestoneTracking[[#This Row],[SiteAccepted_BL]]+t9_HandoverBL</f>
        <v>44045</v>
      </c>
      <c r="BV15" s="84"/>
      <c r="BW15" s="64" t="str">
        <f>IF(ISBLANK(Table_SiteMilestoneTracking[[#This Row],[SiteInOperations_AC]])=FALSE,Table_SiteMilestoneTracking[[#This Row],[SiteInOperations_AC]]-Table_SiteMilestoneTracking[[#This Row],[SiteInOperations_BL]],"-")</f>
        <v>-</v>
      </c>
      <c r="BX15" s="66">
        <f>Table_SiteMilestoneTracking[[#This Row],[SiteInOperations_BL]]-Table_SiteMilestoneTracking[[#This Row],[SiteDesignReady_BL]]</f>
        <v>55</v>
      </c>
      <c r="BY15" s="66" t="str">
        <f>IF(Table_SiteMilestoneTracking[[#This Row],[CurrentSiteMilestone]]="SiteInOperations",Table_SiteMilestoneTracking[[#This Row],[SiteInOperations_AC]]-Table_SiteMilestoneTracking[[#This Row],[SiteDesignReady_AC]],"")</f>
        <v/>
      </c>
      <c r="BZ15" s="66" t="str">
        <f>IFERROR(Table_SiteMilestoneTracking[[#This Row],[E2E_Site_AC]]-Table_SiteMilestoneTracking[[#This Row],[E2E_Site_BL]],"")</f>
        <v/>
      </c>
      <c r="CA15" s="66" t="str">
        <f>IF(Table_SiteMilestoneTracking[[#This Row],[CurrentSiteMilestone]]="SiteInOperations",Table_SiteMilestoneTracking[[#This Row],[SiteInOperations_AC]]-Table_SiteMilestoneTracking[[#This Row],[SiteAccepted_AC]],"")</f>
        <v/>
      </c>
      <c r="CB15" s="79"/>
      <c r="CC15" s="89"/>
      <c r="CD15" s="89"/>
      <c r="CE15" s="70"/>
      <c r="CF15" s="70"/>
      <c r="CG15" s="70"/>
      <c r="CH15" s="70"/>
      <c r="CI15" s="70"/>
      <c r="CJ15" s="70"/>
      <c r="CK15" s="70"/>
      <c r="CL15" s="70"/>
      <c r="CM15" s="70"/>
      <c r="CN15" s="70"/>
      <c r="CO15" s="70"/>
      <c r="CP15" s="70"/>
      <c r="CQ15" s="70"/>
      <c r="CR15" s="70"/>
      <c r="CS15" s="70"/>
      <c r="CT15" s="70"/>
      <c r="CU15" s="70"/>
      <c r="CV15" s="70"/>
      <c r="CW15" s="70"/>
      <c r="CX15" s="70"/>
      <c r="CY15" s="70"/>
      <c r="CZ15" s="70"/>
      <c r="DA15" s="70"/>
      <c r="DB15" s="70"/>
      <c r="DC15" s="70"/>
      <c r="DD15" s="70"/>
      <c r="DE15" s="70"/>
      <c r="DF15" s="70"/>
      <c r="DG15" s="70"/>
      <c r="DH15" s="70"/>
      <c r="DI15" s="70"/>
      <c r="DJ15" s="70"/>
      <c r="DK15" s="70"/>
      <c r="DL15" s="70"/>
      <c r="DM15" s="70"/>
      <c r="DN15" s="70"/>
      <c r="DO15" s="70"/>
      <c r="DP15" s="70"/>
      <c r="DQ15" s="70"/>
      <c r="DR15" s="70"/>
      <c r="DS15" s="70"/>
      <c r="DT15" s="70"/>
      <c r="DU15" s="70"/>
      <c r="DV15" s="70"/>
    </row>
    <row r="16" spans="1:127" x14ac:dyDescent="0.3">
      <c r="A16" s="79" t="str">
        <f>'4. Design Tracking Summary'!A17</f>
        <v>CA00149</v>
      </c>
      <c r="B16" s="79" t="str">
        <f>'4. Design Tracking Summary'!B17</f>
        <v>North</v>
      </c>
      <c r="C16" s="79" t="str">
        <f>'4. Design Tracking Summary'!C17</f>
        <v>MTY</v>
      </c>
      <c r="D16" s="79" t="str">
        <f>'4. Design Tracking Summary'!D17</f>
        <v>MACRO</v>
      </c>
      <c r="E16" s="79" t="s">
        <v>58</v>
      </c>
      <c r="F16" s="79" t="s">
        <v>332</v>
      </c>
      <c r="G16" s="60" t="str">
        <f>IFERROR(INDEX(Table_SiteMilestonesNames[SiteMilestoneName],COUNTA(Table_SiteMilestoneTracking[[#This Row],[SiteDesignStarted_AC]],Table_SiteMilestoneTracking[[#This Row],[SiteDesignReady_AC]],Table_SiteMilestoneTracking[[#This Row],[SiteSurveyCompleted_AC]],Table_SiteMilestoneTracking[[#This Row],[SiteAcquired_AC]],Table_SiteMilestoneTracking[[#This Row],[SiteReadyForCW_AC]],Table_SiteMilestoneTracking[[#This Row],[SiteReadyForPower_AC]],Table_SiteMilestoneTracking[[#This Row],[TXReady_AC]],Table_SiteMilestoneTracking[[#This Row],[SiteReadyForInstallation_AC]],Table_SiteMilestoneTracking[[#This Row],[SiteReadyForIntegration_AC]],Table_SiteMilestoneTracking[[#This Row],[SiteOnAir_AC]],Table_SiteMilestoneTracking[[#This Row],[SiteAccepted_AC]],Table_SiteMilestoneTracking[[#This Row],[SiteInOperations_AC]])+1),"Invalid Milestone")</f>
        <v>SiteAccepted</v>
      </c>
      <c r="H16" s="61">
        <f>Table_SiteMilestoneTracking[[#This Row],[c0_SiteDesignCostBL]]+Table_SiteMilestoneTracking[[#This Row],[c1_SiteSurveyCostBL]]+Table_SiteMilestoneTracking[[#This Row],[c2_SiteAcquisitionCostBL]]+Table_SiteMilestoneTracking[[#This Row],[c3_CivilWorksCostBL]]+Table_SiteMilestoneTracking[[#This Row],[c4_PowerInstallCostBL]]+Table_SiteMilestoneTracking[[#This Row],[c5_TxintegrationCostBL]]+Table_SiteMilestoneTracking[[#This Row],[c6_InstallationCostBL]]+Table_SiteMilestoneTracking[[#This Row],[c7_IntegrationCostBL]]+Table_SiteMilestoneTracking[[#This Row],[c8_AcceptanceCostBL]]+Table_SiteMilestoneTracking[[#This Row],[c9_HandoverCostBL]]</f>
        <v>7550</v>
      </c>
      <c r="I16" s="62">
        <f>Table_SiteMilestoneTracking[[#This Row],[c0_SiteDesignCostAC]]+Table_SiteMilestoneTracking[[#This Row],[c1_SiteSurveyCostAC]]+Table_SiteMilestoneTracking[[#This Row],[c2_SiteAcquisitionCostAC]]+Table_SiteMilestoneTracking[[#This Row],[c3_CivilWorksCostAC]]+Table_SiteMilestoneTracking[[#This Row],[c4_PowerInstallCostAC]]+Table_SiteMilestoneTracking[[#This Row],[c5_TxintegrationCostAC]]+Table_SiteMilestoneTracking[[#This Row],[c6_InstallationCostAC]]+Table_SiteMilestoneTracking[[#This Row],[c7_IntegrationCostAC]]+Table_SiteMilestoneTracking[[#This Row],[c8_AcceptanceCostAC]]+Table_SiteMilestoneTracking[[#This Row],[c9_HandoverCostAC]]</f>
        <v>7275</v>
      </c>
      <c r="J16" s="84">
        <v>43988</v>
      </c>
      <c r="K16" s="84">
        <v>43990</v>
      </c>
      <c r="L16" s="64">
        <f>IF(ISBLANK(Table_SiteMilestoneTracking[[#This Row],[SiteDesignStarted_AC]])=FALSE,Table_SiteMilestoneTracking[[#This Row],[SiteDesignStarted_AC]]-Table_SiteMilestoneTracking[[#This Row],[SiteDesignStarted_BL]],"")</f>
        <v>2</v>
      </c>
      <c r="M16" s="64">
        <f t="shared" si="0"/>
        <v>500</v>
      </c>
      <c r="N16" s="87">
        <v>400</v>
      </c>
      <c r="O16" s="63">
        <f>Table_SiteMilestoneTracking[[#This Row],[SiteDesignStarted_BL]]+t0_SiteDesignDelayBL</f>
        <v>43990</v>
      </c>
      <c r="P16" s="84">
        <v>43991</v>
      </c>
      <c r="Q16" s="64">
        <f>IF(ISBLANK(Table_SiteMilestoneTracking[[#This Row],[SiteDesignReady_AC]])=FALSE,Table_SiteMilestoneTracking[[#This Row],[SiteDesignReady_AC]]-Table_SiteMilestoneTracking[[#This Row],[SiteDesignReady_BL]],"-")</f>
        <v>1</v>
      </c>
      <c r="R16" s="64">
        <f t="shared" si="5"/>
        <v>500</v>
      </c>
      <c r="S16" s="82">
        <v>775</v>
      </c>
      <c r="T16" s="63">
        <f>Table_SiteMilestoneTracking[[#This Row],[SiteDesignReady_BL]]+t1_SiteSurveyBL</f>
        <v>43992</v>
      </c>
      <c r="U16" s="84">
        <v>43993</v>
      </c>
      <c r="V16" s="64">
        <f>IF(ISBLANK(Table_SiteMilestoneTracking[[#This Row],[SiteSurveyCompleted_AC]])=FALSE,Table_SiteMilestoneTracking[[#This Row],[SiteSurveyCompleted_AC]]-Table_SiteMilestoneTracking[[#This Row],[SiteDesignReady_AC]],"-")</f>
        <v>2</v>
      </c>
      <c r="W16" s="64">
        <f t="shared" si="1"/>
        <v>600</v>
      </c>
      <c r="X16" s="82">
        <v>540</v>
      </c>
      <c r="Y16" s="63">
        <f>Table_SiteMilestoneTracking[[#This Row],[SiteSurveyCompleted_BL]]+t2_SiteAcquisitionBL</f>
        <v>44003</v>
      </c>
      <c r="Z16" s="84">
        <v>44005</v>
      </c>
      <c r="AA16" s="65">
        <f>IF(ISBLANK(Table_SiteMilestoneTracking[[#This Row],[SiteAcquired_AC]])=FALSE,Table_SiteMilestoneTracking[[#This Row],[SiteAcquired_AC]]-Table_SiteMilestoneTracking[[#This Row],[SiteAcquired_BL]],"-")</f>
        <v>2</v>
      </c>
      <c r="AB16" s="65">
        <f>IF(ISBLANK(Table_SiteMilestoneTracking[[#This Row],[SiteAcquired_AC]])=FALSE,Table_SiteMilestoneTracking[[#This Row],[SiteAcquired_AC]]-Table_SiteMilestoneTracking[[#This Row],[SiteSurveyCompleted_AC]],"-")</f>
        <v>12</v>
      </c>
      <c r="AC16" s="64">
        <f t="shared" si="2"/>
        <v>150</v>
      </c>
      <c r="AD16" s="82">
        <v>165</v>
      </c>
      <c r="AE16" s="63">
        <f>Table_SiteMilestoneTracking[[#This Row],[SiteAcquired_BL]]+t2a_SiteCWReadinessBL</f>
        <v>44005</v>
      </c>
      <c r="AF16" s="85">
        <v>44008</v>
      </c>
      <c r="AG16" s="66">
        <f>IF(ISBLANK(Table_SiteMilestoneTracking[[#This Row],[SiteReadyForCW_AC]])=FALSE,Table_SiteMilestoneTracking[[#This Row],[SiteReadyForCW_AC]]-Table_SiteMilestoneTracking[[#This Row],[SiteReadyForCW_BL]],"-")</f>
        <v>3</v>
      </c>
      <c r="AH16" s="66">
        <f>IF(ISBLANK(Table_SiteMilestoneTracking[[#This Row],[SiteReadyForCW_AC]])=FALSE,Table_SiteMilestoneTracking[[#This Row],[SiteReadyForCW_AC]]-Table_SiteMilestoneTracking[[#This Row],[SiteDesignReady_AC]],"-")</f>
        <v>17</v>
      </c>
      <c r="AI16" s="64">
        <f t="shared" si="3"/>
        <v>1500</v>
      </c>
      <c r="AJ16" s="82">
        <v>2100</v>
      </c>
      <c r="AK16" s="63">
        <f>Table_SiteMilestoneTracking[[#This Row],[SiteReadyForCW_BL]]+t3_CivilWorksBL</f>
        <v>44013</v>
      </c>
      <c r="AL16" s="84">
        <v>44017</v>
      </c>
      <c r="AM16" s="64">
        <f>IF(ISBLANK(Table_SiteMilestoneTracking[[#This Row],[SiteReadyForPower_AC]])=FALSE,Table_SiteMilestoneTracking[[#This Row],[SiteReadyForPower_AC]]-Table_SiteMilestoneTracking[[#This Row],[SiteReadyForPower_BL]],"-")</f>
        <v>4</v>
      </c>
      <c r="AN16" s="64">
        <f>IF(ISBLANK(Table_SiteMilestoneTracking[[#This Row],[SiteReadyForPower_AC]])=FALSE,Table_SiteMilestoneTracking[[#This Row],[SiteReadyForPower_AC]]-Table_SiteMilestoneTracking[[#This Row],[SiteReadyForCW_AC]],"-")</f>
        <v>9</v>
      </c>
      <c r="AO16" s="64">
        <f t="shared" si="4"/>
        <v>500</v>
      </c>
      <c r="AP16" s="82">
        <v>250</v>
      </c>
      <c r="AQ16" s="63">
        <f>Table_SiteMilestoneTracking[[#This Row],[SiteReadyForPower_BL]]+t4_PowerInstallBL</f>
        <v>44018</v>
      </c>
      <c r="AR16" s="84">
        <v>44022</v>
      </c>
      <c r="AS16" s="64">
        <f>IF(ISBLANK(Table_SiteMilestoneTracking[[#This Row],[TXReady_AC]])=FALSE,Table_SiteMilestoneTracking[[#This Row],[TXReady_AC]]-Table_SiteMilestoneTracking[[#This Row],[TXReady_BL]],"-")</f>
        <v>4</v>
      </c>
      <c r="AT16" s="64">
        <f>IF(ISBLANK(Table_SiteMilestoneTracking[[#This Row],[TXReady_AC]])=FALSE,Table_SiteMilestoneTracking[[#This Row],[TXReady_AC]]-Table_SiteMilestoneTracking[[#This Row],[SiteReadyForPower_AC]],"-")</f>
        <v>5</v>
      </c>
      <c r="AU16" s="64">
        <f>$AU$2</f>
        <v>500</v>
      </c>
      <c r="AV16" s="82">
        <v>450</v>
      </c>
      <c r="AW16" s="63">
        <f>Table_SiteMilestoneTracking[[#This Row],[TXReady_BL]]+t5_TxintegrationBL</f>
        <v>44025</v>
      </c>
      <c r="AX16" s="84">
        <v>44030</v>
      </c>
      <c r="AY16" s="64">
        <f>IF(ISBLANK(Table_SiteMilestoneTracking[[#This Row],[SiteReadyForInstallation_AC]])=FALSE,Table_SiteMilestoneTracking[[#This Row],[SiteReadyForInstallation_AC]]-Table_SiteMilestoneTracking[[#This Row],[SiteReadyForInstallation_BL]],"-")</f>
        <v>5</v>
      </c>
      <c r="AZ16" s="64">
        <f>IF(ISBLANK(Table_SiteMilestoneTracking[[#This Row],[SiteReadyForInstallation_AC]])=FALSE,Table_SiteMilestoneTracking[[#This Row],[SiteReadyForInstallation_AC]]-Table_SiteMilestoneTracking[[#This Row],[TXReady_AC]],"-")</f>
        <v>8</v>
      </c>
      <c r="BA16" s="64">
        <f>$BA$2</f>
        <v>2500</v>
      </c>
      <c r="BB16" s="82">
        <v>2050</v>
      </c>
      <c r="BC16" s="63">
        <f>Table_SiteMilestoneTracking[[#This Row],[SiteReadyForInstallation_BL]]+t6_InstallationBL</f>
        <v>44029</v>
      </c>
      <c r="BD16" s="84">
        <v>44034</v>
      </c>
      <c r="BE16" s="64">
        <f>IF(ISBLANK(Table_SiteMilestoneTracking[[#This Row],[SiteReadyForIntegration_AC]])=FALSE,Table_SiteMilestoneTracking[[#This Row],[SiteReadyForIntegration_AC]]-Table_SiteMilestoneTracking[[#This Row],[SiteReadyForIntegration_BL]],"-")</f>
        <v>5</v>
      </c>
      <c r="BF16" s="64">
        <f>IF(ISBLANK(Table_SiteMilestoneTracking[[#This Row],[SiteReadyForIntegration_AC]])=FALSE,Table_SiteMilestoneTracking[[#This Row],[SiteReadyForIntegration_AC]]-Table_SiteMilestoneTracking[[#This Row],[SiteReadyForInstallation_AC]],"-")</f>
        <v>4</v>
      </c>
      <c r="BG16" s="64">
        <f>$BG$2</f>
        <v>500</v>
      </c>
      <c r="BH16" s="82">
        <v>460</v>
      </c>
      <c r="BI16" s="63">
        <f>Table_SiteMilestoneTracking[[#This Row],[SiteReadyForIntegration_BL]]+t7_IntegrationBL</f>
        <v>44033</v>
      </c>
      <c r="BJ16" s="84">
        <v>44038</v>
      </c>
      <c r="BK16" s="64">
        <f>IF(ISBLANK(Table_SiteMilestoneTracking[[#This Row],[SiteOnAir_AC]])=FALSE,Table_SiteMilestoneTracking[[#This Row],[SiteOnAir_AC]]-Table_SiteMilestoneTracking[[#This Row],[SiteOnAir_BL]],"-")</f>
        <v>5</v>
      </c>
      <c r="BL16" s="64">
        <f>IF(ISBLANK(Table_SiteMilestoneTracking[[#This Row],[SiteOnAir_AC]])=FALSE,Table_SiteMilestoneTracking[[#This Row],[SiteOnAir_AC]]-Table_SiteMilestoneTracking[[#This Row],[SiteReadyForIntegration_AC]],"-")</f>
        <v>4</v>
      </c>
      <c r="BM16" s="64">
        <f>$BM$2</f>
        <v>250</v>
      </c>
      <c r="BN16" s="82">
        <v>250</v>
      </c>
      <c r="BO16" s="63">
        <f>Table_SiteMilestoneTracking[[#This Row],[SiteOnAir_BL]]+t8_AcceptanceBL</f>
        <v>44037</v>
      </c>
      <c r="BP16" s="84">
        <v>44042</v>
      </c>
      <c r="BQ16" s="64">
        <f>IF(ISBLANK(Table_SiteMilestoneTracking[[#This Row],[SiteAccepted_AC]])=FALSE,Table_SiteMilestoneTracking[[#This Row],[SiteAccepted_AC]]-Table_SiteMilestoneTracking[[#This Row],[SiteAccepted_BL]],"-")</f>
        <v>5</v>
      </c>
      <c r="BR16" s="64">
        <f>IF(ISBLANK(Table_SiteMilestoneTracking[[#This Row],[SiteAccepted_AC]])=FALSE,Table_SiteMilestoneTracking[[#This Row],[SiteAccepted_AC]]-Table_SiteMilestoneTracking[[#This Row],[SiteOnAir_AC]],"-")</f>
        <v>4</v>
      </c>
      <c r="BS16" s="64">
        <f>$BS$2</f>
        <v>200</v>
      </c>
      <c r="BT16" s="82"/>
      <c r="BU16" s="63">
        <f>Table_SiteMilestoneTracking[[#This Row],[SiteAccepted_BL]]+t9_HandoverBL</f>
        <v>44045</v>
      </c>
      <c r="BV16" s="84"/>
      <c r="BW16" s="64" t="str">
        <f>IF(ISBLANK(Table_SiteMilestoneTracking[[#This Row],[SiteInOperations_AC]])=FALSE,Table_SiteMilestoneTracking[[#This Row],[SiteInOperations_AC]]-Table_SiteMilestoneTracking[[#This Row],[SiteInOperations_BL]],"-")</f>
        <v>-</v>
      </c>
      <c r="BX16" s="66">
        <f>Table_SiteMilestoneTracking[[#This Row],[SiteInOperations_BL]]-Table_SiteMilestoneTracking[[#This Row],[SiteDesignReady_BL]]</f>
        <v>55</v>
      </c>
      <c r="BY16" s="66" t="str">
        <f>IF(Table_SiteMilestoneTracking[[#This Row],[CurrentSiteMilestone]]="SiteInOperations",Table_SiteMilestoneTracking[[#This Row],[SiteInOperations_AC]]-Table_SiteMilestoneTracking[[#This Row],[SiteDesignReady_AC]],"")</f>
        <v/>
      </c>
      <c r="BZ16" s="66" t="str">
        <f>IFERROR(Table_SiteMilestoneTracking[[#This Row],[E2E_Site_AC]]-Table_SiteMilestoneTracking[[#This Row],[E2E_Site_BL]],"")</f>
        <v/>
      </c>
      <c r="CA16" s="66" t="str">
        <f>IF(Table_SiteMilestoneTracking[[#This Row],[CurrentSiteMilestone]]="SiteInOperations",Table_SiteMilestoneTracking[[#This Row],[SiteInOperations_AC]]-Table_SiteMilestoneTracking[[#This Row],[SiteAccepted_AC]],"")</f>
        <v/>
      </c>
      <c r="CB16" s="79"/>
      <c r="CC16" s="89"/>
      <c r="CD16" s="89"/>
      <c r="CE16" s="70"/>
      <c r="CF16" s="70"/>
      <c r="CG16" s="70"/>
      <c r="CH16" s="70"/>
      <c r="CI16" s="70"/>
      <c r="CJ16" s="70"/>
      <c r="CK16" s="70"/>
      <c r="CL16" s="70"/>
      <c r="CM16" s="70"/>
      <c r="CN16" s="70"/>
      <c r="CO16" s="70"/>
      <c r="CP16" s="70"/>
      <c r="CQ16" s="70"/>
      <c r="CR16" s="70"/>
      <c r="CS16" s="70"/>
      <c r="CT16" s="70"/>
      <c r="CU16" s="70"/>
      <c r="CV16" s="70"/>
      <c r="CW16" s="70"/>
      <c r="CX16" s="70"/>
      <c r="CY16" s="70"/>
      <c r="CZ16" s="70"/>
      <c r="DA16" s="70"/>
      <c r="DB16" s="70"/>
      <c r="DC16" s="70"/>
      <c r="DD16" s="70"/>
      <c r="DE16" s="70"/>
      <c r="DF16" s="70"/>
      <c r="DG16" s="70"/>
      <c r="DH16" s="70"/>
      <c r="DI16" s="70"/>
      <c r="DJ16" s="70"/>
      <c r="DK16" s="70"/>
      <c r="DL16" s="70"/>
      <c r="DM16" s="70"/>
      <c r="DN16" s="70"/>
      <c r="DO16" s="70"/>
      <c r="DP16" s="70"/>
      <c r="DQ16" s="70"/>
      <c r="DR16" s="70"/>
      <c r="DS16" s="70"/>
      <c r="DT16" s="70"/>
      <c r="DU16" s="70"/>
      <c r="DV16" s="70"/>
    </row>
    <row r="17" spans="1:126" x14ac:dyDescent="0.3">
      <c r="A17" s="79" t="str">
        <f>'4. Design Tracking Summary'!A18</f>
        <v>CA00199</v>
      </c>
      <c r="B17" s="79" t="str">
        <f>'4. Design Tracking Summary'!B18</f>
        <v>North</v>
      </c>
      <c r="C17" s="79" t="str">
        <f>'4. Design Tracking Summary'!C18</f>
        <v>ZAC</v>
      </c>
      <c r="D17" s="79" t="str">
        <f>'4. Design Tracking Summary'!D18</f>
        <v>MINI</v>
      </c>
      <c r="E17" s="79" t="s">
        <v>58</v>
      </c>
      <c r="F17" s="79" t="s">
        <v>333</v>
      </c>
      <c r="G17" s="60" t="str">
        <f>IFERROR(INDEX(Table_SiteMilestonesNames[SiteMilestoneName],COUNTA(Table_SiteMilestoneTracking[[#This Row],[SiteDesignStarted_AC]],Table_SiteMilestoneTracking[[#This Row],[SiteDesignReady_AC]],Table_SiteMilestoneTracking[[#This Row],[SiteSurveyCompleted_AC]],Table_SiteMilestoneTracking[[#This Row],[SiteAcquired_AC]],Table_SiteMilestoneTracking[[#This Row],[SiteReadyForCW_AC]],Table_SiteMilestoneTracking[[#This Row],[SiteReadyForPower_AC]],Table_SiteMilestoneTracking[[#This Row],[TXReady_AC]],Table_SiteMilestoneTracking[[#This Row],[SiteReadyForInstallation_AC]],Table_SiteMilestoneTracking[[#This Row],[SiteReadyForIntegration_AC]],Table_SiteMilestoneTracking[[#This Row],[SiteOnAir_AC]],Table_SiteMilestoneTracking[[#This Row],[SiteAccepted_AC]],Table_SiteMilestoneTracking[[#This Row],[SiteInOperations_AC]])+1),"Invalid Milestone")</f>
        <v>SiteAccepted</v>
      </c>
      <c r="H17" s="61">
        <f>Table_SiteMilestoneTracking[[#This Row],[c0_SiteDesignCostBL]]+Table_SiteMilestoneTracking[[#This Row],[c1_SiteSurveyCostBL]]+Table_SiteMilestoneTracking[[#This Row],[c2_SiteAcquisitionCostBL]]+Table_SiteMilestoneTracking[[#This Row],[c3_CivilWorksCostBL]]+Table_SiteMilestoneTracking[[#This Row],[c4_PowerInstallCostBL]]+Table_SiteMilestoneTracking[[#This Row],[c5_TxintegrationCostBL]]+Table_SiteMilestoneTracking[[#This Row],[c6_InstallationCostBL]]+Table_SiteMilestoneTracking[[#This Row],[c7_IntegrationCostBL]]+Table_SiteMilestoneTracking[[#This Row],[c8_AcceptanceCostBL]]+Table_SiteMilestoneTracking[[#This Row],[c9_HandoverCostBL]]</f>
        <v>7550</v>
      </c>
      <c r="I17" s="62">
        <f>Table_SiteMilestoneTracking[[#This Row],[c0_SiteDesignCostAC]]+Table_SiteMilestoneTracking[[#This Row],[c1_SiteSurveyCostAC]]+Table_SiteMilestoneTracking[[#This Row],[c2_SiteAcquisitionCostAC]]+Table_SiteMilestoneTracking[[#This Row],[c3_CivilWorksCostAC]]+Table_SiteMilestoneTracking[[#This Row],[c4_PowerInstallCostAC]]+Table_SiteMilestoneTracking[[#This Row],[c5_TxintegrationCostAC]]+Table_SiteMilestoneTracking[[#This Row],[c6_InstallationCostAC]]+Table_SiteMilestoneTracking[[#This Row],[c7_IntegrationCostAC]]+Table_SiteMilestoneTracking[[#This Row],[c8_AcceptanceCostAC]]+Table_SiteMilestoneTracking[[#This Row],[c9_HandoverCostAC]]</f>
        <v>7370</v>
      </c>
      <c r="J17" s="84">
        <v>43988</v>
      </c>
      <c r="K17" s="84">
        <v>43990</v>
      </c>
      <c r="L17" s="64">
        <f>IF(ISBLANK(Table_SiteMilestoneTracking[[#This Row],[SiteDesignStarted_AC]])=FALSE,Table_SiteMilestoneTracking[[#This Row],[SiteDesignStarted_AC]]-Table_SiteMilestoneTracking[[#This Row],[SiteDesignStarted_BL]],"")</f>
        <v>2</v>
      </c>
      <c r="M17" s="64">
        <f t="shared" si="0"/>
        <v>500</v>
      </c>
      <c r="N17" s="87">
        <v>460</v>
      </c>
      <c r="O17" s="63">
        <f>Table_SiteMilestoneTracking[[#This Row],[SiteDesignStarted_BL]]+t0_SiteDesignDelayBL</f>
        <v>43990</v>
      </c>
      <c r="P17" s="84">
        <v>43991</v>
      </c>
      <c r="Q17" s="64">
        <f>IF(ISBLANK(Table_SiteMilestoneTracking[[#This Row],[SiteDesignReady_AC]])=FALSE,Table_SiteMilestoneTracking[[#This Row],[SiteDesignReady_AC]]-Table_SiteMilestoneTracking[[#This Row],[SiteDesignReady_BL]],"-")</f>
        <v>1</v>
      </c>
      <c r="R17" s="64">
        <f t="shared" si="5"/>
        <v>500</v>
      </c>
      <c r="S17" s="82">
        <v>575</v>
      </c>
      <c r="T17" s="63">
        <f>Table_SiteMilestoneTracking[[#This Row],[SiteDesignReady_BL]]+t1_SiteSurveyBL</f>
        <v>43992</v>
      </c>
      <c r="U17" s="84">
        <v>43993</v>
      </c>
      <c r="V17" s="64">
        <f>IF(ISBLANK(Table_SiteMilestoneTracking[[#This Row],[SiteSurveyCompleted_AC]])=FALSE,Table_SiteMilestoneTracking[[#This Row],[SiteSurveyCompleted_AC]]-Table_SiteMilestoneTracking[[#This Row],[SiteDesignReady_AC]],"-")</f>
        <v>2</v>
      </c>
      <c r="W17" s="64">
        <f t="shared" si="1"/>
        <v>600</v>
      </c>
      <c r="X17" s="82">
        <v>660</v>
      </c>
      <c r="Y17" s="63">
        <f>Table_SiteMilestoneTracking[[#This Row],[SiteSurveyCompleted_BL]]+t2_SiteAcquisitionBL</f>
        <v>44003</v>
      </c>
      <c r="Z17" s="84">
        <v>44005</v>
      </c>
      <c r="AA17" s="65">
        <f>IF(ISBLANK(Table_SiteMilestoneTracking[[#This Row],[SiteAcquired_AC]])=FALSE,Table_SiteMilestoneTracking[[#This Row],[SiteAcquired_AC]]-Table_SiteMilestoneTracking[[#This Row],[SiteAcquired_BL]],"-")</f>
        <v>2</v>
      </c>
      <c r="AB17" s="65">
        <f>IF(ISBLANK(Table_SiteMilestoneTracking[[#This Row],[SiteAcquired_AC]])=FALSE,Table_SiteMilestoneTracking[[#This Row],[SiteAcquired_AC]]-Table_SiteMilestoneTracking[[#This Row],[SiteSurveyCompleted_AC]],"-")</f>
        <v>12</v>
      </c>
      <c r="AC17" s="64">
        <f t="shared" si="2"/>
        <v>150</v>
      </c>
      <c r="AD17" s="82">
        <v>135</v>
      </c>
      <c r="AE17" s="63">
        <f>Table_SiteMilestoneTracking[[#This Row],[SiteAcquired_BL]]+t2a_SiteCWReadinessBL</f>
        <v>44005</v>
      </c>
      <c r="AF17" s="85">
        <v>44008</v>
      </c>
      <c r="AG17" s="66">
        <f>IF(ISBLANK(Table_SiteMilestoneTracking[[#This Row],[SiteReadyForCW_AC]])=FALSE,Table_SiteMilestoneTracking[[#This Row],[SiteReadyForCW_AC]]-Table_SiteMilestoneTracking[[#This Row],[SiteReadyForCW_BL]],"-")</f>
        <v>3</v>
      </c>
      <c r="AH17" s="66">
        <f>IF(ISBLANK(Table_SiteMilestoneTracking[[#This Row],[SiteReadyForCW_AC]])=FALSE,Table_SiteMilestoneTracking[[#This Row],[SiteReadyForCW_AC]]-Table_SiteMilestoneTracking[[#This Row],[SiteDesignReady_AC]],"-")</f>
        <v>17</v>
      </c>
      <c r="AI17" s="64">
        <f t="shared" si="3"/>
        <v>1500</v>
      </c>
      <c r="AJ17" s="82">
        <v>2100</v>
      </c>
      <c r="AK17" s="63">
        <f>Table_SiteMilestoneTracking[[#This Row],[SiteReadyForCW_BL]]+t3_CivilWorksBL</f>
        <v>44013</v>
      </c>
      <c r="AL17" s="84">
        <v>44016</v>
      </c>
      <c r="AM17" s="64">
        <f>IF(ISBLANK(Table_SiteMilestoneTracking[[#This Row],[SiteReadyForPower_AC]])=FALSE,Table_SiteMilestoneTracking[[#This Row],[SiteReadyForPower_AC]]-Table_SiteMilestoneTracking[[#This Row],[SiteReadyForPower_BL]],"-")</f>
        <v>3</v>
      </c>
      <c r="AN17" s="64">
        <f>IF(ISBLANK(Table_SiteMilestoneTracking[[#This Row],[SiteReadyForPower_AC]])=FALSE,Table_SiteMilestoneTracking[[#This Row],[SiteReadyForPower_AC]]-Table_SiteMilestoneTracking[[#This Row],[SiteReadyForCW_AC]],"-")</f>
        <v>8</v>
      </c>
      <c r="AO17" s="64">
        <f t="shared" si="4"/>
        <v>500</v>
      </c>
      <c r="AP17" s="82">
        <v>500</v>
      </c>
      <c r="AQ17" s="63">
        <f>Table_SiteMilestoneTracking[[#This Row],[SiteReadyForPower_BL]]+t4_PowerInstallBL</f>
        <v>44018</v>
      </c>
      <c r="AR17" s="84">
        <v>44021</v>
      </c>
      <c r="AS17" s="64">
        <f>IF(ISBLANK(Table_SiteMilestoneTracking[[#This Row],[TXReady_AC]])=FALSE,Table_SiteMilestoneTracking[[#This Row],[TXReady_AC]]-Table_SiteMilestoneTracking[[#This Row],[TXReady_BL]],"-")</f>
        <v>3</v>
      </c>
      <c r="AT17" s="64">
        <f>IF(ISBLANK(Table_SiteMilestoneTracking[[#This Row],[TXReady_AC]])=FALSE,Table_SiteMilestoneTracking[[#This Row],[TXReady_AC]]-Table_SiteMilestoneTracking[[#This Row],[SiteReadyForPower_AC]],"-")</f>
        <v>5</v>
      </c>
      <c r="AU17" s="64">
        <f>$AU$2</f>
        <v>500</v>
      </c>
      <c r="AV17" s="82">
        <v>350</v>
      </c>
      <c r="AW17" s="63">
        <f>Table_SiteMilestoneTracking[[#This Row],[TXReady_BL]]+t5_TxintegrationBL</f>
        <v>44025</v>
      </c>
      <c r="AX17" s="84">
        <v>44028</v>
      </c>
      <c r="AY17" s="64">
        <f>IF(ISBLANK(Table_SiteMilestoneTracking[[#This Row],[SiteReadyForInstallation_AC]])=FALSE,Table_SiteMilestoneTracking[[#This Row],[SiteReadyForInstallation_AC]]-Table_SiteMilestoneTracking[[#This Row],[SiteReadyForInstallation_BL]],"-")</f>
        <v>3</v>
      </c>
      <c r="AZ17" s="64">
        <f>IF(ISBLANK(Table_SiteMilestoneTracking[[#This Row],[SiteReadyForInstallation_AC]])=FALSE,Table_SiteMilestoneTracking[[#This Row],[SiteReadyForInstallation_AC]]-Table_SiteMilestoneTracking[[#This Row],[TXReady_AC]],"-")</f>
        <v>7</v>
      </c>
      <c r="BA17" s="64">
        <f>$BA$2</f>
        <v>2500</v>
      </c>
      <c r="BB17" s="82">
        <v>2000</v>
      </c>
      <c r="BC17" s="63">
        <f>Table_SiteMilestoneTracking[[#This Row],[SiteReadyForInstallation_BL]]+t6_InstallationBL</f>
        <v>44029</v>
      </c>
      <c r="BD17" s="84">
        <v>44032</v>
      </c>
      <c r="BE17" s="64">
        <f>IF(ISBLANK(Table_SiteMilestoneTracking[[#This Row],[SiteReadyForIntegration_AC]])=FALSE,Table_SiteMilestoneTracking[[#This Row],[SiteReadyForIntegration_AC]]-Table_SiteMilestoneTracking[[#This Row],[SiteReadyForIntegration_BL]],"-")</f>
        <v>3</v>
      </c>
      <c r="BF17" s="64">
        <f>IF(ISBLANK(Table_SiteMilestoneTracking[[#This Row],[SiteReadyForIntegration_AC]])=FALSE,Table_SiteMilestoneTracking[[#This Row],[SiteReadyForIntegration_AC]]-Table_SiteMilestoneTracking[[#This Row],[SiteReadyForInstallation_AC]],"-")</f>
        <v>4</v>
      </c>
      <c r="BG17" s="64">
        <f>$BG$2</f>
        <v>500</v>
      </c>
      <c r="BH17" s="82">
        <v>475.00000000000006</v>
      </c>
      <c r="BI17" s="63">
        <f>Table_SiteMilestoneTracking[[#This Row],[SiteReadyForIntegration_BL]]+t7_IntegrationBL</f>
        <v>44033</v>
      </c>
      <c r="BJ17" s="84">
        <v>44037</v>
      </c>
      <c r="BK17" s="64">
        <f>IF(ISBLANK(Table_SiteMilestoneTracking[[#This Row],[SiteOnAir_AC]])=FALSE,Table_SiteMilestoneTracking[[#This Row],[SiteOnAir_AC]]-Table_SiteMilestoneTracking[[#This Row],[SiteOnAir_BL]],"-")</f>
        <v>4</v>
      </c>
      <c r="BL17" s="64">
        <f>IF(ISBLANK(Table_SiteMilestoneTracking[[#This Row],[SiteOnAir_AC]])=FALSE,Table_SiteMilestoneTracking[[#This Row],[SiteOnAir_AC]]-Table_SiteMilestoneTracking[[#This Row],[SiteReadyForIntegration_AC]],"-")</f>
        <v>5</v>
      </c>
      <c r="BM17" s="64">
        <f>$BM$2</f>
        <v>250</v>
      </c>
      <c r="BN17" s="82">
        <v>250</v>
      </c>
      <c r="BO17" s="63">
        <f>Table_SiteMilestoneTracking[[#This Row],[SiteOnAir_BL]]+t8_AcceptanceBL</f>
        <v>44037</v>
      </c>
      <c r="BP17" s="84">
        <v>44042</v>
      </c>
      <c r="BQ17" s="64">
        <f>IF(ISBLANK(Table_SiteMilestoneTracking[[#This Row],[SiteAccepted_AC]])=FALSE,Table_SiteMilestoneTracking[[#This Row],[SiteAccepted_AC]]-Table_SiteMilestoneTracking[[#This Row],[SiteAccepted_BL]],"-")</f>
        <v>5</v>
      </c>
      <c r="BR17" s="64">
        <f>IF(ISBLANK(Table_SiteMilestoneTracking[[#This Row],[SiteAccepted_AC]])=FALSE,Table_SiteMilestoneTracking[[#This Row],[SiteAccepted_AC]]-Table_SiteMilestoneTracking[[#This Row],[SiteOnAir_AC]],"-")</f>
        <v>5</v>
      </c>
      <c r="BS17" s="64">
        <f>$BS$2</f>
        <v>200</v>
      </c>
      <c r="BT17" s="82"/>
      <c r="BU17" s="63">
        <f>Table_SiteMilestoneTracking[[#This Row],[SiteAccepted_BL]]+t9_HandoverBL</f>
        <v>44045</v>
      </c>
      <c r="BV17" s="84"/>
      <c r="BW17" s="64" t="str">
        <f>IF(ISBLANK(Table_SiteMilestoneTracking[[#This Row],[SiteInOperations_AC]])=FALSE,Table_SiteMilestoneTracking[[#This Row],[SiteInOperations_AC]]-Table_SiteMilestoneTracking[[#This Row],[SiteInOperations_BL]],"-")</f>
        <v>-</v>
      </c>
      <c r="BX17" s="66">
        <f>Table_SiteMilestoneTracking[[#This Row],[SiteInOperations_BL]]-Table_SiteMilestoneTracking[[#This Row],[SiteDesignReady_BL]]</f>
        <v>55</v>
      </c>
      <c r="BY17" s="66" t="str">
        <f>IF(Table_SiteMilestoneTracking[[#This Row],[CurrentSiteMilestone]]="SiteInOperations",Table_SiteMilestoneTracking[[#This Row],[SiteInOperations_AC]]-Table_SiteMilestoneTracking[[#This Row],[SiteDesignReady_AC]],"")</f>
        <v/>
      </c>
      <c r="BZ17" s="66" t="str">
        <f>IFERROR(Table_SiteMilestoneTracking[[#This Row],[E2E_Site_AC]]-Table_SiteMilestoneTracking[[#This Row],[E2E_Site_BL]],"")</f>
        <v/>
      </c>
      <c r="CA17" s="66" t="str">
        <f>IF(Table_SiteMilestoneTracking[[#This Row],[CurrentSiteMilestone]]="SiteInOperations",Table_SiteMilestoneTracking[[#This Row],[SiteInOperations_AC]]-Table_SiteMilestoneTracking[[#This Row],[SiteAccepted_AC]],"")</f>
        <v/>
      </c>
      <c r="CB17" s="79"/>
      <c r="CC17" s="89"/>
      <c r="CD17" s="89"/>
      <c r="CE17" s="70"/>
      <c r="CF17" s="70"/>
      <c r="CG17" s="70"/>
      <c r="CH17" s="70"/>
      <c r="CI17" s="70"/>
      <c r="CJ17" s="70"/>
      <c r="CK17" s="70"/>
      <c r="CL17" s="70"/>
      <c r="CM17" s="70"/>
      <c r="CN17" s="70"/>
      <c r="CO17" s="70"/>
      <c r="CP17" s="70"/>
      <c r="CQ17" s="70"/>
      <c r="CR17" s="70"/>
      <c r="CS17" s="70"/>
      <c r="CT17" s="70"/>
      <c r="CU17" s="70"/>
      <c r="CV17" s="70"/>
      <c r="CW17" s="70"/>
      <c r="CX17" s="70"/>
      <c r="CY17" s="70"/>
      <c r="CZ17" s="70"/>
      <c r="DA17" s="70"/>
      <c r="DB17" s="70"/>
      <c r="DC17" s="70"/>
      <c r="DD17" s="70"/>
      <c r="DE17" s="70"/>
      <c r="DF17" s="70"/>
      <c r="DG17" s="70"/>
      <c r="DH17" s="70"/>
      <c r="DI17" s="70"/>
      <c r="DJ17" s="70"/>
      <c r="DK17" s="70"/>
      <c r="DL17" s="70"/>
      <c r="DM17" s="70"/>
      <c r="DN17" s="70"/>
      <c r="DO17" s="70"/>
      <c r="DP17" s="70"/>
      <c r="DQ17" s="70"/>
      <c r="DR17" s="70"/>
      <c r="DS17" s="70"/>
      <c r="DT17" s="70"/>
      <c r="DU17" s="70"/>
      <c r="DV17" s="70"/>
    </row>
    <row r="18" spans="1:126" x14ac:dyDescent="0.3">
      <c r="A18" s="79" t="str">
        <f>'4. Design Tracking Summary'!A19</f>
        <v>CA00260</v>
      </c>
      <c r="B18" s="79" t="str">
        <f>'4. Design Tracking Summary'!B19</f>
        <v>Center</v>
      </c>
      <c r="C18" s="79" t="str">
        <f>'4. Design Tracking Summary'!C19</f>
        <v>GTO</v>
      </c>
      <c r="D18" s="79" t="str">
        <f>'4. Design Tracking Summary'!D19</f>
        <v>SMALL</v>
      </c>
      <c r="E18" s="79" t="s">
        <v>59</v>
      </c>
      <c r="F18" s="79" t="s">
        <v>334</v>
      </c>
      <c r="G18" s="60" t="str">
        <f>IFERROR(INDEX(Table_SiteMilestonesNames[SiteMilestoneName],COUNTA(Table_SiteMilestoneTracking[[#This Row],[SiteDesignStarted_AC]],Table_SiteMilestoneTracking[[#This Row],[SiteDesignReady_AC]],Table_SiteMilestoneTracking[[#This Row],[SiteSurveyCompleted_AC]],Table_SiteMilestoneTracking[[#This Row],[SiteAcquired_AC]],Table_SiteMilestoneTracking[[#This Row],[SiteReadyForCW_AC]],Table_SiteMilestoneTracking[[#This Row],[SiteReadyForPower_AC]],Table_SiteMilestoneTracking[[#This Row],[TXReady_AC]],Table_SiteMilestoneTracking[[#This Row],[SiteReadyForInstallation_AC]],Table_SiteMilestoneTracking[[#This Row],[SiteReadyForIntegration_AC]],Table_SiteMilestoneTracking[[#This Row],[SiteOnAir_AC]],Table_SiteMilestoneTracking[[#This Row],[SiteAccepted_AC]],Table_SiteMilestoneTracking[[#This Row],[SiteInOperations_AC]])+1),"Invalid Milestone")</f>
        <v>SiteAccepted</v>
      </c>
      <c r="H18" s="61">
        <f>Table_SiteMilestoneTracking[[#This Row],[c0_SiteDesignCostBL]]+Table_SiteMilestoneTracking[[#This Row],[c1_SiteSurveyCostBL]]+Table_SiteMilestoneTracking[[#This Row],[c2_SiteAcquisitionCostBL]]+Table_SiteMilestoneTracking[[#This Row],[c3_CivilWorksCostBL]]+Table_SiteMilestoneTracking[[#This Row],[c4_PowerInstallCostBL]]+Table_SiteMilestoneTracking[[#This Row],[c5_TxintegrationCostBL]]+Table_SiteMilestoneTracking[[#This Row],[c6_InstallationCostBL]]+Table_SiteMilestoneTracking[[#This Row],[c7_IntegrationCostBL]]+Table_SiteMilestoneTracking[[#This Row],[c8_AcceptanceCostBL]]+Table_SiteMilestoneTracking[[#This Row],[c9_HandoverCostBL]]</f>
        <v>7550</v>
      </c>
      <c r="I18" s="62">
        <f>Table_SiteMilestoneTracking[[#This Row],[c0_SiteDesignCostAC]]+Table_SiteMilestoneTracking[[#This Row],[c1_SiteSurveyCostAC]]+Table_SiteMilestoneTracking[[#This Row],[c2_SiteAcquisitionCostAC]]+Table_SiteMilestoneTracking[[#This Row],[c3_CivilWorksCostAC]]+Table_SiteMilestoneTracking[[#This Row],[c4_PowerInstallCostAC]]+Table_SiteMilestoneTracking[[#This Row],[c5_TxintegrationCostAC]]+Table_SiteMilestoneTracking[[#This Row],[c6_InstallationCostAC]]+Table_SiteMilestoneTracking[[#This Row],[c7_IntegrationCostAC]]+Table_SiteMilestoneTracking[[#This Row],[c8_AcceptanceCostAC]]+Table_SiteMilestoneTracking[[#This Row],[c9_HandoverCostAC]]</f>
        <v>6585</v>
      </c>
      <c r="J18" s="84">
        <v>43988</v>
      </c>
      <c r="K18" s="84">
        <v>43990</v>
      </c>
      <c r="L18" s="64">
        <f>IF(ISBLANK(Table_SiteMilestoneTracking[[#This Row],[SiteDesignStarted_AC]])=FALSE,Table_SiteMilestoneTracking[[#This Row],[SiteDesignStarted_AC]]-Table_SiteMilestoneTracking[[#This Row],[SiteDesignStarted_BL]],"")</f>
        <v>2</v>
      </c>
      <c r="M18" s="64">
        <f t="shared" si="0"/>
        <v>500</v>
      </c>
      <c r="N18" s="87">
        <v>480</v>
      </c>
      <c r="O18" s="63">
        <f>Table_SiteMilestoneTracking[[#This Row],[SiteDesignStarted_BL]]+t0_SiteDesignDelayBL</f>
        <v>43990</v>
      </c>
      <c r="P18" s="84">
        <v>43994</v>
      </c>
      <c r="Q18" s="64">
        <f>IF(ISBLANK(Table_SiteMilestoneTracking[[#This Row],[SiteDesignReady_AC]])=FALSE,Table_SiteMilestoneTracking[[#This Row],[SiteDesignReady_AC]]-Table_SiteMilestoneTracking[[#This Row],[SiteDesignReady_BL]],"-")</f>
        <v>4</v>
      </c>
      <c r="R18" s="64">
        <f t="shared" si="5"/>
        <v>500</v>
      </c>
      <c r="S18" s="82">
        <v>775</v>
      </c>
      <c r="T18" s="63">
        <f>Table_SiteMilestoneTracking[[#This Row],[SiteDesignReady_BL]]+t1_SiteSurveyBL</f>
        <v>43992</v>
      </c>
      <c r="U18" s="84">
        <v>43996</v>
      </c>
      <c r="V18" s="64">
        <f>IF(ISBLANK(Table_SiteMilestoneTracking[[#This Row],[SiteSurveyCompleted_AC]])=FALSE,Table_SiteMilestoneTracking[[#This Row],[SiteSurveyCompleted_AC]]-Table_SiteMilestoneTracking[[#This Row],[SiteDesignReady_AC]],"-")</f>
        <v>2</v>
      </c>
      <c r="W18" s="64">
        <f t="shared" si="1"/>
        <v>600</v>
      </c>
      <c r="X18" s="82">
        <v>600</v>
      </c>
      <c r="Y18" s="63">
        <f>Table_SiteMilestoneTracking[[#This Row],[SiteSurveyCompleted_BL]]+t2_SiteAcquisitionBL</f>
        <v>44003</v>
      </c>
      <c r="Z18" s="84">
        <v>44007</v>
      </c>
      <c r="AA18" s="65">
        <f>IF(ISBLANK(Table_SiteMilestoneTracking[[#This Row],[SiteAcquired_AC]])=FALSE,Table_SiteMilestoneTracking[[#This Row],[SiteAcquired_AC]]-Table_SiteMilestoneTracking[[#This Row],[SiteAcquired_BL]],"-")</f>
        <v>4</v>
      </c>
      <c r="AB18" s="65">
        <f>IF(ISBLANK(Table_SiteMilestoneTracking[[#This Row],[SiteAcquired_AC]])=FALSE,Table_SiteMilestoneTracking[[#This Row],[SiteAcquired_AC]]-Table_SiteMilestoneTracking[[#This Row],[SiteSurveyCompleted_AC]],"-")</f>
        <v>11</v>
      </c>
      <c r="AC18" s="64">
        <f t="shared" si="2"/>
        <v>150</v>
      </c>
      <c r="AD18" s="82">
        <v>120</v>
      </c>
      <c r="AE18" s="63">
        <f>Table_SiteMilestoneTracking[[#This Row],[SiteAcquired_BL]]+t2a_SiteCWReadinessBL</f>
        <v>44005</v>
      </c>
      <c r="AF18" s="85">
        <v>44009</v>
      </c>
      <c r="AG18" s="66">
        <f>IF(ISBLANK(Table_SiteMilestoneTracking[[#This Row],[SiteReadyForCW_AC]])=FALSE,Table_SiteMilestoneTracking[[#This Row],[SiteReadyForCW_AC]]-Table_SiteMilestoneTracking[[#This Row],[SiteReadyForCW_BL]],"-")</f>
        <v>4</v>
      </c>
      <c r="AH18" s="66">
        <f>IF(ISBLANK(Table_SiteMilestoneTracking[[#This Row],[SiteReadyForCW_AC]])=FALSE,Table_SiteMilestoneTracking[[#This Row],[SiteReadyForCW_AC]]-Table_SiteMilestoneTracking[[#This Row],[SiteDesignReady_AC]],"-")</f>
        <v>15</v>
      </c>
      <c r="AI18" s="64">
        <f t="shared" si="3"/>
        <v>1500</v>
      </c>
      <c r="AJ18" s="82">
        <v>1050</v>
      </c>
      <c r="AK18" s="63">
        <f>Table_SiteMilestoneTracking[[#This Row],[SiteReadyForCW_BL]]+t3_CivilWorksBL</f>
        <v>44013</v>
      </c>
      <c r="AL18" s="84">
        <v>44018</v>
      </c>
      <c r="AM18" s="64">
        <f>IF(ISBLANK(Table_SiteMilestoneTracking[[#This Row],[SiteReadyForPower_AC]])=FALSE,Table_SiteMilestoneTracking[[#This Row],[SiteReadyForPower_AC]]-Table_SiteMilestoneTracking[[#This Row],[SiteReadyForPower_BL]],"-")</f>
        <v>5</v>
      </c>
      <c r="AN18" s="64">
        <f>IF(ISBLANK(Table_SiteMilestoneTracking[[#This Row],[SiteReadyForPower_AC]])=FALSE,Table_SiteMilestoneTracking[[#This Row],[SiteReadyForPower_AC]]-Table_SiteMilestoneTracking[[#This Row],[SiteReadyForCW_AC]],"-")</f>
        <v>9</v>
      </c>
      <c r="AO18" s="64">
        <f t="shared" si="4"/>
        <v>500</v>
      </c>
      <c r="AP18" s="82">
        <v>650</v>
      </c>
      <c r="AQ18" s="63">
        <f>Table_SiteMilestoneTracking[[#This Row],[SiteReadyForPower_BL]]+t4_PowerInstallBL</f>
        <v>44018</v>
      </c>
      <c r="AR18" s="84">
        <v>44024</v>
      </c>
      <c r="AS18" s="64">
        <f>IF(ISBLANK(Table_SiteMilestoneTracking[[#This Row],[TXReady_AC]])=FALSE,Table_SiteMilestoneTracking[[#This Row],[TXReady_AC]]-Table_SiteMilestoneTracking[[#This Row],[TXReady_BL]],"-")</f>
        <v>6</v>
      </c>
      <c r="AT18" s="64">
        <f>IF(ISBLANK(Table_SiteMilestoneTracking[[#This Row],[TXReady_AC]])=FALSE,Table_SiteMilestoneTracking[[#This Row],[TXReady_AC]]-Table_SiteMilestoneTracking[[#This Row],[SiteReadyForPower_AC]],"-")</f>
        <v>6</v>
      </c>
      <c r="AU18" s="64">
        <f>$AU$2</f>
        <v>500</v>
      </c>
      <c r="AV18" s="82">
        <v>300</v>
      </c>
      <c r="AW18" s="63">
        <f>Table_SiteMilestoneTracking[[#This Row],[TXReady_BL]]+t5_TxintegrationBL</f>
        <v>44025</v>
      </c>
      <c r="AX18" s="84">
        <v>44032</v>
      </c>
      <c r="AY18" s="64">
        <f>IF(ISBLANK(Table_SiteMilestoneTracking[[#This Row],[SiteReadyForInstallation_AC]])=FALSE,Table_SiteMilestoneTracking[[#This Row],[SiteReadyForInstallation_AC]]-Table_SiteMilestoneTracking[[#This Row],[SiteReadyForInstallation_BL]],"-")</f>
        <v>7</v>
      </c>
      <c r="AZ18" s="64">
        <f>IF(ISBLANK(Table_SiteMilestoneTracking[[#This Row],[SiteReadyForInstallation_AC]])=FALSE,Table_SiteMilestoneTracking[[#This Row],[SiteReadyForInstallation_AC]]-Table_SiteMilestoneTracking[[#This Row],[TXReady_AC]],"-")</f>
        <v>8</v>
      </c>
      <c r="BA18" s="64">
        <f>$BA$2</f>
        <v>2500</v>
      </c>
      <c r="BB18" s="82">
        <v>2000</v>
      </c>
      <c r="BC18" s="63">
        <f>Table_SiteMilestoneTracking[[#This Row],[SiteReadyForInstallation_BL]]+t6_InstallationBL</f>
        <v>44029</v>
      </c>
      <c r="BD18" s="84">
        <v>44037</v>
      </c>
      <c r="BE18" s="64">
        <f>IF(ISBLANK(Table_SiteMilestoneTracking[[#This Row],[SiteReadyForIntegration_AC]])=FALSE,Table_SiteMilestoneTracking[[#This Row],[SiteReadyForIntegration_AC]]-Table_SiteMilestoneTracking[[#This Row],[SiteReadyForIntegration_BL]],"-")</f>
        <v>8</v>
      </c>
      <c r="BF18" s="64">
        <f>IF(ISBLANK(Table_SiteMilestoneTracking[[#This Row],[SiteReadyForIntegration_AC]])=FALSE,Table_SiteMilestoneTracking[[#This Row],[SiteReadyForIntegration_AC]]-Table_SiteMilestoneTracking[[#This Row],[SiteReadyForInstallation_AC]],"-")</f>
        <v>5</v>
      </c>
      <c r="BG18" s="64">
        <f>$BG$2</f>
        <v>500</v>
      </c>
      <c r="BH18" s="82">
        <v>480</v>
      </c>
      <c r="BI18" s="63">
        <f>Table_SiteMilestoneTracking[[#This Row],[SiteReadyForIntegration_BL]]+t7_IntegrationBL</f>
        <v>44033</v>
      </c>
      <c r="BJ18" s="84">
        <v>44041</v>
      </c>
      <c r="BK18" s="64">
        <f>IF(ISBLANK(Table_SiteMilestoneTracking[[#This Row],[SiteOnAir_AC]])=FALSE,Table_SiteMilestoneTracking[[#This Row],[SiteOnAir_AC]]-Table_SiteMilestoneTracking[[#This Row],[SiteOnAir_BL]],"-")</f>
        <v>8</v>
      </c>
      <c r="BL18" s="64">
        <f>IF(ISBLANK(Table_SiteMilestoneTracking[[#This Row],[SiteOnAir_AC]])=FALSE,Table_SiteMilestoneTracking[[#This Row],[SiteOnAir_AC]]-Table_SiteMilestoneTracking[[#This Row],[SiteReadyForIntegration_AC]],"-")</f>
        <v>4</v>
      </c>
      <c r="BM18" s="64">
        <f>$BM$2</f>
        <v>250</v>
      </c>
      <c r="BN18" s="82">
        <v>250</v>
      </c>
      <c r="BO18" s="63">
        <f>Table_SiteMilestoneTracking[[#This Row],[SiteOnAir_BL]]+t8_AcceptanceBL</f>
        <v>44037</v>
      </c>
      <c r="BP18" s="84">
        <v>44045</v>
      </c>
      <c r="BQ18" s="64">
        <f>IF(ISBLANK(Table_SiteMilestoneTracking[[#This Row],[SiteAccepted_AC]])=FALSE,Table_SiteMilestoneTracking[[#This Row],[SiteAccepted_AC]]-Table_SiteMilestoneTracking[[#This Row],[SiteAccepted_BL]],"-")</f>
        <v>8</v>
      </c>
      <c r="BR18" s="64">
        <f>IF(ISBLANK(Table_SiteMilestoneTracking[[#This Row],[SiteAccepted_AC]])=FALSE,Table_SiteMilestoneTracking[[#This Row],[SiteAccepted_AC]]-Table_SiteMilestoneTracking[[#This Row],[SiteOnAir_AC]],"-")</f>
        <v>4</v>
      </c>
      <c r="BS18" s="64">
        <f>$BS$2</f>
        <v>200</v>
      </c>
      <c r="BT18" s="82"/>
      <c r="BU18" s="63">
        <f>Table_SiteMilestoneTracking[[#This Row],[SiteAccepted_BL]]+t9_HandoverBL</f>
        <v>44045</v>
      </c>
      <c r="BV18" s="84"/>
      <c r="BW18" s="64" t="str">
        <f>IF(ISBLANK(Table_SiteMilestoneTracking[[#This Row],[SiteInOperations_AC]])=FALSE,Table_SiteMilestoneTracking[[#This Row],[SiteInOperations_AC]]-Table_SiteMilestoneTracking[[#This Row],[SiteInOperations_BL]],"-")</f>
        <v>-</v>
      </c>
      <c r="BX18" s="66">
        <f>Table_SiteMilestoneTracking[[#This Row],[SiteInOperations_BL]]-Table_SiteMilestoneTracking[[#This Row],[SiteDesignReady_BL]]</f>
        <v>55</v>
      </c>
      <c r="BY18" s="66" t="str">
        <f>IF(Table_SiteMilestoneTracking[[#This Row],[CurrentSiteMilestone]]="SiteInOperations",Table_SiteMilestoneTracking[[#This Row],[SiteInOperations_AC]]-Table_SiteMilestoneTracking[[#This Row],[SiteDesignReady_AC]],"")</f>
        <v/>
      </c>
      <c r="BZ18" s="66" t="str">
        <f>IFERROR(Table_SiteMilestoneTracking[[#This Row],[E2E_Site_AC]]-Table_SiteMilestoneTracking[[#This Row],[E2E_Site_BL]],"")</f>
        <v/>
      </c>
      <c r="CA18" s="66" t="str">
        <f>IF(Table_SiteMilestoneTracking[[#This Row],[CurrentSiteMilestone]]="SiteInOperations",Table_SiteMilestoneTracking[[#This Row],[SiteInOperations_AC]]-Table_SiteMilestoneTracking[[#This Row],[SiteAccepted_AC]],"")</f>
        <v/>
      </c>
      <c r="CB18" s="79"/>
      <c r="CC18" s="89"/>
      <c r="CD18" s="89"/>
      <c r="CE18" s="70"/>
      <c r="CF18" s="70"/>
      <c r="CG18" s="70"/>
      <c r="CH18" s="70"/>
      <c r="CI18" s="70"/>
      <c r="CJ18" s="70"/>
      <c r="CK18" s="70"/>
      <c r="CL18" s="70"/>
      <c r="CM18" s="70"/>
      <c r="CN18" s="70"/>
      <c r="CO18" s="70"/>
      <c r="CP18" s="70"/>
      <c r="CQ18" s="70"/>
      <c r="CR18" s="70"/>
      <c r="CS18" s="70"/>
      <c r="CT18" s="70"/>
      <c r="CU18" s="70"/>
      <c r="CV18" s="70"/>
      <c r="CW18" s="70"/>
      <c r="CX18" s="70"/>
      <c r="CY18" s="70"/>
      <c r="CZ18" s="70"/>
      <c r="DA18" s="70"/>
      <c r="DB18" s="70"/>
      <c r="DC18" s="70"/>
      <c r="DD18" s="70"/>
      <c r="DE18" s="70"/>
      <c r="DF18" s="70"/>
      <c r="DG18" s="70"/>
      <c r="DH18" s="70"/>
      <c r="DI18" s="70"/>
      <c r="DJ18" s="70"/>
      <c r="DK18" s="70"/>
      <c r="DL18" s="70"/>
      <c r="DM18" s="70"/>
      <c r="DN18" s="70"/>
      <c r="DO18" s="70"/>
      <c r="DP18" s="70"/>
      <c r="DQ18" s="70"/>
      <c r="DR18" s="70"/>
      <c r="DS18" s="70"/>
      <c r="DT18" s="70"/>
      <c r="DU18" s="70"/>
      <c r="DV18" s="70"/>
    </row>
    <row r="19" spans="1:126" x14ac:dyDescent="0.3">
      <c r="A19" s="79" t="str">
        <f>'4. Design Tracking Summary'!A20</f>
        <v>CA00261</v>
      </c>
      <c r="B19" s="79" t="str">
        <f>'4. Design Tracking Summary'!B20</f>
        <v>Center</v>
      </c>
      <c r="C19" s="79" t="str">
        <f>'4. Design Tracking Summary'!C20</f>
        <v>QRO</v>
      </c>
      <c r="D19" s="79" t="str">
        <f>'4. Design Tracking Summary'!D20</f>
        <v>MACRO</v>
      </c>
      <c r="E19" s="79" t="s">
        <v>56</v>
      </c>
      <c r="F19" s="79" t="s">
        <v>335</v>
      </c>
      <c r="G19" s="60" t="str">
        <f>IFERROR(INDEX(Table_SiteMilestonesNames[SiteMilestoneName],COUNTA(Table_SiteMilestoneTracking[[#This Row],[SiteDesignStarted_AC]],Table_SiteMilestoneTracking[[#This Row],[SiteDesignReady_AC]],Table_SiteMilestoneTracking[[#This Row],[SiteSurveyCompleted_AC]],Table_SiteMilestoneTracking[[#This Row],[SiteAcquired_AC]],Table_SiteMilestoneTracking[[#This Row],[SiteReadyForCW_AC]],Table_SiteMilestoneTracking[[#This Row],[SiteReadyForPower_AC]],Table_SiteMilestoneTracking[[#This Row],[TXReady_AC]],Table_SiteMilestoneTracking[[#This Row],[SiteReadyForInstallation_AC]],Table_SiteMilestoneTracking[[#This Row],[SiteReadyForIntegration_AC]],Table_SiteMilestoneTracking[[#This Row],[SiteOnAir_AC]],Table_SiteMilestoneTracking[[#This Row],[SiteAccepted_AC]],Table_SiteMilestoneTracking[[#This Row],[SiteInOperations_AC]])+1),"Invalid Milestone")</f>
        <v>SiteAccepted</v>
      </c>
      <c r="H19" s="61">
        <f>Table_SiteMilestoneTracking[[#This Row],[c0_SiteDesignCostBL]]+Table_SiteMilestoneTracking[[#This Row],[c1_SiteSurveyCostBL]]+Table_SiteMilestoneTracking[[#This Row],[c2_SiteAcquisitionCostBL]]+Table_SiteMilestoneTracking[[#This Row],[c3_CivilWorksCostBL]]+Table_SiteMilestoneTracking[[#This Row],[c4_PowerInstallCostBL]]+Table_SiteMilestoneTracking[[#This Row],[c5_TxintegrationCostBL]]+Table_SiteMilestoneTracking[[#This Row],[c6_InstallationCostBL]]+Table_SiteMilestoneTracking[[#This Row],[c7_IntegrationCostBL]]+Table_SiteMilestoneTracking[[#This Row],[c8_AcceptanceCostBL]]+Table_SiteMilestoneTracking[[#This Row],[c9_HandoverCostBL]]</f>
        <v>7550</v>
      </c>
      <c r="I19" s="62">
        <f>Table_SiteMilestoneTracking[[#This Row],[c0_SiteDesignCostAC]]+Table_SiteMilestoneTracking[[#This Row],[c1_SiteSurveyCostAC]]+Table_SiteMilestoneTracking[[#This Row],[c2_SiteAcquisitionCostAC]]+Table_SiteMilestoneTracking[[#This Row],[c3_CivilWorksCostAC]]+Table_SiteMilestoneTracking[[#This Row],[c4_PowerInstallCostAC]]+Table_SiteMilestoneTracking[[#This Row],[c5_TxintegrationCostAC]]+Table_SiteMilestoneTracking[[#This Row],[c6_InstallationCostAC]]+Table_SiteMilestoneTracking[[#This Row],[c7_IntegrationCostAC]]+Table_SiteMilestoneTracking[[#This Row],[c8_AcceptanceCostAC]]+Table_SiteMilestoneTracking[[#This Row],[c9_HandoverCostAC]]</f>
        <v>7475</v>
      </c>
      <c r="J19" s="84">
        <v>43988</v>
      </c>
      <c r="K19" s="84">
        <v>43989</v>
      </c>
      <c r="L19" s="64">
        <f>IF(ISBLANK(Table_SiteMilestoneTracking[[#This Row],[SiteDesignStarted_AC]])=FALSE,Table_SiteMilestoneTracking[[#This Row],[SiteDesignStarted_AC]]-Table_SiteMilestoneTracking[[#This Row],[SiteDesignStarted_BL]],"")</f>
        <v>1</v>
      </c>
      <c r="M19" s="64">
        <f t="shared" si="0"/>
        <v>500</v>
      </c>
      <c r="N19" s="87">
        <v>500</v>
      </c>
      <c r="O19" s="63">
        <f>Table_SiteMilestoneTracking[[#This Row],[SiteDesignStarted_BL]]+t0_SiteDesignDelayBL</f>
        <v>43990</v>
      </c>
      <c r="P19" s="84">
        <v>43993</v>
      </c>
      <c r="Q19" s="64">
        <f>IF(ISBLANK(Table_SiteMilestoneTracking[[#This Row],[SiteDesignReady_AC]])=FALSE,Table_SiteMilestoneTracking[[#This Row],[SiteDesignReady_AC]]-Table_SiteMilestoneTracking[[#This Row],[SiteDesignReady_BL]],"-")</f>
        <v>3</v>
      </c>
      <c r="R19" s="64">
        <f t="shared" si="5"/>
        <v>500</v>
      </c>
      <c r="S19" s="82">
        <v>375</v>
      </c>
      <c r="T19" s="63">
        <f>Table_SiteMilestoneTracking[[#This Row],[SiteDesignReady_BL]]+t1_SiteSurveyBL</f>
        <v>43992</v>
      </c>
      <c r="U19" s="84">
        <v>43996</v>
      </c>
      <c r="V19" s="64">
        <f>IF(ISBLANK(Table_SiteMilestoneTracking[[#This Row],[SiteSurveyCompleted_AC]])=FALSE,Table_SiteMilestoneTracking[[#This Row],[SiteSurveyCompleted_AC]]-Table_SiteMilestoneTracking[[#This Row],[SiteDesignReady_AC]],"-")</f>
        <v>3</v>
      </c>
      <c r="W19" s="64">
        <f t="shared" si="1"/>
        <v>600</v>
      </c>
      <c r="X19" s="82">
        <v>900</v>
      </c>
      <c r="Y19" s="63">
        <f>Table_SiteMilestoneTracking[[#This Row],[SiteSurveyCompleted_BL]]+t2_SiteAcquisitionBL</f>
        <v>44003</v>
      </c>
      <c r="Z19" s="84">
        <v>44007</v>
      </c>
      <c r="AA19" s="65">
        <f>IF(ISBLANK(Table_SiteMilestoneTracking[[#This Row],[SiteAcquired_AC]])=FALSE,Table_SiteMilestoneTracking[[#This Row],[SiteAcquired_AC]]-Table_SiteMilestoneTracking[[#This Row],[SiteAcquired_BL]],"-")</f>
        <v>4</v>
      </c>
      <c r="AB19" s="65">
        <f>IF(ISBLANK(Table_SiteMilestoneTracking[[#This Row],[SiteAcquired_AC]])=FALSE,Table_SiteMilestoneTracking[[#This Row],[SiteAcquired_AC]]-Table_SiteMilestoneTracking[[#This Row],[SiteSurveyCompleted_AC]],"-")</f>
        <v>11</v>
      </c>
      <c r="AC19" s="64">
        <f t="shared" si="2"/>
        <v>150</v>
      </c>
      <c r="AD19" s="82">
        <v>120</v>
      </c>
      <c r="AE19" s="63">
        <f>Table_SiteMilestoneTracking[[#This Row],[SiteAcquired_BL]]+t2a_SiteCWReadinessBL</f>
        <v>44005</v>
      </c>
      <c r="AF19" s="85">
        <v>44009</v>
      </c>
      <c r="AG19" s="66">
        <f>IF(ISBLANK(Table_SiteMilestoneTracking[[#This Row],[SiteReadyForCW_AC]])=FALSE,Table_SiteMilestoneTracking[[#This Row],[SiteReadyForCW_AC]]-Table_SiteMilestoneTracking[[#This Row],[SiteReadyForCW_BL]],"-")</f>
        <v>4</v>
      </c>
      <c r="AH19" s="66">
        <f>IF(ISBLANK(Table_SiteMilestoneTracking[[#This Row],[SiteReadyForCW_AC]])=FALSE,Table_SiteMilestoneTracking[[#This Row],[SiteReadyForCW_AC]]-Table_SiteMilestoneTracking[[#This Row],[SiteDesignReady_AC]],"-")</f>
        <v>16</v>
      </c>
      <c r="AI19" s="64">
        <f t="shared" si="3"/>
        <v>1500</v>
      </c>
      <c r="AJ19" s="82">
        <v>1350</v>
      </c>
      <c r="AK19" s="63">
        <f>Table_SiteMilestoneTracking[[#This Row],[SiteReadyForCW_BL]]+t3_CivilWorksBL</f>
        <v>44013</v>
      </c>
      <c r="AL19" s="84">
        <v>44017</v>
      </c>
      <c r="AM19" s="64">
        <f>IF(ISBLANK(Table_SiteMilestoneTracking[[#This Row],[SiteReadyForPower_AC]])=FALSE,Table_SiteMilestoneTracking[[#This Row],[SiteReadyForPower_AC]]-Table_SiteMilestoneTracking[[#This Row],[SiteReadyForPower_BL]],"-")</f>
        <v>4</v>
      </c>
      <c r="AN19" s="64">
        <f>IF(ISBLANK(Table_SiteMilestoneTracking[[#This Row],[SiteReadyForPower_AC]])=FALSE,Table_SiteMilestoneTracking[[#This Row],[SiteReadyForPower_AC]]-Table_SiteMilestoneTracking[[#This Row],[SiteReadyForCW_AC]],"-")</f>
        <v>8</v>
      </c>
      <c r="AO19" s="64">
        <f t="shared" si="4"/>
        <v>500</v>
      </c>
      <c r="AP19" s="82">
        <v>650</v>
      </c>
      <c r="AQ19" s="63">
        <f>Table_SiteMilestoneTracking[[#This Row],[SiteReadyForPower_BL]]+t4_PowerInstallBL</f>
        <v>44018</v>
      </c>
      <c r="AR19" s="84">
        <v>44022</v>
      </c>
      <c r="AS19" s="64">
        <f>IF(ISBLANK(Table_SiteMilestoneTracking[[#This Row],[TXReady_AC]])=FALSE,Table_SiteMilestoneTracking[[#This Row],[TXReady_AC]]-Table_SiteMilestoneTracking[[#This Row],[TXReady_BL]],"-")</f>
        <v>4</v>
      </c>
      <c r="AT19" s="64">
        <f>IF(ISBLANK(Table_SiteMilestoneTracking[[#This Row],[TXReady_AC]])=FALSE,Table_SiteMilestoneTracking[[#This Row],[TXReady_AC]]-Table_SiteMilestoneTracking[[#This Row],[SiteReadyForPower_AC]],"-")</f>
        <v>5</v>
      </c>
      <c r="AU19" s="64">
        <f>$AU$2</f>
        <v>500</v>
      </c>
      <c r="AV19" s="82">
        <v>600</v>
      </c>
      <c r="AW19" s="63">
        <f>Table_SiteMilestoneTracking[[#This Row],[TXReady_BL]]+t5_TxintegrationBL</f>
        <v>44025</v>
      </c>
      <c r="AX19" s="84">
        <v>44030</v>
      </c>
      <c r="AY19" s="64">
        <f>IF(ISBLANK(Table_SiteMilestoneTracking[[#This Row],[SiteReadyForInstallation_AC]])=FALSE,Table_SiteMilestoneTracking[[#This Row],[SiteReadyForInstallation_AC]]-Table_SiteMilestoneTracking[[#This Row],[SiteReadyForInstallation_BL]],"-")</f>
        <v>5</v>
      </c>
      <c r="AZ19" s="64">
        <f>IF(ISBLANK(Table_SiteMilestoneTracking[[#This Row],[SiteReadyForInstallation_AC]])=FALSE,Table_SiteMilestoneTracking[[#This Row],[SiteReadyForInstallation_AC]]-Table_SiteMilestoneTracking[[#This Row],[TXReady_AC]],"-")</f>
        <v>8</v>
      </c>
      <c r="BA19" s="64">
        <f>$BA$2</f>
        <v>2500</v>
      </c>
      <c r="BB19" s="82">
        <v>2400</v>
      </c>
      <c r="BC19" s="63">
        <f>Table_SiteMilestoneTracking[[#This Row],[SiteReadyForInstallation_BL]]+t6_InstallationBL</f>
        <v>44029</v>
      </c>
      <c r="BD19" s="84">
        <v>44034</v>
      </c>
      <c r="BE19" s="64">
        <f>IF(ISBLANK(Table_SiteMilestoneTracking[[#This Row],[SiteReadyForIntegration_AC]])=FALSE,Table_SiteMilestoneTracking[[#This Row],[SiteReadyForIntegration_AC]]-Table_SiteMilestoneTracking[[#This Row],[SiteReadyForIntegration_BL]],"-")</f>
        <v>5</v>
      </c>
      <c r="BF19" s="64">
        <f>IF(ISBLANK(Table_SiteMilestoneTracking[[#This Row],[SiteReadyForIntegration_AC]])=FALSE,Table_SiteMilestoneTracking[[#This Row],[SiteReadyForIntegration_AC]]-Table_SiteMilestoneTracking[[#This Row],[SiteReadyForInstallation_AC]],"-")</f>
        <v>4</v>
      </c>
      <c r="BG19" s="64">
        <f>$BG$2</f>
        <v>500</v>
      </c>
      <c r="BH19" s="82">
        <v>450</v>
      </c>
      <c r="BI19" s="63">
        <f>Table_SiteMilestoneTracking[[#This Row],[SiteReadyForIntegration_BL]]+t7_IntegrationBL</f>
        <v>44033</v>
      </c>
      <c r="BJ19" s="84">
        <v>44038</v>
      </c>
      <c r="BK19" s="64">
        <f>IF(ISBLANK(Table_SiteMilestoneTracking[[#This Row],[SiteOnAir_AC]])=FALSE,Table_SiteMilestoneTracking[[#This Row],[SiteOnAir_AC]]-Table_SiteMilestoneTracking[[#This Row],[SiteOnAir_BL]],"-")</f>
        <v>5</v>
      </c>
      <c r="BL19" s="64">
        <f>IF(ISBLANK(Table_SiteMilestoneTracking[[#This Row],[SiteOnAir_AC]])=FALSE,Table_SiteMilestoneTracking[[#This Row],[SiteOnAir_AC]]-Table_SiteMilestoneTracking[[#This Row],[SiteReadyForIntegration_AC]],"-")</f>
        <v>4</v>
      </c>
      <c r="BM19" s="64">
        <f>$BM$2</f>
        <v>250</v>
      </c>
      <c r="BN19" s="82">
        <v>250</v>
      </c>
      <c r="BO19" s="63">
        <f>Table_SiteMilestoneTracking[[#This Row],[SiteOnAir_BL]]+t8_AcceptanceBL</f>
        <v>44037</v>
      </c>
      <c r="BP19" s="84">
        <v>44042</v>
      </c>
      <c r="BQ19" s="64">
        <f>IF(ISBLANK(Table_SiteMilestoneTracking[[#This Row],[SiteAccepted_AC]])=FALSE,Table_SiteMilestoneTracking[[#This Row],[SiteAccepted_AC]]-Table_SiteMilestoneTracking[[#This Row],[SiteAccepted_BL]],"-")</f>
        <v>5</v>
      </c>
      <c r="BR19" s="64">
        <f>IF(ISBLANK(Table_SiteMilestoneTracking[[#This Row],[SiteAccepted_AC]])=FALSE,Table_SiteMilestoneTracking[[#This Row],[SiteAccepted_AC]]-Table_SiteMilestoneTracking[[#This Row],[SiteOnAir_AC]],"-")</f>
        <v>4</v>
      </c>
      <c r="BS19" s="64">
        <f>$BS$2</f>
        <v>200</v>
      </c>
      <c r="BT19" s="82"/>
      <c r="BU19" s="63">
        <f>Table_SiteMilestoneTracking[[#This Row],[SiteAccepted_BL]]+t9_HandoverBL</f>
        <v>44045</v>
      </c>
      <c r="BV19" s="84"/>
      <c r="BW19" s="64" t="str">
        <f>IF(ISBLANK(Table_SiteMilestoneTracking[[#This Row],[SiteInOperations_AC]])=FALSE,Table_SiteMilestoneTracking[[#This Row],[SiteInOperations_AC]]-Table_SiteMilestoneTracking[[#This Row],[SiteInOperations_BL]],"-")</f>
        <v>-</v>
      </c>
      <c r="BX19" s="66">
        <f>Table_SiteMilestoneTracking[[#This Row],[SiteInOperations_BL]]-Table_SiteMilestoneTracking[[#This Row],[SiteDesignReady_BL]]</f>
        <v>55</v>
      </c>
      <c r="BY19" s="66" t="str">
        <f>IF(Table_SiteMilestoneTracking[[#This Row],[CurrentSiteMilestone]]="SiteInOperations",Table_SiteMilestoneTracking[[#This Row],[SiteInOperations_AC]]-Table_SiteMilestoneTracking[[#This Row],[SiteDesignReady_AC]],"")</f>
        <v/>
      </c>
      <c r="BZ19" s="66" t="str">
        <f>IFERROR(Table_SiteMilestoneTracking[[#This Row],[E2E_Site_AC]]-Table_SiteMilestoneTracking[[#This Row],[E2E_Site_BL]],"")</f>
        <v/>
      </c>
      <c r="CA19" s="66" t="str">
        <f>IF(Table_SiteMilestoneTracking[[#This Row],[CurrentSiteMilestone]]="SiteInOperations",Table_SiteMilestoneTracking[[#This Row],[SiteInOperations_AC]]-Table_SiteMilestoneTracking[[#This Row],[SiteAccepted_AC]],"")</f>
        <v/>
      </c>
      <c r="CB19" s="79"/>
      <c r="CC19" s="89"/>
      <c r="CD19" s="89"/>
      <c r="CE19" s="70"/>
      <c r="CF19" s="70"/>
      <c r="CG19" s="70"/>
      <c r="CH19" s="70"/>
      <c r="CI19" s="70"/>
      <c r="CJ19" s="70"/>
      <c r="CK19" s="70"/>
      <c r="CL19" s="70"/>
      <c r="CM19" s="70"/>
      <c r="CN19" s="70"/>
      <c r="CO19" s="70"/>
      <c r="CP19" s="70"/>
      <c r="CQ19" s="70"/>
      <c r="CR19" s="70"/>
      <c r="CS19" s="70"/>
      <c r="CT19" s="70"/>
      <c r="CU19" s="70"/>
      <c r="CV19" s="70"/>
      <c r="CW19" s="70"/>
      <c r="CX19" s="70"/>
      <c r="CY19" s="70"/>
      <c r="CZ19" s="70"/>
      <c r="DA19" s="70"/>
      <c r="DB19" s="70"/>
      <c r="DC19" s="70"/>
      <c r="DD19" s="70"/>
      <c r="DE19" s="70"/>
      <c r="DF19" s="70"/>
      <c r="DG19" s="70"/>
      <c r="DH19" s="70"/>
      <c r="DI19" s="70"/>
      <c r="DJ19" s="70"/>
      <c r="DK19" s="70"/>
      <c r="DL19" s="70"/>
      <c r="DM19" s="70"/>
      <c r="DN19" s="70"/>
      <c r="DO19" s="70"/>
      <c r="DP19" s="70"/>
      <c r="DQ19" s="70"/>
      <c r="DR19" s="70"/>
      <c r="DS19" s="70"/>
      <c r="DT19" s="70"/>
      <c r="DU19" s="70"/>
      <c r="DV19" s="70"/>
    </row>
    <row r="20" spans="1:126" x14ac:dyDescent="0.3">
      <c r="A20" s="79" t="str">
        <f>'4. Design Tracking Summary'!A21</f>
        <v>CA00262</v>
      </c>
      <c r="B20" s="79" t="str">
        <f>'4. Design Tracking Summary'!B21</f>
        <v>South</v>
      </c>
      <c r="C20" s="79" t="str">
        <f>'4. Design Tracking Summary'!C21</f>
        <v>VER</v>
      </c>
      <c r="D20" s="79" t="str">
        <f>'4. Design Tracking Summary'!D21</f>
        <v>MINI</v>
      </c>
      <c r="E20" s="79" t="s">
        <v>57</v>
      </c>
      <c r="F20" s="79" t="s">
        <v>336</v>
      </c>
      <c r="G20" s="60" t="str">
        <f>IFERROR(INDEX(Table_SiteMilestonesNames[SiteMilestoneName],COUNTA(Table_SiteMilestoneTracking[[#This Row],[SiteDesignStarted_AC]],Table_SiteMilestoneTracking[[#This Row],[SiteDesignReady_AC]],Table_SiteMilestoneTracking[[#This Row],[SiteSurveyCompleted_AC]],Table_SiteMilestoneTracking[[#This Row],[SiteAcquired_AC]],Table_SiteMilestoneTracking[[#This Row],[SiteReadyForCW_AC]],Table_SiteMilestoneTracking[[#This Row],[SiteReadyForPower_AC]],Table_SiteMilestoneTracking[[#This Row],[TXReady_AC]],Table_SiteMilestoneTracking[[#This Row],[SiteReadyForInstallation_AC]],Table_SiteMilestoneTracking[[#This Row],[SiteReadyForIntegration_AC]],Table_SiteMilestoneTracking[[#This Row],[SiteOnAir_AC]],Table_SiteMilestoneTracking[[#This Row],[SiteAccepted_AC]],Table_SiteMilestoneTracking[[#This Row],[SiteInOperations_AC]])+1),"Invalid Milestone")</f>
        <v>SiteAccepted</v>
      </c>
      <c r="H20" s="61">
        <f>Table_SiteMilestoneTracking[[#This Row],[c0_SiteDesignCostBL]]+Table_SiteMilestoneTracking[[#This Row],[c1_SiteSurveyCostBL]]+Table_SiteMilestoneTracking[[#This Row],[c2_SiteAcquisitionCostBL]]+Table_SiteMilestoneTracking[[#This Row],[c3_CivilWorksCostBL]]+Table_SiteMilestoneTracking[[#This Row],[c4_PowerInstallCostBL]]+Table_SiteMilestoneTracking[[#This Row],[c5_TxintegrationCostBL]]+Table_SiteMilestoneTracking[[#This Row],[c6_InstallationCostBL]]+Table_SiteMilestoneTracking[[#This Row],[c7_IntegrationCostBL]]+Table_SiteMilestoneTracking[[#This Row],[c8_AcceptanceCostBL]]+Table_SiteMilestoneTracking[[#This Row],[c9_HandoverCostBL]]</f>
        <v>7550</v>
      </c>
      <c r="I20" s="62">
        <f>Table_SiteMilestoneTracking[[#This Row],[c0_SiteDesignCostAC]]+Table_SiteMilestoneTracking[[#This Row],[c1_SiteSurveyCostAC]]+Table_SiteMilestoneTracking[[#This Row],[c2_SiteAcquisitionCostAC]]+Table_SiteMilestoneTracking[[#This Row],[c3_CivilWorksCostAC]]+Table_SiteMilestoneTracking[[#This Row],[c4_PowerInstallCostAC]]+Table_SiteMilestoneTracking[[#This Row],[c5_TxintegrationCostAC]]+Table_SiteMilestoneTracking[[#This Row],[c6_InstallationCostAC]]+Table_SiteMilestoneTracking[[#This Row],[c7_IntegrationCostAC]]+Table_SiteMilestoneTracking[[#This Row],[c8_AcceptanceCostAC]]+Table_SiteMilestoneTracking[[#This Row],[c9_HandoverCostAC]]</f>
        <v>6865</v>
      </c>
      <c r="J20" s="84">
        <v>43995</v>
      </c>
      <c r="K20" s="84">
        <v>43997</v>
      </c>
      <c r="L20" s="64">
        <f>IF(ISBLANK(Table_SiteMilestoneTracking[[#This Row],[SiteDesignStarted_AC]])=FALSE,Table_SiteMilestoneTracking[[#This Row],[SiteDesignStarted_AC]]-Table_SiteMilestoneTracking[[#This Row],[SiteDesignStarted_BL]],"")</f>
        <v>2</v>
      </c>
      <c r="M20" s="64">
        <f t="shared" si="0"/>
        <v>500</v>
      </c>
      <c r="N20" s="87">
        <v>520</v>
      </c>
      <c r="O20" s="63">
        <f>Table_SiteMilestoneTracking[[#This Row],[SiteDesignStarted_BL]]+t0_SiteDesignDelayBL</f>
        <v>43997</v>
      </c>
      <c r="P20" s="84">
        <v>43998</v>
      </c>
      <c r="Q20" s="64">
        <f>IF(ISBLANK(Table_SiteMilestoneTracking[[#This Row],[SiteDesignReady_AC]])=FALSE,Table_SiteMilestoneTracking[[#This Row],[SiteDesignReady_AC]]-Table_SiteMilestoneTracking[[#This Row],[SiteDesignReady_BL]],"-")</f>
        <v>1</v>
      </c>
      <c r="R20" s="64">
        <f t="shared" si="5"/>
        <v>500</v>
      </c>
      <c r="S20" s="82">
        <v>825</v>
      </c>
      <c r="T20" s="63">
        <f>Table_SiteMilestoneTracking[[#This Row],[SiteDesignReady_BL]]+t1_SiteSurveyBL</f>
        <v>43999</v>
      </c>
      <c r="U20" s="84">
        <v>44001</v>
      </c>
      <c r="V20" s="64">
        <f>IF(ISBLANK(Table_SiteMilestoneTracking[[#This Row],[SiteSurveyCompleted_AC]])=FALSE,Table_SiteMilestoneTracking[[#This Row],[SiteSurveyCompleted_AC]]-Table_SiteMilestoneTracking[[#This Row],[SiteDesignReady_AC]],"-")</f>
        <v>3</v>
      </c>
      <c r="W20" s="64">
        <f t="shared" si="1"/>
        <v>600</v>
      </c>
      <c r="X20" s="82">
        <v>720</v>
      </c>
      <c r="Y20" s="63">
        <f>Table_SiteMilestoneTracking[[#This Row],[SiteSurveyCompleted_BL]]+t2_SiteAcquisitionBL</f>
        <v>44010</v>
      </c>
      <c r="Z20" s="84">
        <v>44013</v>
      </c>
      <c r="AA20" s="65">
        <f>IF(ISBLANK(Table_SiteMilestoneTracking[[#This Row],[SiteAcquired_AC]])=FALSE,Table_SiteMilestoneTracking[[#This Row],[SiteAcquired_AC]]-Table_SiteMilestoneTracking[[#This Row],[SiteAcquired_BL]],"-")</f>
        <v>3</v>
      </c>
      <c r="AB20" s="65">
        <f>IF(ISBLANK(Table_SiteMilestoneTracking[[#This Row],[SiteAcquired_AC]])=FALSE,Table_SiteMilestoneTracking[[#This Row],[SiteAcquired_AC]]-Table_SiteMilestoneTracking[[#This Row],[SiteSurveyCompleted_AC]],"-")</f>
        <v>12</v>
      </c>
      <c r="AC20" s="64">
        <f t="shared" si="2"/>
        <v>150</v>
      </c>
      <c r="AD20" s="82">
        <v>150</v>
      </c>
      <c r="AE20" s="63">
        <f>Table_SiteMilestoneTracking[[#This Row],[SiteAcquired_BL]]+t2a_SiteCWReadinessBL</f>
        <v>44012</v>
      </c>
      <c r="AF20" s="85">
        <v>44015</v>
      </c>
      <c r="AG20" s="66">
        <f>IF(ISBLANK(Table_SiteMilestoneTracking[[#This Row],[SiteReadyForCW_AC]])=FALSE,Table_SiteMilestoneTracking[[#This Row],[SiteReadyForCW_AC]]-Table_SiteMilestoneTracking[[#This Row],[SiteReadyForCW_BL]],"-")</f>
        <v>3</v>
      </c>
      <c r="AH20" s="66">
        <f>IF(ISBLANK(Table_SiteMilestoneTracking[[#This Row],[SiteReadyForCW_AC]])=FALSE,Table_SiteMilestoneTracking[[#This Row],[SiteReadyForCW_AC]]-Table_SiteMilestoneTracking[[#This Row],[SiteDesignReady_AC]],"-")</f>
        <v>17</v>
      </c>
      <c r="AI20" s="64">
        <f t="shared" si="3"/>
        <v>1500</v>
      </c>
      <c r="AJ20" s="82">
        <v>1200</v>
      </c>
      <c r="AK20" s="63">
        <f>Table_SiteMilestoneTracking[[#This Row],[SiteReadyForCW_BL]]+t3_CivilWorksBL</f>
        <v>44020</v>
      </c>
      <c r="AL20" s="84">
        <v>44023</v>
      </c>
      <c r="AM20" s="64">
        <f>IF(ISBLANK(Table_SiteMilestoneTracking[[#This Row],[SiteReadyForPower_AC]])=FALSE,Table_SiteMilestoneTracking[[#This Row],[SiteReadyForPower_AC]]-Table_SiteMilestoneTracking[[#This Row],[SiteReadyForPower_BL]],"-")</f>
        <v>3</v>
      </c>
      <c r="AN20" s="64">
        <f>IF(ISBLANK(Table_SiteMilestoneTracking[[#This Row],[SiteReadyForPower_AC]])=FALSE,Table_SiteMilestoneTracking[[#This Row],[SiteReadyForPower_AC]]-Table_SiteMilestoneTracking[[#This Row],[SiteReadyForCW_AC]],"-")</f>
        <v>8</v>
      </c>
      <c r="AO20" s="64">
        <f t="shared" si="4"/>
        <v>500</v>
      </c>
      <c r="AP20" s="82">
        <v>350</v>
      </c>
      <c r="AQ20" s="63">
        <f>Table_SiteMilestoneTracking[[#This Row],[SiteReadyForPower_BL]]+t4_PowerInstallBL</f>
        <v>44025</v>
      </c>
      <c r="AR20" s="84">
        <v>44028</v>
      </c>
      <c r="AS20" s="64">
        <f>IF(ISBLANK(Table_SiteMilestoneTracking[[#This Row],[TXReady_AC]])=FALSE,Table_SiteMilestoneTracking[[#This Row],[TXReady_AC]]-Table_SiteMilestoneTracking[[#This Row],[TXReady_BL]],"-")</f>
        <v>3</v>
      </c>
      <c r="AT20" s="64">
        <f>IF(ISBLANK(Table_SiteMilestoneTracking[[#This Row],[TXReady_AC]])=FALSE,Table_SiteMilestoneTracking[[#This Row],[TXReady_AC]]-Table_SiteMilestoneTracking[[#This Row],[SiteReadyForPower_AC]],"-")</f>
        <v>5</v>
      </c>
      <c r="AU20" s="64">
        <f>$AU$2</f>
        <v>500</v>
      </c>
      <c r="AV20" s="82">
        <v>500</v>
      </c>
      <c r="AW20" s="63">
        <f>Table_SiteMilestoneTracking[[#This Row],[TXReady_BL]]+t5_TxintegrationBL</f>
        <v>44032</v>
      </c>
      <c r="AX20" s="84">
        <v>44035</v>
      </c>
      <c r="AY20" s="64">
        <f>IF(ISBLANK(Table_SiteMilestoneTracking[[#This Row],[SiteReadyForInstallation_AC]])=FALSE,Table_SiteMilestoneTracking[[#This Row],[SiteReadyForInstallation_AC]]-Table_SiteMilestoneTracking[[#This Row],[SiteReadyForInstallation_BL]],"-")</f>
        <v>3</v>
      </c>
      <c r="AZ20" s="64">
        <f>IF(ISBLANK(Table_SiteMilestoneTracking[[#This Row],[SiteReadyForInstallation_AC]])=FALSE,Table_SiteMilestoneTracking[[#This Row],[SiteReadyForInstallation_AC]]-Table_SiteMilestoneTracking[[#This Row],[TXReady_AC]],"-")</f>
        <v>7</v>
      </c>
      <c r="BA20" s="64">
        <f>$BA$2</f>
        <v>2500</v>
      </c>
      <c r="BB20" s="82">
        <v>2050</v>
      </c>
      <c r="BC20" s="63">
        <f>Table_SiteMilestoneTracking[[#This Row],[SiteReadyForInstallation_BL]]+t6_InstallationBL</f>
        <v>44036</v>
      </c>
      <c r="BD20" s="84">
        <v>44039</v>
      </c>
      <c r="BE20" s="64">
        <f>IF(ISBLANK(Table_SiteMilestoneTracking[[#This Row],[SiteReadyForIntegration_AC]])=FALSE,Table_SiteMilestoneTracking[[#This Row],[SiteReadyForIntegration_AC]]-Table_SiteMilestoneTracking[[#This Row],[SiteReadyForIntegration_BL]],"-")</f>
        <v>3</v>
      </c>
      <c r="BF20" s="64">
        <f>IF(ISBLANK(Table_SiteMilestoneTracking[[#This Row],[SiteReadyForIntegration_AC]])=FALSE,Table_SiteMilestoneTracking[[#This Row],[SiteReadyForIntegration_AC]]-Table_SiteMilestoneTracking[[#This Row],[SiteReadyForInstallation_AC]],"-")</f>
        <v>4</v>
      </c>
      <c r="BG20" s="64">
        <f>$BG$2</f>
        <v>500</v>
      </c>
      <c r="BH20" s="82">
        <v>450</v>
      </c>
      <c r="BI20" s="63">
        <f>Table_SiteMilestoneTracking[[#This Row],[SiteReadyForIntegration_BL]]+t7_IntegrationBL</f>
        <v>44040</v>
      </c>
      <c r="BJ20" s="84">
        <v>44044</v>
      </c>
      <c r="BK20" s="64">
        <f>IF(ISBLANK(Table_SiteMilestoneTracking[[#This Row],[SiteOnAir_AC]])=FALSE,Table_SiteMilestoneTracking[[#This Row],[SiteOnAir_AC]]-Table_SiteMilestoneTracking[[#This Row],[SiteOnAir_BL]],"-")</f>
        <v>4</v>
      </c>
      <c r="BL20" s="64">
        <f>IF(ISBLANK(Table_SiteMilestoneTracking[[#This Row],[SiteOnAir_AC]])=FALSE,Table_SiteMilestoneTracking[[#This Row],[SiteOnAir_AC]]-Table_SiteMilestoneTracking[[#This Row],[SiteReadyForIntegration_AC]],"-")</f>
        <v>5</v>
      </c>
      <c r="BM20" s="64">
        <f>$BM$2</f>
        <v>250</v>
      </c>
      <c r="BN20" s="82">
        <v>250</v>
      </c>
      <c r="BO20" s="63">
        <f>Table_SiteMilestoneTracking[[#This Row],[SiteOnAir_BL]]+t8_AcceptanceBL</f>
        <v>44044</v>
      </c>
      <c r="BP20" s="84">
        <v>44049</v>
      </c>
      <c r="BQ20" s="64">
        <f>IF(ISBLANK(Table_SiteMilestoneTracking[[#This Row],[SiteAccepted_AC]])=FALSE,Table_SiteMilestoneTracking[[#This Row],[SiteAccepted_AC]]-Table_SiteMilestoneTracking[[#This Row],[SiteAccepted_BL]],"-")</f>
        <v>5</v>
      </c>
      <c r="BR20" s="64">
        <f>IF(ISBLANK(Table_SiteMilestoneTracking[[#This Row],[SiteAccepted_AC]])=FALSE,Table_SiteMilestoneTracking[[#This Row],[SiteAccepted_AC]]-Table_SiteMilestoneTracking[[#This Row],[SiteOnAir_AC]],"-")</f>
        <v>5</v>
      </c>
      <c r="BS20" s="64">
        <f>$BS$2</f>
        <v>200</v>
      </c>
      <c r="BT20" s="82"/>
      <c r="BU20" s="63">
        <f>Table_SiteMilestoneTracking[[#This Row],[SiteAccepted_BL]]+t9_HandoverBL</f>
        <v>44052</v>
      </c>
      <c r="BV20" s="84"/>
      <c r="BW20" s="64" t="str">
        <f>IF(ISBLANK(Table_SiteMilestoneTracking[[#This Row],[SiteInOperations_AC]])=FALSE,Table_SiteMilestoneTracking[[#This Row],[SiteInOperations_AC]]-Table_SiteMilestoneTracking[[#This Row],[SiteInOperations_BL]],"-")</f>
        <v>-</v>
      </c>
      <c r="BX20" s="66">
        <f>Table_SiteMilestoneTracking[[#This Row],[SiteInOperations_BL]]-Table_SiteMilestoneTracking[[#This Row],[SiteDesignReady_BL]]</f>
        <v>55</v>
      </c>
      <c r="BY20" s="66" t="str">
        <f>IF(Table_SiteMilestoneTracking[[#This Row],[CurrentSiteMilestone]]="SiteInOperations",Table_SiteMilestoneTracking[[#This Row],[SiteInOperations_AC]]-Table_SiteMilestoneTracking[[#This Row],[SiteDesignReady_AC]],"")</f>
        <v/>
      </c>
      <c r="BZ20" s="66" t="str">
        <f>IFERROR(Table_SiteMilestoneTracking[[#This Row],[E2E_Site_AC]]-Table_SiteMilestoneTracking[[#This Row],[E2E_Site_BL]],"")</f>
        <v/>
      </c>
      <c r="CA20" s="66" t="str">
        <f>IF(Table_SiteMilestoneTracking[[#This Row],[CurrentSiteMilestone]]="SiteInOperations",Table_SiteMilestoneTracking[[#This Row],[SiteInOperations_AC]]-Table_SiteMilestoneTracking[[#This Row],[SiteAccepted_AC]],"")</f>
        <v/>
      </c>
      <c r="CB20" s="79"/>
      <c r="CC20" s="89"/>
      <c r="CD20" s="89"/>
      <c r="CE20" s="70"/>
      <c r="CF20" s="70"/>
      <c r="CG20" s="70"/>
      <c r="CH20" s="70"/>
      <c r="CI20" s="70"/>
      <c r="CJ20" s="70"/>
      <c r="CK20" s="70"/>
      <c r="CL20" s="70"/>
      <c r="CM20" s="70"/>
      <c r="CN20" s="70"/>
      <c r="CO20" s="70"/>
      <c r="CP20" s="70"/>
      <c r="CQ20" s="70"/>
      <c r="CR20" s="70"/>
      <c r="CS20" s="70"/>
      <c r="CT20" s="70"/>
      <c r="CU20" s="70"/>
      <c r="CV20" s="70"/>
      <c r="CW20" s="70"/>
      <c r="CX20" s="70"/>
      <c r="CY20" s="70"/>
      <c r="CZ20" s="70"/>
      <c r="DA20" s="70"/>
      <c r="DB20" s="70"/>
      <c r="DC20" s="70"/>
      <c r="DD20" s="70"/>
      <c r="DE20" s="70"/>
      <c r="DF20" s="70"/>
      <c r="DG20" s="70"/>
      <c r="DH20" s="70"/>
      <c r="DI20" s="70"/>
      <c r="DJ20" s="70"/>
      <c r="DK20" s="70"/>
      <c r="DL20" s="70"/>
      <c r="DM20" s="70"/>
      <c r="DN20" s="70"/>
      <c r="DO20" s="70"/>
      <c r="DP20" s="70"/>
      <c r="DQ20" s="70"/>
      <c r="DR20" s="70"/>
      <c r="DS20" s="70"/>
      <c r="DT20" s="70"/>
      <c r="DU20" s="70"/>
      <c r="DV20" s="70"/>
    </row>
    <row r="21" spans="1:126" x14ac:dyDescent="0.3">
      <c r="A21" s="79" t="str">
        <f>'4. Design Tracking Summary'!A22</f>
        <v>CA00263</v>
      </c>
      <c r="B21" s="79" t="str">
        <f>'4. Design Tracking Summary'!B22</f>
        <v>South</v>
      </c>
      <c r="C21" s="79" t="str">
        <f>'4. Design Tracking Summary'!C22</f>
        <v>CHI</v>
      </c>
      <c r="D21" s="79" t="str">
        <f>'4. Design Tracking Summary'!D22</f>
        <v>SMALL</v>
      </c>
      <c r="E21" s="79" t="s">
        <v>58</v>
      </c>
      <c r="F21" s="79"/>
      <c r="G21" s="60" t="str">
        <f>IFERROR(INDEX(Table_SiteMilestonesNames[SiteMilestoneName],COUNTA(Table_SiteMilestoneTracking[[#This Row],[SiteDesignStarted_AC]],Table_SiteMilestoneTracking[[#This Row],[SiteDesignReady_AC]],Table_SiteMilestoneTracking[[#This Row],[SiteSurveyCompleted_AC]],Table_SiteMilestoneTracking[[#This Row],[SiteAcquired_AC]],Table_SiteMilestoneTracking[[#This Row],[SiteReadyForCW_AC]],Table_SiteMilestoneTracking[[#This Row],[SiteReadyForPower_AC]],Table_SiteMilestoneTracking[[#This Row],[TXReady_AC]],Table_SiteMilestoneTracking[[#This Row],[SiteReadyForInstallation_AC]],Table_SiteMilestoneTracking[[#This Row],[SiteReadyForIntegration_AC]],Table_SiteMilestoneTracking[[#This Row],[SiteOnAir_AC]],Table_SiteMilestoneTracking[[#This Row],[SiteAccepted_AC]],Table_SiteMilestoneTracking[[#This Row],[SiteInOperations_AC]])+1),"Invalid Milestone")</f>
        <v>SiteAccepted</v>
      </c>
      <c r="H21" s="61">
        <f>Table_SiteMilestoneTracking[[#This Row],[c0_SiteDesignCostBL]]+Table_SiteMilestoneTracking[[#This Row],[c1_SiteSurveyCostBL]]+Table_SiteMilestoneTracking[[#This Row],[c2_SiteAcquisitionCostBL]]+Table_SiteMilestoneTracking[[#This Row],[c3_CivilWorksCostBL]]+Table_SiteMilestoneTracking[[#This Row],[c4_PowerInstallCostBL]]+Table_SiteMilestoneTracking[[#This Row],[c5_TxintegrationCostBL]]+Table_SiteMilestoneTracking[[#This Row],[c6_InstallationCostBL]]+Table_SiteMilestoneTracking[[#This Row],[c7_IntegrationCostBL]]+Table_SiteMilestoneTracking[[#This Row],[c8_AcceptanceCostBL]]+Table_SiteMilestoneTracking[[#This Row],[c9_HandoverCostBL]]</f>
        <v>7550</v>
      </c>
      <c r="I21" s="62">
        <f>Table_SiteMilestoneTracking[[#This Row],[c0_SiteDesignCostAC]]+Table_SiteMilestoneTracking[[#This Row],[c1_SiteSurveyCostAC]]+Table_SiteMilestoneTracking[[#This Row],[c2_SiteAcquisitionCostAC]]+Table_SiteMilestoneTracking[[#This Row],[c3_CivilWorksCostAC]]+Table_SiteMilestoneTracking[[#This Row],[c4_PowerInstallCostAC]]+Table_SiteMilestoneTracking[[#This Row],[c5_TxintegrationCostAC]]+Table_SiteMilestoneTracking[[#This Row],[c6_InstallationCostAC]]+Table_SiteMilestoneTracking[[#This Row],[c7_IntegrationCostAC]]+Table_SiteMilestoneTracking[[#This Row],[c8_AcceptanceCostAC]]+Table_SiteMilestoneTracking[[#This Row],[c9_HandoverCostAC]]</f>
        <v>7155</v>
      </c>
      <c r="J21" s="84">
        <v>43995</v>
      </c>
      <c r="K21" s="84">
        <v>43996</v>
      </c>
      <c r="L21" s="64">
        <f>IF(ISBLANK(Table_SiteMilestoneTracking[[#This Row],[SiteDesignStarted_AC]])=FALSE,Table_SiteMilestoneTracking[[#This Row],[SiteDesignStarted_AC]]-Table_SiteMilestoneTracking[[#This Row],[SiteDesignStarted_BL]],"")</f>
        <v>1</v>
      </c>
      <c r="M21" s="64">
        <f t="shared" si="0"/>
        <v>500</v>
      </c>
      <c r="N21" s="87">
        <v>420</v>
      </c>
      <c r="O21" s="63">
        <f>Table_SiteMilestoneTracking[[#This Row],[SiteDesignStarted_BL]]+t0_SiteDesignDelayBL</f>
        <v>43997</v>
      </c>
      <c r="P21" s="84">
        <v>43998</v>
      </c>
      <c r="Q21" s="64">
        <f>IF(ISBLANK(Table_SiteMilestoneTracking[[#This Row],[SiteDesignReady_AC]])=FALSE,Table_SiteMilestoneTracking[[#This Row],[SiteDesignReady_AC]]-Table_SiteMilestoneTracking[[#This Row],[SiteDesignReady_BL]],"-")</f>
        <v>1</v>
      </c>
      <c r="R21" s="64">
        <f t="shared" si="5"/>
        <v>500</v>
      </c>
      <c r="S21" s="82">
        <v>525</v>
      </c>
      <c r="T21" s="63">
        <f>Table_SiteMilestoneTracking[[#This Row],[SiteDesignReady_BL]]+t1_SiteSurveyBL</f>
        <v>43999</v>
      </c>
      <c r="U21" s="84">
        <v>44001</v>
      </c>
      <c r="V21" s="64">
        <f>IF(ISBLANK(Table_SiteMilestoneTracking[[#This Row],[SiteSurveyCompleted_AC]])=FALSE,Table_SiteMilestoneTracking[[#This Row],[SiteSurveyCompleted_AC]]-Table_SiteMilestoneTracking[[#This Row],[SiteDesignReady_AC]],"-")</f>
        <v>3</v>
      </c>
      <c r="W21" s="64">
        <f t="shared" si="1"/>
        <v>600</v>
      </c>
      <c r="X21" s="82">
        <v>780</v>
      </c>
      <c r="Y21" s="63">
        <f>Table_SiteMilestoneTracking[[#This Row],[SiteSurveyCompleted_BL]]+t2_SiteAcquisitionBL</f>
        <v>44010</v>
      </c>
      <c r="Z21" s="84">
        <v>44012</v>
      </c>
      <c r="AA21" s="65">
        <f>IF(ISBLANK(Table_SiteMilestoneTracking[[#This Row],[SiteAcquired_AC]])=FALSE,Table_SiteMilestoneTracking[[#This Row],[SiteAcquired_AC]]-Table_SiteMilestoneTracking[[#This Row],[SiteAcquired_BL]],"-")</f>
        <v>2</v>
      </c>
      <c r="AB21" s="65">
        <f>IF(ISBLANK(Table_SiteMilestoneTracking[[#This Row],[SiteAcquired_AC]])=FALSE,Table_SiteMilestoneTracking[[#This Row],[SiteAcquired_AC]]-Table_SiteMilestoneTracking[[#This Row],[SiteSurveyCompleted_AC]],"-")</f>
        <v>11</v>
      </c>
      <c r="AC21" s="64">
        <f t="shared" si="2"/>
        <v>150</v>
      </c>
      <c r="AD21" s="82">
        <v>135</v>
      </c>
      <c r="AE21" s="63">
        <f>Table_SiteMilestoneTracking[[#This Row],[SiteAcquired_BL]]+t2a_SiteCWReadinessBL</f>
        <v>44012</v>
      </c>
      <c r="AF21" s="85">
        <v>44015</v>
      </c>
      <c r="AG21" s="66">
        <f>IF(ISBLANK(Table_SiteMilestoneTracking[[#This Row],[SiteReadyForCW_AC]])=FALSE,Table_SiteMilestoneTracking[[#This Row],[SiteReadyForCW_AC]]-Table_SiteMilestoneTracking[[#This Row],[SiteReadyForCW_BL]],"-")</f>
        <v>3</v>
      </c>
      <c r="AH21" s="66">
        <f>IF(ISBLANK(Table_SiteMilestoneTracking[[#This Row],[SiteReadyForCW_AC]])=FALSE,Table_SiteMilestoneTracking[[#This Row],[SiteReadyForCW_AC]]-Table_SiteMilestoneTracking[[#This Row],[SiteDesignReady_AC]],"-")</f>
        <v>17</v>
      </c>
      <c r="AI21" s="64">
        <f t="shared" si="3"/>
        <v>1500</v>
      </c>
      <c r="AJ21" s="82">
        <v>1200</v>
      </c>
      <c r="AK21" s="63">
        <f>Table_SiteMilestoneTracking[[#This Row],[SiteReadyForCW_BL]]+t3_CivilWorksBL</f>
        <v>44020</v>
      </c>
      <c r="AL21" s="84">
        <v>44023</v>
      </c>
      <c r="AM21" s="64">
        <f>IF(ISBLANK(Table_SiteMilestoneTracking[[#This Row],[SiteReadyForPower_AC]])=FALSE,Table_SiteMilestoneTracking[[#This Row],[SiteReadyForPower_AC]]-Table_SiteMilestoneTracking[[#This Row],[SiteReadyForPower_BL]],"-")</f>
        <v>3</v>
      </c>
      <c r="AN21" s="64">
        <f>IF(ISBLANK(Table_SiteMilestoneTracking[[#This Row],[SiteReadyForPower_AC]])=FALSE,Table_SiteMilestoneTracking[[#This Row],[SiteReadyForPower_AC]]-Table_SiteMilestoneTracking[[#This Row],[SiteReadyForCW_AC]],"-")</f>
        <v>8</v>
      </c>
      <c r="AO21" s="64">
        <f t="shared" si="4"/>
        <v>500</v>
      </c>
      <c r="AP21" s="82">
        <v>600</v>
      </c>
      <c r="AQ21" s="63">
        <f>Table_SiteMilestoneTracking[[#This Row],[SiteReadyForPower_BL]]+t4_PowerInstallBL</f>
        <v>44025</v>
      </c>
      <c r="AR21" s="84">
        <v>44028</v>
      </c>
      <c r="AS21" s="64">
        <f>IF(ISBLANK(Table_SiteMilestoneTracking[[#This Row],[TXReady_AC]])=FALSE,Table_SiteMilestoneTracking[[#This Row],[TXReady_AC]]-Table_SiteMilestoneTracking[[#This Row],[TXReady_BL]],"-")</f>
        <v>3</v>
      </c>
      <c r="AT21" s="64">
        <f>IF(ISBLANK(Table_SiteMilestoneTracking[[#This Row],[TXReady_AC]])=FALSE,Table_SiteMilestoneTracking[[#This Row],[TXReady_AC]]-Table_SiteMilestoneTracking[[#This Row],[SiteReadyForPower_AC]],"-")</f>
        <v>5</v>
      </c>
      <c r="AU21" s="64">
        <f>$AU$2</f>
        <v>500</v>
      </c>
      <c r="AV21" s="82">
        <v>700</v>
      </c>
      <c r="AW21" s="63">
        <f>Table_SiteMilestoneTracking[[#This Row],[TXReady_BL]]+t5_TxintegrationBL</f>
        <v>44032</v>
      </c>
      <c r="AX21" s="84">
        <v>44035</v>
      </c>
      <c r="AY21" s="64">
        <f>IF(ISBLANK(Table_SiteMilestoneTracking[[#This Row],[SiteReadyForInstallation_AC]])=FALSE,Table_SiteMilestoneTracking[[#This Row],[SiteReadyForInstallation_AC]]-Table_SiteMilestoneTracking[[#This Row],[SiteReadyForInstallation_BL]],"-")</f>
        <v>3</v>
      </c>
      <c r="AZ21" s="64">
        <f>IF(ISBLANK(Table_SiteMilestoneTracking[[#This Row],[SiteReadyForInstallation_AC]])=FALSE,Table_SiteMilestoneTracking[[#This Row],[SiteReadyForInstallation_AC]]-Table_SiteMilestoneTracking[[#This Row],[TXReady_AC]],"-")</f>
        <v>7</v>
      </c>
      <c r="BA21" s="64">
        <f>$BA$2</f>
        <v>2500</v>
      </c>
      <c r="BB21" s="82">
        <v>2200.0000000000005</v>
      </c>
      <c r="BC21" s="63">
        <f>Table_SiteMilestoneTracking[[#This Row],[SiteReadyForInstallation_BL]]+t6_InstallationBL</f>
        <v>44036</v>
      </c>
      <c r="BD21" s="84">
        <v>44039</v>
      </c>
      <c r="BE21" s="64">
        <f>IF(ISBLANK(Table_SiteMilestoneTracking[[#This Row],[SiteReadyForIntegration_AC]])=FALSE,Table_SiteMilestoneTracking[[#This Row],[SiteReadyForIntegration_AC]]-Table_SiteMilestoneTracking[[#This Row],[SiteReadyForIntegration_BL]],"-")</f>
        <v>3</v>
      </c>
      <c r="BF21" s="64">
        <f>IF(ISBLANK(Table_SiteMilestoneTracking[[#This Row],[SiteReadyForIntegration_AC]])=FALSE,Table_SiteMilestoneTracking[[#This Row],[SiteReadyForIntegration_AC]]-Table_SiteMilestoneTracking[[#This Row],[SiteReadyForInstallation_AC]],"-")</f>
        <v>4</v>
      </c>
      <c r="BG21" s="64">
        <f>$BG$2</f>
        <v>500</v>
      </c>
      <c r="BH21" s="82">
        <v>480</v>
      </c>
      <c r="BI21" s="63">
        <f>Table_SiteMilestoneTracking[[#This Row],[SiteReadyForIntegration_BL]]+t7_IntegrationBL</f>
        <v>44040</v>
      </c>
      <c r="BJ21" s="84">
        <v>44043</v>
      </c>
      <c r="BK21" s="64">
        <f>IF(ISBLANK(Table_SiteMilestoneTracking[[#This Row],[SiteOnAir_AC]])=FALSE,Table_SiteMilestoneTracking[[#This Row],[SiteOnAir_AC]]-Table_SiteMilestoneTracking[[#This Row],[SiteOnAir_BL]],"-")</f>
        <v>3</v>
      </c>
      <c r="BL21" s="64">
        <f>IF(ISBLANK(Table_SiteMilestoneTracking[[#This Row],[SiteOnAir_AC]])=FALSE,Table_SiteMilestoneTracking[[#This Row],[SiteOnAir_AC]]-Table_SiteMilestoneTracking[[#This Row],[SiteReadyForIntegration_AC]],"-")</f>
        <v>4</v>
      </c>
      <c r="BM21" s="64">
        <f>$BM$2</f>
        <v>250</v>
      </c>
      <c r="BN21" s="82">
        <v>250</v>
      </c>
      <c r="BO21" s="63">
        <f>Table_SiteMilestoneTracking[[#This Row],[SiteOnAir_BL]]+t8_AcceptanceBL</f>
        <v>44044</v>
      </c>
      <c r="BP21" s="84">
        <v>44044</v>
      </c>
      <c r="BQ21" s="64">
        <f>IF(ISBLANK(Table_SiteMilestoneTracking[[#This Row],[SiteAccepted_AC]])=FALSE,Table_SiteMilestoneTracking[[#This Row],[SiteAccepted_AC]]-Table_SiteMilestoneTracking[[#This Row],[SiteAccepted_BL]],"-")</f>
        <v>0</v>
      </c>
      <c r="BR21" s="64">
        <f>IF(ISBLANK(Table_SiteMilestoneTracking[[#This Row],[SiteAccepted_AC]])=FALSE,Table_SiteMilestoneTracking[[#This Row],[SiteAccepted_AC]]-Table_SiteMilestoneTracking[[#This Row],[SiteOnAir_AC]],"-")</f>
        <v>1</v>
      </c>
      <c r="BS21" s="64">
        <f>$BS$2</f>
        <v>200</v>
      </c>
      <c r="BT21" s="82"/>
      <c r="BU21" s="63">
        <f>Table_SiteMilestoneTracking[[#This Row],[SiteAccepted_BL]]+t9_HandoverBL</f>
        <v>44052</v>
      </c>
      <c r="BV21" s="84"/>
      <c r="BW21" s="64" t="str">
        <f>IF(ISBLANK(Table_SiteMilestoneTracking[[#This Row],[SiteInOperations_AC]])=FALSE,Table_SiteMilestoneTracking[[#This Row],[SiteInOperations_AC]]-Table_SiteMilestoneTracking[[#This Row],[SiteInOperations_BL]],"-")</f>
        <v>-</v>
      </c>
      <c r="BX21" s="66">
        <f>Table_SiteMilestoneTracking[[#This Row],[SiteInOperations_BL]]-Table_SiteMilestoneTracking[[#This Row],[SiteDesignReady_BL]]</f>
        <v>55</v>
      </c>
      <c r="BY21" s="66" t="str">
        <f>IF(Table_SiteMilestoneTracking[[#This Row],[CurrentSiteMilestone]]="SiteInOperations",Table_SiteMilestoneTracking[[#This Row],[SiteInOperations_AC]]-Table_SiteMilestoneTracking[[#This Row],[SiteDesignReady_AC]],"")</f>
        <v/>
      </c>
      <c r="BZ21" s="66" t="str">
        <f>IFERROR(Table_SiteMilestoneTracking[[#This Row],[E2E_Site_AC]]-Table_SiteMilestoneTracking[[#This Row],[E2E_Site_BL]],"")</f>
        <v/>
      </c>
      <c r="CA21" s="66" t="str">
        <f>IF(Table_SiteMilestoneTracking[[#This Row],[CurrentSiteMilestone]]="SiteInOperations",Table_SiteMilestoneTracking[[#This Row],[SiteInOperations_AC]]-Table_SiteMilestoneTracking[[#This Row],[SiteAccepted_AC]],"")</f>
        <v/>
      </c>
      <c r="CB21" s="79"/>
      <c r="CC21" s="89"/>
      <c r="CD21" s="89"/>
      <c r="CE21" s="70"/>
      <c r="CF21" s="70"/>
      <c r="CG21" s="70"/>
      <c r="CH21" s="70"/>
      <c r="CI21" s="70"/>
      <c r="CJ21" s="70"/>
      <c r="CK21" s="70"/>
      <c r="CL21" s="70"/>
      <c r="CM21" s="70"/>
      <c r="CN21" s="70"/>
      <c r="CO21" s="70"/>
      <c r="CP21" s="70"/>
      <c r="CQ21" s="70"/>
      <c r="CR21" s="70"/>
      <c r="CS21" s="70"/>
      <c r="CT21" s="70"/>
      <c r="CU21" s="70"/>
      <c r="CV21" s="70"/>
      <c r="CW21" s="70"/>
      <c r="CX21" s="70"/>
      <c r="CY21" s="70"/>
      <c r="CZ21" s="70"/>
      <c r="DA21" s="70"/>
      <c r="DB21" s="70"/>
      <c r="DC21" s="70"/>
      <c r="DD21" s="70"/>
      <c r="DE21" s="70"/>
      <c r="DF21" s="70"/>
      <c r="DG21" s="70"/>
      <c r="DH21" s="70"/>
      <c r="DI21" s="70"/>
      <c r="DJ21" s="70"/>
      <c r="DK21" s="70"/>
      <c r="DL21" s="70"/>
      <c r="DM21" s="70"/>
      <c r="DN21" s="70"/>
      <c r="DO21" s="70"/>
      <c r="DP21" s="70"/>
      <c r="DQ21" s="70"/>
      <c r="DR21" s="70"/>
      <c r="DS21" s="70"/>
      <c r="DT21" s="70"/>
      <c r="DU21" s="70"/>
      <c r="DV21" s="70"/>
    </row>
    <row r="22" spans="1:126" x14ac:dyDescent="0.3">
      <c r="A22" s="79" t="str">
        <f>'4. Design Tracking Summary'!A23</f>
        <v>AM00053</v>
      </c>
      <c r="B22" s="79" t="str">
        <f>'4. Design Tracking Summary'!B23</f>
        <v>North</v>
      </c>
      <c r="C22" s="79" t="str">
        <f>'4. Design Tracking Summary'!C23</f>
        <v>MTY</v>
      </c>
      <c r="D22" s="79" t="str">
        <f>'4. Design Tracking Summary'!D23</f>
        <v>MACRO</v>
      </c>
      <c r="E22" s="79" t="s">
        <v>58</v>
      </c>
      <c r="F22" s="79"/>
      <c r="G22" s="60" t="str">
        <f>IFERROR(INDEX(Table_SiteMilestonesNames[SiteMilestoneName],COUNTA(Table_SiteMilestoneTracking[[#This Row],[SiteDesignStarted_AC]],Table_SiteMilestoneTracking[[#This Row],[SiteDesignReady_AC]],Table_SiteMilestoneTracking[[#This Row],[SiteSurveyCompleted_AC]],Table_SiteMilestoneTracking[[#This Row],[SiteAcquired_AC]],Table_SiteMilestoneTracking[[#This Row],[SiteReadyForCW_AC]],Table_SiteMilestoneTracking[[#This Row],[SiteReadyForPower_AC]],Table_SiteMilestoneTracking[[#This Row],[TXReady_AC]],Table_SiteMilestoneTracking[[#This Row],[SiteReadyForInstallation_AC]],Table_SiteMilestoneTracking[[#This Row],[SiteReadyForIntegration_AC]],Table_SiteMilestoneTracking[[#This Row],[SiteOnAir_AC]],Table_SiteMilestoneTracking[[#This Row],[SiteAccepted_AC]],Table_SiteMilestoneTracking[[#This Row],[SiteInOperations_AC]])+1),"Invalid Milestone")</f>
        <v>SiteAccepted</v>
      </c>
      <c r="H22" s="61">
        <f>Table_SiteMilestoneTracking[[#This Row],[c0_SiteDesignCostBL]]+Table_SiteMilestoneTracking[[#This Row],[c1_SiteSurveyCostBL]]+Table_SiteMilestoneTracking[[#This Row],[c2_SiteAcquisitionCostBL]]+Table_SiteMilestoneTracking[[#This Row],[c3_CivilWorksCostBL]]+Table_SiteMilestoneTracking[[#This Row],[c4_PowerInstallCostBL]]+Table_SiteMilestoneTracking[[#This Row],[c5_TxintegrationCostBL]]+Table_SiteMilestoneTracking[[#This Row],[c6_InstallationCostBL]]+Table_SiteMilestoneTracking[[#This Row],[c7_IntegrationCostBL]]+Table_SiteMilestoneTracking[[#This Row],[c8_AcceptanceCostBL]]+Table_SiteMilestoneTracking[[#This Row],[c9_HandoverCostBL]]</f>
        <v>7550</v>
      </c>
      <c r="I22" s="62">
        <f>Table_SiteMilestoneTracking[[#This Row],[c0_SiteDesignCostAC]]+Table_SiteMilestoneTracking[[#This Row],[c1_SiteSurveyCostAC]]+Table_SiteMilestoneTracking[[#This Row],[c2_SiteAcquisitionCostAC]]+Table_SiteMilestoneTracking[[#This Row],[c3_CivilWorksCostAC]]+Table_SiteMilestoneTracking[[#This Row],[c4_PowerInstallCostAC]]+Table_SiteMilestoneTracking[[#This Row],[c5_TxintegrationCostAC]]+Table_SiteMilestoneTracking[[#This Row],[c6_InstallationCostAC]]+Table_SiteMilestoneTracking[[#This Row],[c7_IntegrationCostAC]]+Table_SiteMilestoneTracking[[#This Row],[c8_AcceptanceCostAC]]+Table_SiteMilestoneTracking[[#This Row],[c9_HandoverCostAC]]</f>
        <v>7170</v>
      </c>
      <c r="J22" s="84">
        <v>43995</v>
      </c>
      <c r="K22" s="84">
        <v>43996</v>
      </c>
      <c r="L22" s="64">
        <f>IF(ISBLANK(Table_SiteMilestoneTracking[[#This Row],[SiteDesignStarted_AC]])=FALSE,Table_SiteMilestoneTracking[[#This Row],[SiteDesignStarted_AC]]-Table_SiteMilestoneTracking[[#This Row],[SiteDesignStarted_BL]],"")</f>
        <v>1</v>
      </c>
      <c r="M22" s="64">
        <f t="shared" si="0"/>
        <v>500</v>
      </c>
      <c r="N22" s="87">
        <v>460</v>
      </c>
      <c r="O22" s="63">
        <f>Table_SiteMilestoneTracking[[#This Row],[SiteDesignStarted_BL]]+t0_SiteDesignDelayBL</f>
        <v>43997</v>
      </c>
      <c r="P22" s="84">
        <v>44000</v>
      </c>
      <c r="Q22" s="64">
        <f>IF(ISBLANK(Table_SiteMilestoneTracking[[#This Row],[SiteDesignReady_AC]])=FALSE,Table_SiteMilestoneTracking[[#This Row],[SiteDesignReady_AC]]-Table_SiteMilestoneTracking[[#This Row],[SiteDesignReady_BL]],"-")</f>
        <v>3</v>
      </c>
      <c r="R22" s="64">
        <f t="shared" si="5"/>
        <v>500</v>
      </c>
      <c r="S22" s="82">
        <v>775</v>
      </c>
      <c r="T22" s="63">
        <f>Table_SiteMilestoneTracking[[#This Row],[SiteDesignReady_BL]]+t1_SiteSurveyBL</f>
        <v>43999</v>
      </c>
      <c r="U22" s="84">
        <v>44003</v>
      </c>
      <c r="V22" s="64">
        <f>IF(ISBLANK(Table_SiteMilestoneTracking[[#This Row],[SiteSurveyCompleted_AC]])=FALSE,Table_SiteMilestoneTracking[[#This Row],[SiteSurveyCompleted_AC]]-Table_SiteMilestoneTracking[[#This Row],[SiteDesignReady_AC]],"-")</f>
        <v>3</v>
      </c>
      <c r="W22" s="64">
        <f t="shared" si="1"/>
        <v>600</v>
      </c>
      <c r="X22" s="82">
        <v>540</v>
      </c>
      <c r="Y22" s="63">
        <f>Table_SiteMilestoneTracking[[#This Row],[SiteSurveyCompleted_BL]]+t2_SiteAcquisitionBL</f>
        <v>44010</v>
      </c>
      <c r="Z22" s="84">
        <v>44015</v>
      </c>
      <c r="AA22" s="65">
        <f>IF(ISBLANK(Table_SiteMilestoneTracking[[#This Row],[SiteAcquired_AC]])=FALSE,Table_SiteMilestoneTracking[[#This Row],[SiteAcquired_AC]]-Table_SiteMilestoneTracking[[#This Row],[SiteAcquired_BL]],"-")</f>
        <v>5</v>
      </c>
      <c r="AB22" s="65">
        <f>IF(ISBLANK(Table_SiteMilestoneTracking[[#This Row],[SiteAcquired_AC]])=FALSE,Table_SiteMilestoneTracking[[#This Row],[SiteAcquired_AC]]-Table_SiteMilestoneTracking[[#This Row],[SiteSurveyCompleted_AC]],"-")</f>
        <v>12</v>
      </c>
      <c r="AC22" s="64">
        <f t="shared" si="2"/>
        <v>150</v>
      </c>
      <c r="AD22" s="82">
        <v>180.00000000000003</v>
      </c>
      <c r="AE22" s="63">
        <f>Table_SiteMilestoneTracking[[#This Row],[SiteAcquired_BL]]+t2a_SiteCWReadinessBL</f>
        <v>44012</v>
      </c>
      <c r="AF22" s="85">
        <v>44018</v>
      </c>
      <c r="AG22" s="66">
        <f>IF(ISBLANK(Table_SiteMilestoneTracking[[#This Row],[SiteReadyForCW_AC]])=FALSE,Table_SiteMilestoneTracking[[#This Row],[SiteReadyForCW_AC]]-Table_SiteMilestoneTracking[[#This Row],[SiteReadyForCW_BL]],"-")</f>
        <v>6</v>
      </c>
      <c r="AH22" s="66">
        <f>IF(ISBLANK(Table_SiteMilestoneTracking[[#This Row],[SiteReadyForCW_AC]])=FALSE,Table_SiteMilestoneTracking[[#This Row],[SiteReadyForCW_AC]]-Table_SiteMilestoneTracking[[#This Row],[SiteDesignReady_AC]],"-")</f>
        <v>18</v>
      </c>
      <c r="AI22" s="64">
        <f t="shared" si="3"/>
        <v>1500</v>
      </c>
      <c r="AJ22" s="82">
        <v>1500</v>
      </c>
      <c r="AK22" s="63">
        <f>Table_SiteMilestoneTracking[[#This Row],[SiteReadyForCW_BL]]+t3_CivilWorksBL</f>
        <v>44020</v>
      </c>
      <c r="AL22" s="84">
        <v>44026</v>
      </c>
      <c r="AM22" s="64">
        <f>IF(ISBLANK(Table_SiteMilestoneTracking[[#This Row],[SiteReadyForPower_AC]])=FALSE,Table_SiteMilestoneTracking[[#This Row],[SiteReadyForPower_AC]]-Table_SiteMilestoneTracking[[#This Row],[SiteReadyForPower_BL]],"-")</f>
        <v>6</v>
      </c>
      <c r="AN22" s="64">
        <f>IF(ISBLANK(Table_SiteMilestoneTracking[[#This Row],[SiteReadyForPower_AC]])=FALSE,Table_SiteMilestoneTracking[[#This Row],[SiteReadyForPower_AC]]-Table_SiteMilestoneTracking[[#This Row],[SiteReadyForCW_AC]],"-")</f>
        <v>8</v>
      </c>
      <c r="AO22" s="64">
        <f t="shared" si="4"/>
        <v>500</v>
      </c>
      <c r="AP22" s="82">
        <v>350</v>
      </c>
      <c r="AQ22" s="63">
        <f>Table_SiteMilestoneTracking[[#This Row],[SiteReadyForPower_BL]]+t4_PowerInstallBL</f>
        <v>44025</v>
      </c>
      <c r="AR22" s="84">
        <v>44031</v>
      </c>
      <c r="AS22" s="64">
        <f>IF(ISBLANK(Table_SiteMilestoneTracking[[#This Row],[TXReady_AC]])=FALSE,Table_SiteMilestoneTracking[[#This Row],[TXReady_AC]]-Table_SiteMilestoneTracking[[#This Row],[TXReady_BL]],"-")</f>
        <v>6</v>
      </c>
      <c r="AT22" s="64">
        <f>IF(ISBLANK(Table_SiteMilestoneTracking[[#This Row],[TXReady_AC]])=FALSE,Table_SiteMilestoneTracking[[#This Row],[TXReady_AC]]-Table_SiteMilestoneTracking[[#This Row],[SiteReadyForPower_AC]],"-")</f>
        <v>5</v>
      </c>
      <c r="AU22" s="64">
        <f>$AU$2</f>
        <v>500</v>
      </c>
      <c r="AV22" s="82">
        <v>350</v>
      </c>
      <c r="AW22" s="63">
        <f>Table_SiteMilestoneTracking[[#This Row],[TXReady_BL]]+t5_TxintegrationBL</f>
        <v>44032</v>
      </c>
      <c r="AX22" s="84">
        <v>44039</v>
      </c>
      <c r="AY22" s="64">
        <f>IF(ISBLANK(Table_SiteMilestoneTracking[[#This Row],[SiteReadyForInstallation_AC]])=FALSE,Table_SiteMilestoneTracking[[#This Row],[SiteReadyForInstallation_AC]]-Table_SiteMilestoneTracking[[#This Row],[SiteReadyForInstallation_BL]],"-")</f>
        <v>7</v>
      </c>
      <c r="AZ22" s="64">
        <f>IF(ISBLANK(Table_SiteMilestoneTracking[[#This Row],[SiteReadyForInstallation_AC]])=FALSE,Table_SiteMilestoneTracking[[#This Row],[SiteReadyForInstallation_AC]]-Table_SiteMilestoneTracking[[#This Row],[TXReady_AC]],"-")</f>
        <v>8</v>
      </c>
      <c r="BA22" s="64">
        <f>$BA$2</f>
        <v>2500</v>
      </c>
      <c r="BB22" s="82">
        <v>2450.0000000000005</v>
      </c>
      <c r="BC22" s="63">
        <f>Table_SiteMilestoneTracking[[#This Row],[SiteReadyForInstallation_BL]]+t6_InstallationBL</f>
        <v>44036</v>
      </c>
      <c r="BD22" s="84">
        <v>44044</v>
      </c>
      <c r="BE22" s="64">
        <f>IF(ISBLANK(Table_SiteMilestoneTracking[[#This Row],[SiteReadyForIntegration_AC]])=FALSE,Table_SiteMilestoneTracking[[#This Row],[SiteReadyForIntegration_AC]]-Table_SiteMilestoneTracking[[#This Row],[SiteReadyForIntegration_BL]],"-")</f>
        <v>8</v>
      </c>
      <c r="BF22" s="64">
        <f>IF(ISBLANK(Table_SiteMilestoneTracking[[#This Row],[SiteReadyForIntegration_AC]])=FALSE,Table_SiteMilestoneTracking[[#This Row],[SiteReadyForIntegration_AC]]-Table_SiteMilestoneTracking[[#This Row],[SiteReadyForInstallation_AC]],"-")</f>
        <v>5</v>
      </c>
      <c r="BG22" s="64">
        <f>$BG$2</f>
        <v>500</v>
      </c>
      <c r="BH22" s="82">
        <v>495</v>
      </c>
      <c r="BI22" s="63">
        <f>Table_SiteMilestoneTracking[[#This Row],[SiteReadyForIntegration_BL]]+t7_IntegrationBL</f>
        <v>44040</v>
      </c>
      <c r="BJ22" s="84">
        <v>44048</v>
      </c>
      <c r="BK22" s="64">
        <f>IF(ISBLANK(Table_SiteMilestoneTracking[[#This Row],[SiteOnAir_AC]])=FALSE,Table_SiteMilestoneTracking[[#This Row],[SiteOnAir_AC]]-Table_SiteMilestoneTracking[[#This Row],[SiteOnAir_BL]],"-")</f>
        <v>8</v>
      </c>
      <c r="BL22" s="64">
        <f>IF(ISBLANK(Table_SiteMilestoneTracking[[#This Row],[SiteOnAir_AC]])=FALSE,Table_SiteMilestoneTracking[[#This Row],[SiteOnAir_AC]]-Table_SiteMilestoneTracking[[#This Row],[SiteReadyForIntegration_AC]],"-")</f>
        <v>4</v>
      </c>
      <c r="BM22" s="64">
        <f>$BM$2</f>
        <v>250</v>
      </c>
      <c r="BN22" s="82">
        <v>250</v>
      </c>
      <c r="BO22" s="63">
        <f>Table_SiteMilestoneTracking[[#This Row],[SiteOnAir_BL]]+t8_AcceptanceBL</f>
        <v>44044</v>
      </c>
      <c r="BP22" s="84">
        <v>44053</v>
      </c>
      <c r="BQ22" s="64">
        <f>IF(ISBLANK(Table_SiteMilestoneTracking[[#This Row],[SiteAccepted_AC]])=FALSE,Table_SiteMilestoneTracking[[#This Row],[SiteAccepted_AC]]-Table_SiteMilestoneTracking[[#This Row],[SiteAccepted_BL]],"-")</f>
        <v>9</v>
      </c>
      <c r="BR22" s="64">
        <f>IF(ISBLANK(Table_SiteMilestoneTracking[[#This Row],[SiteAccepted_AC]])=FALSE,Table_SiteMilestoneTracking[[#This Row],[SiteAccepted_AC]]-Table_SiteMilestoneTracking[[#This Row],[SiteOnAir_AC]],"-")</f>
        <v>5</v>
      </c>
      <c r="BS22" s="64">
        <f>$BS$2</f>
        <v>200</v>
      </c>
      <c r="BT22" s="82"/>
      <c r="BU22" s="63">
        <f>Table_SiteMilestoneTracking[[#This Row],[SiteAccepted_BL]]+t9_HandoverBL</f>
        <v>44052</v>
      </c>
      <c r="BV22" s="84"/>
      <c r="BW22" s="64" t="str">
        <f>IF(ISBLANK(Table_SiteMilestoneTracking[[#This Row],[SiteInOperations_AC]])=FALSE,Table_SiteMilestoneTracking[[#This Row],[SiteInOperations_AC]]-Table_SiteMilestoneTracking[[#This Row],[SiteInOperations_BL]],"-")</f>
        <v>-</v>
      </c>
      <c r="BX22" s="66">
        <f>Table_SiteMilestoneTracking[[#This Row],[SiteInOperations_BL]]-Table_SiteMilestoneTracking[[#This Row],[SiteDesignReady_BL]]</f>
        <v>55</v>
      </c>
      <c r="BY22" s="66" t="str">
        <f>IF(Table_SiteMilestoneTracking[[#This Row],[CurrentSiteMilestone]]="SiteInOperations",Table_SiteMilestoneTracking[[#This Row],[SiteInOperations_AC]]-Table_SiteMilestoneTracking[[#This Row],[SiteDesignReady_AC]],"")</f>
        <v/>
      </c>
      <c r="BZ22" s="66" t="str">
        <f>IFERROR(Table_SiteMilestoneTracking[[#This Row],[E2E_Site_AC]]-Table_SiteMilestoneTracking[[#This Row],[E2E_Site_BL]],"")</f>
        <v/>
      </c>
      <c r="CA22" s="66" t="str">
        <f>IF(Table_SiteMilestoneTracking[[#This Row],[CurrentSiteMilestone]]="SiteInOperations",Table_SiteMilestoneTracking[[#This Row],[SiteInOperations_AC]]-Table_SiteMilestoneTracking[[#This Row],[SiteAccepted_AC]],"")</f>
        <v/>
      </c>
      <c r="CB22" s="79"/>
      <c r="CC22" s="89"/>
      <c r="CD22" s="89"/>
      <c r="CE22" s="70"/>
      <c r="CF22" s="70"/>
      <c r="CG22" s="70"/>
      <c r="CH22" s="70"/>
      <c r="CI22" s="70"/>
      <c r="CJ22" s="70"/>
      <c r="CK22" s="70"/>
      <c r="CL22" s="70"/>
      <c r="CM22" s="70"/>
      <c r="CN22" s="70"/>
      <c r="CO22" s="70"/>
      <c r="CP22" s="70"/>
      <c r="CQ22" s="70"/>
      <c r="CR22" s="70"/>
      <c r="CS22" s="70"/>
      <c r="CT22" s="70"/>
      <c r="CU22" s="70"/>
      <c r="CV22" s="70"/>
      <c r="CW22" s="70"/>
      <c r="CX22" s="70"/>
      <c r="CY22" s="70"/>
      <c r="CZ22" s="70"/>
      <c r="DA22" s="70"/>
      <c r="DB22" s="70"/>
      <c r="DC22" s="70"/>
      <c r="DD22" s="70"/>
      <c r="DE22" s="70"/>
      <c r="DF22" s="70"/>
      <c r="DG22" s="70"/>
      <c r="DH22" s="70"/>
      <c r="DI22" s="70"/>
      <c r="DJ22" s="70"/>
      <c r="DK22" s="70"/>
      <c r="DL22" s="70"/>
      <c r="DM22" s="70"/>
      <c r="DN22" s="70"/>
      <c r="DO22" s="70"/>
      <c r="DP22" s="70"/>
      <c r="DQ22" s="70"/>
      <c r="DR22" s="70"/>
      <c r="DS22" s="70"/>
      <c r="DT22" s="70"/>
      <c r="DU22" s="70"/>
      <c r="DV22" s="70"/>
    </row>
    <row r="23" spans="1:126" x14ac:dyDescent="0.3">
      <c r="A23" s="79" t="str">
        <f>'4. Design Tracking Summary'!A24</f>
        <v>CA00264</v>
      </c>
      <c r="B23" s="79" t="str">
        <f>'4. Design Tracking Summary'!B24</f>
        <v>North</v>
      </c>
      <c r="C23" s="79" t="str">
        <f>'4. Design Tracking Summary'!C24</f>
        <v>ZAC</v>
      </c>
      <c r="D23" s="79" t="str">
        <f>'4. Design Tracking Summary'!D24</f>
        <v>MINI</v>
      </c>
      <c r="E23" s="79" t="s">
        <v>57</v>
      </c>
      <c r="F23" s="79"/>
      <c r="G23" s="60" t="str">
        <f>IFERROR(INDEX(Table_SiteMilestonesNames[SiteMilestoneName],COUNTA(Table_SiteMilestoneTracking[[#This Row],[SiteDesignStarted_AC]],Table_SiteMilestoneTracking[[#This Row],[SiteDesignReady_AC]],Table_SiteMilestoneTracking[[#This Row],[SiteSurveyCompleted_AC]],Table_SiteMilestoneTracking[[#This Row],[SiteAcquired_AC]],Table_SiteMilestoneTracking[[#This Row],[SiteReadyForCW_AC]],Table_SiteMilestoneTracking[[#This Row],[SiteReadyForPower_AC]],Table_SiteMilestoneTracking[[#This Row],[TXReady_AC]],Table_SiteMilestoneTracking[[#This Row],[SiteReadyForInstallation_AC]],Table_SiteMilestoneTracking[[#This Row],[SiteReadyForIntegration_AC]],Table_SiteMilestoneTracking[[#This Row],[SiteOnAir_AC]],Table_SiteMilestoneTracking[[#This Row],[SiteAccepted_AC]],Table_SiteMilestoneTracking[[#This Row],[SiteInOperations_AC]])+1),"Invalid Milestone")</f>
        <v>SiteAccepted</v>
      </c>
      <c r="H23" s="61">
        <f>Table_SiteMilestoneTracking[[#This Row],[c0_SiteDesignCostBL]]+Table_SiteMilestoneTracking[[#This Row],[c1_SiteSurveyCostBL]]+Table_SiteMilestoneTracking[[#This Row],[c2_SiteAcquisitionCostBL]]+Table_SiteMilestoneTracking[[#This Row],[c3_CivilWorksCostBL]]+Table_SiteMilestoneTracking[[#This Row],[c4_PowerInstallCostBL]]+Table_SiteMilestoneTracking[[#This Row],[c5_TxintegrationCostBL]]+Table_SiteMilestoneTracking[[#This Row],[c6_InstallationCostBL]]+Table_SiteMilestoneTracking[[#This Row],[c7_IntegrationCostBL]]+Table_SiteMilestoneTracking[[#This Row],[c8_AcceptanceCostBL]]+Table_SiteMilestoneTracking[[#This Row],[c9_HandoverCostBL]]</f>
        <v>7550</v>
      </c>
      <c r="I23" s="62">
        <f>Table_SiteMilestoneTracking[[#This Row],[c0_SiteDesignCostAC]]+Table_SiteMilestoneTracking[[#This Row],[c1_SiteSurveyCostAC]]+Table_SiteMilestoneTracking[[#This Row],[c2_SiteAcquisitionCostAC]]+Table_SiteMilestoneTracking[[#This Row],[c3_CivilWorksCostAC]]+Table_SiteMilestoneTracking[[#This Row],[c4_PowerInstallCostAC]]+Table_SiteMilestoneTracking[[#This Row],[c5_TxintegrationCostAC]]+Table_SiteMilestoneTracking[[#This Row],[c6_InstallationCostAC]]+Table_SiteMilestoneTracking[[#This Row],[c7_IntegrationCostAC]]+Table_SiteMilestoneTracking[[#This Row],[c8_AcceptanceCostAC]]+Table_SiteMilestoneTracking[[#This Row],[c9_HandoverCostAC]]</f>
        <v>6300</v>
      </c>
      <c r="J23" s="84">
        <v>43995</v>
      </c>
      <c r="K23" s="84">
        <v>43997</v>
      </c>
      <c r="L23" s="64">
        <f>IF(ISBLANK(Table_SiteMilestoneTracking[[#This Row],[SiteDesignStarted_AC]])=FALSE,Table_SiteMilestoneTracking[[#This Row],[SiteDesignStarted_AC]]-Table_SiteMilestoneTracking[[#This Row],[SiteDesignStarted_BL]],"")</f>
        <v>2</v>
      </c>
      <c r="M23" s="64">
        <f t="shared" si="0"/>
        <v>500</v>
      </c>
      <c r="N23" s="87">
        <v>440</v>
      </c>
      <c r="O23" s="63">
        <f>Table_SiteMilestoneTracking[[#This Row],[SiteDesignStarted_BL]]+t0_SiteDesignDelayBL</f>
        <v>43997</v>
      </c>
      <c r="P23" s="84">
        <v>43998</v>
      </c>
      <c r="Q23" s="64">
        <f>IF(ISBLANK(Table_SiteMilestoneTracking[[#This Row],[SiteDesignReady_AC]])=FALSE,Table_SiteMilestoneTracking[[#This Row],[SiteDesignReady_AC]]-Table_SiteMilestoneTracking[[#This Row],[SiteDesignReady_BL]],"-")</f>
        <v>1</v>
      </c>
      <c r="R23" s="64">
        <f t="shared" si="5"/>
        <v>500</v>
      </c>
      <c r="S23" s="82">
        <v>775</v>
      </c>
      <c r="T23" s="63">
        <f>Table_SiteMilestoneTracking[[#This Row],[SiteDesignReady_BL]]+t1_SiteSurveyBL</f>
        <v>43999</v>
      </c>
      <c r="U23" s="84">
        <v>44000</v>
      </c>
      <c r="V23" s="64">
        <f>IF(ISBLANK(Table_SiteMilestoneTracking[[#This Row],[SiteSurveyCompleted_AC]])=FALSE,Table_SiteMilestoneTracking[[#This Row],[SiteSurveyCompleted_AC]]-Table_SiteMilestoneTracking[[#This Row],[SiteDesignReady_AC]],"-")</f>
        <v>2</v>
      </c>
      <c r="W23" s="64">
        <f t="shared" si="1"/>
        <v>600</v>
      </c>
      <c r="X23" s="82">
        <v>420</v>
      </c>
      <c r="Y23" s="63">
        <f>Table_SiteMilestoneTracking[[#This Row],[SiteSurveyCompleted_BL]]+t2_SiteAcquisitionBL</f>
        <v>44010</v>
      </c>
      <c r="Z23" s="84">
        <v>44012</v>
      </c>
      <c r="AA23" s="65">
        <f>IF(ISBLANK(Table_SiteMilestoneTracking[[#This Row],[SiteAcquired_AC]])=FALSE,Table_SiteMilestoneTracking[[#This Row],[SiteAcquired_AC]]-Table_SiteMilestoneTracking[[#This Row],[SiteAcquired_BL]],"-")</f>
        <v>2</v>
      </c>
      <c r="AB23" s="65">
        <f>IF(ISBLANK(Table_SiteMilestoneTracking[[#This Row],[SiteAcquired_AC]])=FALSE,Table_SiteMilestoneTracking[[#This Row],[SiteAcquired_AC]]-Table_SiteMilestoneTracking[[#This Row],[SiteSurveyCompleted_AC]],"-")</f>
        <v>12</v>
      </c>
      <c r="AC23" s="64">
        <f t="shared" si="2"/>
        <v>150</v>
      </c>
      <c r="AD23" s="82">
        <v>135</v>
      </c>
      <c r="AE23" s="63">
        <f>Table_SiteMilestoneTracking[[#This Row],[SiteAcquired_BL]]+t2a_SiteCWReadinessBL</f>
        <v>44012</v>
      </c>
      <c r="AF23" s="85">
        <v>44014</v>
      </c>
      <c r="AG23" s="66">
        <f>IF(ISBLANK(Table_SiteMilestoneTracking[[#This Row],[SiteReadyForCW_AC]])=FALSE,Table_SiteMilestoneTracking[[#This Row],[SiteReadyForCW_AC]]-Table_SiteMilestoneTracking[[#This Row],[SiteReadyForCW_BL]],"-")</f>
        <v>2</v>
      </c>
      <c r="AH23" s="66">
        <f>IF(ISBLANK(Table_SiteMilestoneTracking[[#This Row],[SiteReadyForCW_AC]])=FALSE,Table_SiteMilestoneTracking[[#This Row],[SiteReadyForCW_AC]]-Table_SiteMilestoneTracking[[#This Row],[SiteDesignReady_AC]],"-")</f>
        <v>16</v>
      </c>
      <c r="AI23" s="64">
        <f t="shared" si="3"/>
        <v>1500</v>
      </c>
      <c r="AJ23" s="82">
        <v>1050</v>
      </c>
      <c r="AK23" s="63">
        <f>Table_SiteMilestoneTracking[[#This Row],[SiteReadyForCW_BL]]+t3_CivilWorksBL</f>
        <v>44020</v>
      </c>
      <c r="AL23" s="84">
        <v>44023</v>
      </c>
      <c r="AM23" s="64">
        <f>IF(ISBLANK(Table_SiteMilestoneTracking[[#This Row],[SiteReadyForPower_AC]])=FALSE,Table_SiteMilestoneTracking[[#This Row],[SiteReadyForPower_AC]]-Table_SiteMilestoneTracking[[#This Row],[SiteReadyForPower_BL]],"-")</f>
        <v>3</v>
      </c>
      <c r="AN23" s="64">
        <f>IF(ISBLANK(Table_SiteMilestoneTracking[[#This Row],[SiteReadyForPower_AC]])=FALSE,Table_SiteMilestoneTracking[[#This Row],[SiteReadyForPower_AC]]-Table_SiteMilestoneTracking[[#This Row],[SiteReadyForCW_AC]],"-")</f>
        <v>9</v>
      </c>
      <c r="AO23" s="64">
        <f t="shared" si="4"/>
        <v>500</v>
      </c>
      <c r="AP23" s="82">
        <v>300</v>
      </c>
      <c r="AQ23" s="63">
        <f>Table_SiteMilestoneTracking[[#This Row],[SiteReadyForPower_BL]]+t4_PowerInstallBL</f>
        <v>44025</v>
      </c>
      <c r="AR23" s="84">
        <v>44028</v>
      </c>
      <c r="AS23" s="64">
        <f>IF(ISBLANK(Table_SiteMilestoneTracking[[#This Row],[TXReady_AC]])=FALSE,Table_SiteMilestoneTracking[[#This Row],[TXReady_AC]]-Table_SiteMilestoneTracking[[#This Row],[TXReady_BL]],"-")</f>
        <v>3</v>
      </c>
      <c r="AT23" s="64">
        <f>IF(ISBLANK(Table_SiteMilestoneTracking[[#This Row],[TXReady_AC]])=FALSE,Table_SiteMilestoneTracking[[#This Row],[TXReady_AC]]-Table_SiteMilestoneTracking[[#This Row],[SiteReadyForPower_AC]],"-")</f>
        <v>5</v>
      </c>
      <c r="AU23" s="64">
        <f>$AU$2</f>
        <v>500</v>
      </c>
      <c r="AV23" s="82">
        <v>600</v>
      </c>
      <c r="AW23" s="63">
        <f>Table_SiteMilestoneTracking[[#This Row],[TXReady_BL]]+t5_TxintegrationBL</f>
        <v>44032</v>
      </c>
      <c r="AX23" s="84">
        <v>44036</v>
      </c>
      <c r="AY23" s="64">
        <f>IF(ISBLANK(Table_SiteMilestoneTracking[[#This Row],[SiteReadyForInstallation_AC]])=FALSE,Table_SiteMilestoneTracking[[#This Row],[SiteReadyForInstallation_AC]]-Table_SiteMilestoneTracking[[#This Row],[SiteReadyForInstallation_BL]],"-")</f>
        <v>4</v>
      </c>
      <c r="AZ23" s="64">
        <f>IF(ISBLANK(Table_SiteMilestoneTracking[[#This Row],[SiteReadyForInstallation_AC]])=FALSE,Table_SiteMilestoneTracking[[#This Row],[SiteReadyForInstallation_AC]]-Table_SiteMilestoneTracking[[#This Row],[TXReady_AC]],"-")</f>
        <v>8</v>
      </c>
      <c r="BA23" s="64">
        <f>$BA$2</f>
        <v>2500</v>
      </c>
      <c r="BB23" s="82">
        <v>2000</v>
      </c>
      <c r="BC23" s="63">
        <f>Table_SiteMilestoneTracking[[#This Row],[SiteReadyForInstallation_BL]]+t6_InstallationBL</f>
        <v>44036</v>
      </c>
      <c r="BD23" s="84">
        <v>44040</v>
      </c>
      <c r="BE23" s="64">
        <f>IF(ISBLANK(Table_SiteMilestoneTracking[[#This Row],[SiteReadyForIntegration_AC]])=FALSE,Table_SiteMilestoneTracking[[#This Row],[SiteReadyForIntegration_AC]]-Table_SiteMilestoneTracking[[#This Row],[SiteReadyForIntegration_BL]],"-")</f>
        <v>4</v>
      </c>
      <c r="BF23" s="64">
        <f>IF(ISBLANK(Table_SiteMilestoneTracking[[#This Row],[SiteReadyForIntegration_AC]])=FALSE,Table_SiteMilestoneTracking[[#This Row],[SiteReadyForIntegration_AC]]-Table_SiteMilestoneTracking[[#This Row],[SiteReadyForInstallation_AC]],"-")</f>
        <v>4</v>
      </c>
      <c r="BG23" s="64">
        <f>$BG$2</f>
        <v>500</v>
      </c>
      <c r="BH23" s="82">
        <v>465</v>
      </c>
      <c r="BI23" s="63">
        <f>Table_SiteMilestoneTracking[[#This Row],[SiteReadyForIntegration_BL]]+t7_IntegrationBL</f>
        <v>44040</v>
      </c>
      <c r="BJ23" s="84">
        <v>44045</v>
      </c>
      <c r="BK23" s="64">
        <f>IF(ISBLANK(Table_SiteMilestoneTracking[[#This Row],[SiteOnAir_AC]])=FALSE,Table_SiteMilestoneTracking[[#This Row],[SiteOnAir_AC]]-Table_SiteMilestoneTracking[[#This Row],[SiteOnAir_BL]],"-")</f>
        <v>5</v>
      </c>
      <c r="BL23" s="64">
        <f>IF(ISBLANK(Table_SiteMilestoneTracking[[#This Row],[SiteOnAir_AC]])=FALSE,Table_SiteMilestoneTracking[[#This Row],[SiteOnAir_AC]]-Table_SiteMilestoneTracking[[#This Row],[SiteReadyForIntegration_AC]],"-")</f>
        <v>5</v>
      </c>
      <c r="BM23" s="64">
        <f>$BM$2</f>
        <v>250</v>
      </c>
      <c r="BN23" s="82">
        <v>250</v>
      </c>
      <c r="BO23" s="63">
        <f>Table_SiteMilestoneTracking[[#This Row],[SiteOnAir_BL]]+t8_AcceptanceBL</f>
        <v>44044</v>
      </c>
      <c r="BP23" s="84">
        <v>44050</v>
      </c>
      <c r="BQ23" s="64">
        <f>IF(ISBLANK(Table_SiteMilestoneTracking[[#This Row],[SiteAccepted_AC]])=FALSE,Table_SiteMilestoneTracking[[#This Row],[SiteAccepted_AC]]-Table_SiteMilestoneTracking[[#This Row],[SiteAccepted_BL]],"-")</f>
        <v>6</v>
      </c>
      <c r="BR23" s="64">
        <f>IF(ISBLANK(Table_SiteMilestoneTracking[[#This Row],[SiteAccepted_AC]])=FALSE,Table_SiteMilestoneTracking[[#This Row],[SiteAccepted_AC]]-Table_SiteMilestoneTracking[[#This Row],[SiteOnAir_AC]],"-")</f>
        <v>5</v>
      </c>
      <c r="BS23" s="64">
        <f>$BS$2</f>
        <v>200</v>
      </c>
      <c r="BT23" s="82"/>
      <c r="BU23" s="63">
        <f>Table_SiteMilestoneTracking[[#This Row],[SiteAccepted_BL]]+t9_HandoverBL</f>
        <v>44052</v>
      </c>
      <c r="BV23" s="84"/>
      <c r="BW23" s="64" t="str">
        <f>IF(ISBLANK(Table_SiteMilestoneTracking[[#This Row],[SiteInOperations_AC]])=FALSE,Table_SiteMilestoneTracking[[#This Row],[SiteInOperations_AC]]-Table_SiteMilestoneTracking[[#This Row],[SiteInOperations_BL]],"-")</f>
        <v>-</v>
      </c>
      <c r="BX23" s="66">
        <f>Table_SiteMilestoneTracking[[#This Row],[SiteInOperations_BL]]-Table_SiteMilestoneTracking[[#This Row],[SiteDesignReady_BL]]</f>
        <v>55</v>
      </c>
      <c r="BY23" s="66" t="str">
        <f>IF(Table_SiteMilestoneTracking[[#This Row],[CurrentSiteMilestone]]="SiteInOperations",Table_SiteMilestoneTracking[[#This Row],[SiteInOperations_AC]]-Table_SiteMilestoneTracking[[#This Row],[SiteDesignReady_AC]],"")</f>
        <v/>
      </c>
      <c r="BZ23" s="66" t="str">
        <f>IFERROR(Table_SiteMilestoneTracking[[#This Row],[E2E_Site_AC]]-Table_SiteMilestoneTracking[[#This Row],[E2E_Site_BL]],"")</f>
        <v/>
      </c>
      <c r="CA23" s="66" t="str">
        <f>IF(Table_SiteMilestoneTracking[[#This Row],[CurrentSiteMilestone]]="SiteInOperations",Table_SiteMilestoneTracking[[#This Row],[SiteInOperations_AC]]-Table_SiteMilestoneTracking[[#This Row],[SiteAccepted_AC]],"")</f>
        <v/>
      </c>
      <c r="CB23" s="79"/>
      <c r="CC23" s="89"/>
      <c r="CD23" s="89"/>
      <c r="CE23" s="70"/>
      <c r="CF23" s="70"/>
      <c r="CG23" s="70"/>
      <c r="CH23" s="70"/>
      <c r="CI23" s="70"/>
      <c r="CJ23" s="70"/>
      <c r="CK23" s="70"/>
      <c r="CL23" s="70"/>
      <c r="CM23" s="70"/>
      <c r="CN23" s="70"/>
      <c r="CO23" s="70"/>
      <c r="CP23" s="70"/>
      <c r="CQ23" s="70"/>
      <c r="CR23" s="70"/>
      <c r="CS23" s="70"/>
      <c r="CT23" s="70"/>
      <c r="CU23" s="70"/>
      <c r="CV23" s="70"/>
      <c r="CW23" s="70"/>
      <c r="CX23" s="70"/>
      <c r="CY23" s="70"/>
      <c r="CZ23" s="70"/>
      <c r="DA23" s="70"/>
      <c r="DB23" s="70"/>
      <c r="DC23" s="70"/>
      <c r="DD23" s="70"/>
      <c r="DE23" s="70"/>
      <c r="DF23" s="70"/>
      <c r="DG23" s="70"/>
      <c r="DH23" s="70"/>
      <c r="DI23" s="70"/>
      <c r="DJ23" s="70"/>
      <c r="DK23" s="70"/>
      <c r="DL23" s="70"/>
      <c r="DM23" s="70"/>
      <c r="DN23" s="70"/>
      <c r="DO23" s="70"/>
      <c r="DP23" s="70"/>
      <c r="DQ23" s="70"/>
      <c r="DR23" s="70"/>
      <c r="DS23" s="70"/>
      <c r="DT23" s="70"/>
      <c r="DU23" s="70"/>
      <c r="DV23" s="70"/>
    </row>
    <row r="24" spans="1:126" x14ac:dyDescent="0.3">
      <c r="A24" s="79" t="str">
        <f>'4. Design Tracking Summary'!A25</f>
        <v>CA00265</v>
      </c>
      <c r="B24" s="79" t="str">
        <f>'4. Design Tracking Summary'!B25</f>
        <v>Center</v>
      </c>
      <c r="C24" s="79" t="str">
        <f>'4. Design Tracking Summary'!C25</f>
        <v>GTO</v>
      </c>
      <c r="D24" s="79" t="str">
        <f>'4. Design Tracking Summary'!D25</f>
        <v>SMALL</v>
      </c>
      <c r="E24" s="79" t="s">
        <v>58</v>
      </c>
      <c r="F24" s="79"/>
      <c r="G24" s="60" t="str">
        <f>IFERROR(INDEX(Table_SiteMilestonesNames[SiteMilestoneName],COUNTA(Table_SiteMilestoneTracking[[#This Row],[SiteDesignStarted_AC]],Table_SiteMilestoneTracking[[#This Row],[SiteDesignReady_AC]],Table_SiteMilestoneTracking[[#This Row],[SiteSurveyCompleted_AC]],Table_SiteMilestoneTracking[[#This Row],[SiteAcquired_AC]],Table_SiteMilestoneTracking[[#This Row],[SiteReadyForCW_AC]],Table_SiteMilestoneTracking[[#This Row],[SiteReadyForPower_AC]],Table_SiteMilestoneTracking[[#This Row],[TXReady_AC]],Table_SiteMilestoneTracking[[#This Row],[SiteReadyForInstallation_AC]],Table_SiteMilestoneTracking[[#This Row],[SiteReadyForIntegration_AC]],Table_SiteMilestoneTracking[[#This Row],[SiteOnAir_AC]],Table_SiteMilestoneTracking[[#This Row],[SiteAccepted_AC]],Table_SiteMilestoneTracking[[#This Row],[SiteInOperations_AC]])+1),"Invalid Milestone")</f>
        <v>SiteOnAir</v>
      </c>
      <c r="H24" s="61">
        <f>Table_SiteMilestoneTracking[[#This Row],[c0_SiteDesignCostBL]]+Table_SiteMilestoneTracking[[#This Row],[c1_SiteSurveyCostBL]]+Table_SiteMilestoneTracking[[#This Row],[c2_SiteAcquisitionCostBL]]+Table_SiteMilestoneTracking[[#This Row],[c3_CivilWorksCostBL]]+Table_SiteMilestoneTracking[[#This Row],[c4_PowerInstallCostBL]]+Table_SiteMilestoneTracking[[#This Row],[c5_TxintegrationCostBL]]+Table_SiteMilestoneTracking[[#This Row],[c6_InstallationCostBL]]+Table_SiteMilestoneTracking[[#This Row],[c7_IntegrationCostBL]]+Table_SiteMilestoneTracking[[#This Row],[c8_AcceptanceCostBL]]+Table_SiteMilestoneTracking[[#This Row],[c9_HandoverCostBL]]</f>
        <v>7550</v>
      </c>
      <c r="I24" s="62">
        <f>Table_SiteMilestoneTracking[[#This Row],[c0_SiteDesignCostAC]]+Table_SiteMilestoneTracking[[#This Row],[c1_SiteSurveyCostAC]]+Table_SiteMilestoneTracking[[#This Row],[c2_SiteAcquisitionCostAC]]+Table_SiteMilestoneTracking[[#This Row],[c3_CivilWorksCostAC]]+Table_SiteMilestoneTracking[[#This Row],[c4_PowerInstallCostAC]]+Table_SiteMilestoneTracking[[#This Row],[c5_TxintegrationCostAC]]+Table_SiteMilestoneTracking[[#This Row],[c6_InstallationCostAC]]+Table_SiteMilestoneTracking[[#This Row],[c7_IntegrationCostAC]]+Table_SiteMilestoneTracking[[#This Row],[c8_AcceptanceCostAC]]+Table_SiteMilestoneTracking[[#This Row],[c9_HandoverCostAC]]</f>
        <v>6100</v>
      </c>
      <c r="J24" s="84">
        <v>43995</v>
      </c>
      <c r="K24" s="84">
        <v>43997</v>
      </c>
      <c r="L24" s="64">
        <f>IF(ISBLANK(Table_SiteMilestoneTracking[[#This Row],[SiteDesignStarted_AC]])=FALSE,Table_SiteMilestoneTracking[[#This Row],[SiteDesignStarted_AC]]-Table_SiteMilestoneTracking[[#This Row],[SiteDesignStarted_BL]],"")</f>
        <v>2</v>
      </c>
      <c r="M24" s="64">
        <f t="shared" si="0"/>
        <v>500</v>
      </c>
      <c r="N24" s="87">
        <v>520</v>
      </c>
      <c r="O24" s="63">
        <f>Table_SiteMilestoneTracking[[#This Row],[SiteDesignStarted_BL]]+t0_SiteDesignDelayBL</f>
        <v>43997</v>
      </c>
      <c r="P24" s="84">
        <v>43997</v>
      </c>
      <c r="Q24" s="64">
        <f>IF(ISBLANK(Table_SiteMilestoneTracking[[#This Row],[SiteDesignReady_AC]])=FALSE,Table_SiteMilestoneTracking[[#This Row],[SiteDesignReady_AC]]-Table_SiteMilestoneTracking[[#This Row],[SiteDesignReady_BL]],"-")</f>
        <v>0</v>
      </c>
      <c r="R24" s="64">
        <f t="shared" si="5"/>
        <v>500</v>
      </c>
      <c r="S24" s="82">
        <v>825</v>
      </c>
      <c r="T24" s="63">
        <f>Table_SiteMilestoneTracking[[#This Row],[SiteDesignReady_BL]]+t1_SiteSurveyBL</f>
        <v>43999</v>
      </c>
      <c r="U24" s="84">
        <v>43999</v>
      </c>
      <c r="V24" s="64">
        <f>IF(ISBLANK(Table_SiteMilestoneTracking[[#This Row],[SiteSurveyCompleted_AC]])=FALSE,Table_SiteMilestoneTracking[[#This Row],[SiteSurveyCompleted_AC]]-Table_SiteMilestoneTracking[[#This Row],[SiteDesignReady_AC]],"-")</f>
        <v>2</v>
      </c>
      <c r="W24" s="64">
        <f t="shared" si="1"/>
        <v>600</v>
      </c>
      <c r="X24" s="82">
        <v>540</v>
      </c>
      <c r="Y24" s="63">
        <f>Table_SiteMilestoneTracking[[#This Row],[SiteSurveyCompleted_BL]]+t2_SiteAcquisitionBL</f>
        <v>44010</v>
      </c>
      <c r="Z24" s="84">
        <v>44011</v>
      </c>
      <c r="AA24" s="65">
        <f>IF(ISBLANK(Table_SiteMilestoneTracking[[#This Row],[SiteAcquired_AC]])=FALSE,Table_SiteMilestoneTracking[[#This Row],[SiteAcquired_AC]]-Table_SiteMilestoneTracking[[#This Row],[SiteAcquired_BL]],"-")</f>
        <v>1</v>
      </c>
      <c r="AB24" s="65">
        <f>IF(ISBLANK(Table_SiteMilestoneTracking[[#This Row],[SiteAcquired_AC]])=FALSE,Table_SiteMilestoneTracking[[#This Row],[SiteAcquired_AC]]-Table_SiteMilestoneTracking[[#This Row],[SiteSurveyCompleted_AC]],"-")</f>
        <v>12</v>
      </c>
      <c r="AC24" s="64">
        <f t="shared" si="2"/>
        <v>150</v>
      </c>
      <c r="AD24" s="82">
        <v>150</v>
      </c>
      <c r="AE24" s="63">
        <f>Table_SiteMilestoneTracking[[#This Row],[SiteAcquired_BL]]+t2a_SiteCWReadinessBL</f>
        <v>44012</v>
      </c>
      <c r="AF24" s="85">
        <v>44014</v>
      </c>
      <c r="AG24" s="66">
        <f>IF(ISBLANK(Table_SiteMilestoneTracking[[#This Row],[SiteReadyForCW_AC]])=FALSE,Table_SiteMilestoneTracking[[#This Row],[SiteReadyForCW_AC]]-Table_SiteMilestoneTracking[[#This Row],[SiteReadyForCW_BL]],"-")</f>
        <v>2</v>
      </c>
      <c r="AH24" s="66">
        <f>IF(ISBLANK(Table_SiteMilestoneTracking[[#This Row],[SiteReadyForCW_AC]])=FALSE,Table_SiteMilestoneTracking[[#This Row],[SiteReadyForCW_AC]]-Table_SiteMilestoneTracking[[#This Row],[SiteDesignReady_AC]],"-")</f>
        <v>17</v>
      </c>
      <c r="AI24" s="64">
        <f t="shared" si="3"/>
        <v>1500</v>
      </c>
      <c r="AJ24" s="82">
        <v>900</v>
      </c>
      <c r="AK24" s="63">
        <f>Table_SiteMilestoneTracking[[#This Row],[SiteReadyForCW_BL]]+t3_CivilWorksBL</f>
        <v>44020</v>
      </c>
      <c r="AL24" s="84">
        <v>44023</v>
      </c>
      <c r="AM24" s="64">
        <f>IF(ISBLANK(Table_SiteMilestoneTracking[[#This Row],[SiteReadyForPower_AC]])=FALSE,Table_SiteMilestoneTracking[[#This Row],[SiteReadyForPower_AC]]-Table_SiteMilestoneTracking[[#This Row],[SiteReadyForPower_BL]],"-")</f>
        <v>3</v>
      </c>
      <c r="AN24" s="64">
        <f>IF(ISBLANK(Table_SiteMilestoneTracking[[#This Row],[SiteReadyForPower_AC]])=FALSE,Table_SiteMilestoneTracking[[#This Row],[SiteReadyForPower_AC]]-Table_SiteMilestoneTracking[[#This Row],[SiteReadyForCW_AC]],"-")</f>
        <v>9</v>
      </c>
      <c r="AO24" s="64">
        <f t="shared" si="4"/>
        <v>500</v>
      </c>
      <c r="AP24" s="82">
        <v>250</v>
      </c>
      <c r="AQ24" s="63">
        <f>Table_SiteMilestoneTracking[[#This Row],[SiteReadyForPower_BL]]+t4_PowerInstallBL</f>
        <v>44025</v>
      </c>
      <c r="AR24" s="84">
        <v>44029</v>
      </c>
      <c r="AS24" s="64">
        <f>IF(ISBLANK(Table_SiteMilestoneTracking[[#This Row],[TXReady_AC]])=FALSE,Table_SiteMilestoneTracking[[#This Row],[TXReady_AC]]-Table_SiteMilestoneTracking[[#This Row],[TXReady_BL]],"-")</f>
        <v>4</v>
      </c>
      <c r="AT24" s="64">
        <f>IF(ISBLANK(Table_SiteMilestoneTracking[[#This Row],[TXReady_AC]])=FALSE,Table_SiteMilestoneTracking[[#This Row],[TXReady_AC]]-Table_SiteMilestoneTracking[[#This Row],[SiteReadyForPower_AC]],"-")</f>
        <v>6</v>
      </c>
      <c r="AU24" s="64">
        <f>$AU$2</f>
        <v>500</v>
      </c>
      <c r="AV24" s="82">
        <v>400</v>
      </c>
      <c r="AW24" s="63">
        <f>Table_SiteMilestoneTracking[[#This Row],[TXReady_BL]]+t5_TxintegrationBL</f>
        <v>44032</v>
      </c>
      <c r="AX24" s="84">
        <v>44036</v>
      </c>
      <c r="AY24" s="64">
        <f>IF(ISBLANK(Table_SiteMilestoneTracking[[#This Row],[SiteReadyForInstallation_AC]])=FALSE,Table_SiteMilestoneTracking[[#This Row],[SiteReadyForInstallation_AC]]-Table_SiteMilestoneTracking[[#This Row],[SiteReadyForInstallation_BL]],"-")</f>
        <v>4</v>
      </c>
      <c r="AZ24" s="64">
        <f>IF(ISBLANK(Table_SiteMilestoneTracking[[#This Row],[SiteReadyForInstallation_AC]])=FALSE,Table_SiteMilestoneTracking[[#This Row],[SiteReadyForInstallation_AC]]-Table_SiteMilestoneTracking[[#This Row],[TXReady_AC]],"-")</f>
        <v>7</v>
      </c>
      <c r="BA24" s="64">
        <f>$BA$2</f>
        <v>2500</v>
      </c>
      <c r="BB24" s="82">
        <v>2200.0000000000005</v>
      </c>
      <c r="BC24" s="63">
        <f>Table_SiteMilestoneTracking[[#This Row],[SiteReadyForInstallation_BL]]+t6_InstallationBL</f>
        <v>44036</v>
      </c>
      <c r="BD24" s="84">
        <v>44040</v>
      </c>
      <c r="BE24" s="64">
        <f>IF(ISBLANK(Table_SiteMilestoneTracking[[#This Row],[SiteReadyForIntegration_AC]])=FALSE,Table_SiteMilestoneTracking[[#This Row],[SiteReadyForIntegration_AC]]-Table_SiteMilestoneTracking[[#This Row],[SiteReadyForIntegration_BL]],"-")</f>
        <v>4</v>
      </c>
      <c r="BF24" s="64">
        <f>IF(ISBLANK(Table_SiteMilestoneTracking[[#This Row],[SiteReadyForIntegration_AC]])=FALSE,Table_SiteMilestoneTracking[[#This Row],[SiteReadyForIntegration_AC]]-Table_SiteMilestoneTracking[[#This Row],[SiteReadyForInstallation_AC]],"-")</f>
        <v>4</v>
      </c>
      <c r="BG24" s="64">
        <f>$BG$2</f>
        <v>500</v>
      </c>
      <c r="BH24" s="82">
        <v>465</v>
      </c>
      <c r="BI24" s="63">
        <f>Table_SiteMilestoneTracking[[#This Row],[SiteReadyForIntegration_BL]]+t7_IntegrationBL</f>
        <v>44040</v>
      </c>
      <c r="BJ24" s="84">
        <v>44045</v>
      </c>
      <c r="BK24" s="64">
        <f>IF(ISBLANK(Table_SiteMilestoneTracking[[#This Row],[SiteOnAir_AC]])=FALSE,Table_SiteMilestoneTracking[[#This Row],[SiteOnAir_AC]]-Table_SiteMilestoneTracking[[#This Row],[SiteOnAir_BL]],"-")</f>
        <v>5</v>
      </c>
      <c r="BL24" s="64">
        <f>IF(ISBLANK(Table_SiteMilestoneTracking[[#This Row],[SiteOnAir_AC]])=FALSE,Table_SiteMilestoneTracking[[#This Row],[SiteOnAir_AC]]-Table_SiteMilestoneTracking[[#This Row],[SiteReadyForIntegration_AC]],"-")</f>
        <v>5</v>
      </c>
      <c r="BM24" s="64">
        <f>$BM$2</f>
        <v>250</v>
      </c>
      <c r="BN24" s="82"/>
      <c r="BO24" s="63">
        <f>Table_SiteMilestoneTracking[[#This Row],[SiteOnAir_BL]]+t8_AcceptanceBL</f>
        <v>44044</v>
      </c>
      <c r="BP24" s="84"/>
      <c r="BQ24" s="64" t="str">
        <f>IF(ISBLANK(Table_SiteMilestoneTracking[[#This Row],[SiteAccepted_AC]])=FALSE,Table_SiteMilestoneTracking[[#This Row],[SiteAccepted_AC]]-Table_SiteMilestoneTracking[[#This Row],[SiteAccepted_BL]],"-")</f>
        <v>-</v>
      </c>
      <c r="BR24" s="64" t="str">
        <f>IF(ISBLANK(Table_SiteMilestoneTracking[[#This Row],[SiteAccepted_AC]])=FALSE,Table_SiteMilestoneTracking[[#This Row],[SiteAccepted_AC]]-Table_SiteMilestoneTracking[[#This Row],[SiteOnAir_AC]],"-")</f>
        <v>-</v>
      </c>
      <c r="BS24" s="64">
        <f>$BS$2</f>
        <v>200</v>
      </c>
      <c r="BT24" s="82"/>
      <c r="BU24" s="63">
        <f>Table_SiteMilestoneTracking[[#This Row],[SiteAccepted_BL]]+t9_HandoverBL</f>
        <v>44052</v>
      </c>
      <c r="BV24" s="84"/>
      <c r="BW24" s="64" t="str">
        <f>IF(ISBLANK(Table_SiteMilestoneTracking[[#This Row],[SiteInOperations_AC]])=FALSE,Table_SiteMilestoneTracking[[#This Row],[SiteInOperations_AC]]-Table_SiteMilestoneTracking[[#This Row],[SiteInOperations_BL]],"-")</f>
        <v>-</v>
      </c>
      <c r="BX24" s="66">
        <f>Table_SiteMilestoneTracking[[#This Row],[SiteInOperations_BL]]-Table_SiteMilestoneTracking[[#This Row],[SiteDesignReady_BL]]</f>
        <v>55</v>
      </c>
      <c r="BY24" s="66" t="str">
        <f>IF(Table_SiteMilestoneTracking[[#This Row],[CurrentSiteMilestone]]="SiteInOperations",Table_SiteMilestoneTracking[[#This Row],[SiteInOperations_AC]]-Table_SiteMilestoneTracking[[#This Row],[SiteDesignReady_AC]],"")</f>
        <v/>
      </c>
      <c r="BZ24" s="66" t="str">
        <f>IFERROR(Table_SiteMilestoneTracking[[#This Row],[E2E_Site_AC]]-Table_SiteMilestoneTracking[[#This Row],[E2E_Site_BL]],"")</f>
        <v/>
      </c>
      <c r="CA24" s="66" t="str">
        <f>IF(Table_SiteMilestoneTracking[[#This Row],[CurrentSiteMilestone]]="SiteInOperations",Table_SiteMilestoneTracking[[#This Row],[SiteInOperations_AC]]-Table_SiteMilestoneTracking[[#This Row],[SiteAccepted_AC]],"")</f>
        <v/>
      </c>
      <c r="CB24" s="79"/>
      <c r="CC24" s="89"/>
      <c r="CD24" s="89"/>
      <c r="CE24" s="70"/>
      <c r="CF24" s="70"/>
      <c r="CG24" s="70"/>
      <c r="CH24" s="70"/>
      <c r="CI24" s="70"/>
      <c r="CJ24" s="70"/>
      <c r="CK24" s="70"/>
      <c r="CL24" s="70"/>
      <c r="CM24" s="70"/>
      <c r="CN24" s="70"/>
      <c r="CO24" s="70"/>
      <c r="CP24" s="70"/>
      <c r="CQ24" s="70"/>
      <c r="CR24" s="70"/>
      <c r="CS24" s="70"/>
      <c r="CT24" s="70"/>
      <c r="CU24" s="70"/>
      <c r="CV24" s="70"/>
      <c r="CW24" s="70"/>
      <c r="CX24" s="70"/>
      <c r="CY24" s="70"/>
      <c r="CZ24" s="70"/>
      <c r="DA24" s="70"/>
      <c r="DB24" s="70"/>
      <c r="DC24" s="70"/>
      <c r="DD24" s="70"/>
      <c r="DE24" s="70"/>
      <c r="DF24" s="70"/>
      <c r="DG24" s="70"/>
      <c r="DH24" s="70"/>
      <c r="DI24" s="70"/>
      <c r="DJ24" s="70"/>
      <c r="DK24" s="70"/>
      <c r="DL24" s="70"/>
      <c r="DM24" s="70"/>
      <c r="DN24" s="70"/>
      <c r="DO24" s="70"/>
      <c r="DP24" s="70"/>
      <c r="DQ24" s="70"/>
      <c r="DR24" s="70"/>
      <c r="DS24" s="70"/>
      <c r="DT24" s="70"/>
      <c r="DU24" s="70"/>
      <c r="DV24" s="70"/>
    </row>
    <row r="25" spans="1:126" x14ac:dyDescent="0.3">
      <c r="A25" s="79" t="str">
        <f>'4. Design Tracking Summary'!A26</f>
        <v>CA00372</v>
      </c>
      <c r="B25" s="79" t="str">
        <f>'4. Design Tracking Summary'!B26</f>
        <v>Center</v>
      </c>
      <c r="C25" s="79" t="str">
        <f>'4. Design Tracking Summary'!C26</f>
        <v>QRO</v>
      </c>
      <c r="D25" s="79" t="str">
        <f>'4. Design Tracking Summary'!D26</f>
        <v>MACRO</v>
      </c>
      <c r="E25" s="79" t="s">
        <v>58</v>
      </c>
      <c r="F25" s="79"/>
      <c r="G25" s="60" t="str">
        <f>IFERROR(INDEX(Table_SiteMilestonesNames[SiteMilestoneName],COUNTA(Table_SiteMilestoneTracking[[#This Row],[SiteDesignStarted_AC]],Table_SiteMilestoneTracking[[#This Row],[SiteDesignReady_AC]],Table_SiteMilestoneTracking[[#This Row],[SiteSurveyCompleted_AC]],Table_SiteMilestoneTracking[[#This Row],[SiteAcquired_AC]],Table_SiteMilestoneTracking[[#This Row],[SiteReadyForCW_AC]],Table_SiteMilestoneTracking[[#This Row],[SiteReadyForPower_AC]],Table_SiteMilestoneTracking[[#This Row],[TXReady_AC]],Table_SiteMilestoneTracking[[#This Row],[SiteReadyForInstallation_AC]],Table_SiteMilestoneTracking[[#This Row],[SiteReadyForIntegration_AC]],Table_SiteMilestoneTracking[[#This Row],[SiteOnAir_AC]],Table_SiteMilestoneTracking[[#This Row],[SiteAccepted_AC]],Table_SiteMilestoneTracking[[#This Row],[SiteInOperations_AC]])+1),"Invalid Milestone")</f>
        <v>SiteOnAir</v>
      </c>
      <c r="H25" s="61">
        <f>Table_SiteMilestoneTracking[[#This Row],[c0_SiteDesignCostBL]]+Table_SiteMilestoneTracking[[#This Row],[c1_SiteSurveyCostBL]]+Table_SiteMilestoneTracking[[#This Row],[c2_SiteAcquisitionCostBL]]+Table_SiteMilestoneTracking[[#This Row],[c3_CivilWorksCostBL]]+Table_SiteMilestoneTracking[[#This Row],[c4_PowerInstallCostBL]]+Table_SiteMilestoneTracking[[#This Row],[c5_TxintegrationCostBL]]+Table_SiteMilestoneTracking[[#This Row],[c6_InstallationCostBL]]+Table_SiteMilestoneTracking[[#This Row],[c7_IntegrationCostBL]]+Table_SiteMilestoneTracking[[#This Row],[c8_AcceptanceCostBL]]+Table_SiteMilestoneTracking[[#This Row],[c9_HandoverCostBL]]</f>
        <v>7550</v>
      </c>
      <c r="I25" s="62">
        <f>Table_SiteMilestoneTracking[[#This Row],[c0_SiteDesignCostAC]]+Table_SiteMilestoneTracking[[#This Row],[c1_SiteSurveyCostAC]]+Table_SiteMilestoneTracking[[#This Row],[c2_SiteAcquisitionCostAC]]+Table_SiteMilestoneTracking[[#This Row],[c3_CivilWorksCostAC]]+Table_SiteMilestoneTracking[[#This Row],[c4_PowerInstallCostAC]]+Table_SiteMilestoneTracking[[#This Row],[c5_TxintegrationCostAC]]+Table_SiteMilestoneTracking[[#This Row],[c6_InstallationCostAC]]+Table_SiteMilestoneTracking[[#This Row],[c7_IntegrationCostAC]]+Table_SiteMilestoneTracking[[#This Row],[c8_AcceptanceCostAC]]+Table_SiteMilestoneTracking[[#This Row],[c9_HandoverCostAC]]</f>
        <v>7035</v>
      </c>
      <c r="J25" s="84">
        <v>43995</v>
      </c>
      <c r="K25" s="84">
        <v>43997</v>
      </c>
      <c r="L25" s="64">
        <f>IF(ISBLANK(Table_SiteMilestoneTracking[[#This Row],[SiteDesignStarted_AC]])=FALSE,Table_SiteMilestoneTracking[[#This Row],[SiteDesignStarted_AC]]-Table_SiteMilestoneTracking[[#This Row],[SiteDesignStarted_BL]],"")</f>
        <v>2</v>
      </c>
      <c r="M25" s="64">
        <f t="shared" si="0"/>
        <v>500</v>
      </c>
      <c r="N25" s="87">
        <v>400</v>
      </c>
      <c r="O25" s="63">
        <f>Table_SiteMilestoneTracking[[#This Row],[SiteDesignStarted_BL]]+t0_SiteDesignDelayBL</f>
        <v>43997</v>
      </c>
      <c r="P25" s="84">
        <v>44001</v>
      </c>
      <c r="Q25" s="64">
        <f>IF(ISBLANK(Table_SiteMilestoneTracking[[#This Row],[SiteDesignReady_AC]])=FALSE,Table_SiteMilestoneTracking[[#This Row],[SiteDesignReady_AC]]-Table_SiteMilestoneTracking[[#This Row],[SiteDesignReady_BL]],"-")</f>
        <v>4</v>
      </c>
      <c r="R25" s="64">
        <f t="shared" si="5"/>
        <v>500</v>
      </c>
      <c r="S25" s="82">
        <v>525</v>
      </c>
      <c r="T25" s="63">
        <f>Table_SiteMilestoneTracking[[#This Row],[SiteDesignReady_BL]]+t1_SiteSurveyBL</f>
        <v>43999</v>
      </c>
      <c r="U25" s="84">
        <v>44003</v>
      </c>
      <c r="V25" s="64">
        <f>IF(ISBLANK(Table_SiteMilestoneTracking[[#This Row],[SiteSurveyCompleted_AC]])=FALSE,Table_SiteMilestoneTracking[[#This Row],[SiteSurveyCompleted_AC]]-Table_SiteMilestoneTracking[[#This Row],[SiteDesignReady_AC]],"-")</f>
        <v>2</v>
      </c>
      <c r="W25" s="64">
        <f t="shared" si="1"/>
        <v>600</v>
      </c>
      <c r="X25" s="82">
        <v>780</v>
      </c>
      <c r="Y25" s="63">
        <f>Table_SiteMilestoneTracking[[#This Row],[SiteSurveyCompleted_BL]]+t2_SiteAcquisitionBL</f>
        <v>44010</v>
      </c>
      <c r="Z25" s="84">
        <v>44015</v>
      </c>
      <c r="AA25" s="65">
        <f>IF(ISBLANK(Table_SiteMilestoneTracking[[#This Row],[SiteAcquired_AC]])=FALSE,Table_SiteMilestoneTracking[[#This Row],[SiteAcquired_AC]]-Table_SiteMilestoneTracking[[#This Row],[SiteAcquired_BL]],"-")</f>
        <v>5</v>
      </c>
      <c r="AB25" s="65">
        <f>IF(ISBLANK(Table_SiteMilestoneTracking[[#This Row],[SiteAcquired_AC]])=FALSE,Table_SiteMilestoneTracking[[#This Row],[SiteAcquired_AC]]-Table_SiteMilestoneTracking[[#This Row],[SiteSurveyCompleted_AC]],"-")</f>
        <v>12</v>
      </c>
      <c r="AC25" s="64">
        <f t="shared" si="2"/>
        <v>150</v>
      </c>
      <c r="AD25" s="82">
        <v>165</v>
      </c>
      <c r="AE25" s="63">
        <f>Table_SiteMilestoneTracking[[#This Row],[SiteAcquired_BL]]+t2a_SiteCWReadinessBL</f>
        <v>44012</v>
      </c>
      <c r="AF25" s="85">
        <v>44017</v>
      </c>
      <c r="AG25" s="66">
        <f>IF(ISBLANK(Table_SiteMilestoneTracking[[#This Row],[SiteReadyForCW_AC]])=FALSE,Table_SiteMilestoneTracking[[#This Row],[SiteReadyForCW_AC]]-Table_SiteMilestoneTracking[[#This Row],[SiteReadyForCW_BL]],"-")</f>
        <v>5</v>
      </c>
      <c r="AH25" s="66">
        <f>IF(ISBLANK(Table_SiteMilestoneTracking[[#This Row],[SiteReadyForCW_AC]])=FALSE,Table_SiteMilestoneTracking[[#This Row],[SiteReadyForCW_AC]]-Table_SiteMilestoneTracking[[#This Row],[SiteDesignReady_AC]],"-")</f>
        <v>16</v>
      </c>
      <c r="AI25" s="64">
        <f t="shared" si="3"/>
        <v>1500</v>
      </c>
      <c r="AJ25" s="82">
        <v>1800</v>
      </c>
      <c r="AK25" s="63">
        <f>Table_SiteMilestoneTracking[[#This Row],[SiteReadyForCW_BL]]+t3_CivilWorksBL</f>
        <v>44020</v>
      </c>
      <c r="AL25" s="84">
        <v>44026</v>
      </c>
      <c r="AM25" s="64">
        <f>IF(ISBLANK(Table_SiteMilestoneTracking[[#This Row],[SiteReadyForPower_AC]])=FALSE,Table_SiteMilestoneTracking[[#This Row],[SiteReadyForPower_AC]]-Table_SiteMilestoneTracking[[#This Row],[SiteReadyForPower_BL]],"-")</f>
        <v>6</v>
      </c>
      <c r="AN25" s="64">
        <f>IF(ISBLANK(Table_SiteMilestoneTracking[[#This Row],[SiteReadyForPower_AC]])=FALSE,Table_SiteMilestoneTracking[[#This Row],[SiteReadyForPower_AC]]-Table_SiteMilestoneTracking[[#This Row],[SiteReadyForCW_AC]],"-")</f>
        <v>9</v>
      </c>
      <c r="AO25" s="64">
        <f t="shared" si="4"/>
        <v>500</v>
      </c>
      <c r="AP25" s="82">
        <v>600</v>
      </c>
      <c r="AQ25" s="63">
        <f>Table_SiteMilestoneTracking[[#This Row],[SiteReadyForPower_BL]]+t4_PowerInstallBL</f>
        <v>44025</v>
      </c>
      <c r="AR25" s="84">
        <v>44032</v>
      </c>
      <c r="AS25" s="64">
        <f>IF(ISBLANK(Table_SiteMilestoneTracking[[#This Row],[TXReady_AC]])=FALSE,Table_SiteMilestoneTracking[[#This Row],[TXReady_AC]]-Table_SiteMilestoneTracking[[#This Row],[TXReady_BL]],"-")</f>
        <v>7</v>
      </c>
      <c r="AT25" s="64">
        <f>IF(ISBLANK(Table_SiteMilestoneTracking[[#This Row],[TXReady_AC]])=FALSE,Table_SiteMilestoneTracking[[#This Row],[TXReady_AC]]-Table_SiteMilestoneTracking[[#This Row],[SiteReadyForPower_AC]],"-")</f>
        <v>6</v>
      </c>
      <c r="AU25" s="64">
        <f>$AU$2</f>
        <v>500</v>
      </c>
      <c r="AV25" s="82">
        <v>300</v>
      </c>
      <c r="AW25" s="63">
        <f>Table_SiteMilestoneTracking[[#This Row],[TXReady_BL]]+t5_TxintegrationBL</f>
        <v>44032</v>
      </c>
      <c r="AX25" s="84">
        <v>44039</v>
      </c>
      <c r="AY25" s="64">
        <f>IF(ISBLANK(Table_SiteMilestoneTracking[[#This Row],[SiteReadyForInstallation_AC]])=FALSE,Table_SiteMilestoneTracking[[#This Row],[SiteReadyForInstallation_AC]]-Table_SiteMilestoneTracking[[#This Row],[SiteReadyForInstallation_BL]],"-")</f>
        <v>7</v>
      </c>
      <c r="AZ25" s="64">
        <f>IF(ISBLANK(Table_SiteMilestoneTracking[[#This Row],[SiteReadyForInstallation_AC]])=FALSE,Table_SiteMilestoneTracking[[#This Row],[SiteReadyForInstallation_AC]]-Table_SiteMilestoneTracking[[#This Row],[TXReady_AC]],"-")</f>
        <v>7</v>
      </c>
      <c r="BA25" s="64">
        <f>$BA$2</f>
        <v>2500</v>
      </c>
      <c r="BB25" s="82">
        <v>2150.0000000000005</v>
      </c>
      <c r="BC25" s="63">
        <f>Table_SiteMilestoneTracking[[#This Row],[SiteReadyForInstallation_BL]]+t6_InstallationBL</f>
        <v>44036</v>
      </c>
      <c r="BD25" s="84">
        <v>44044</v>
      </c>
      <c r="BE25" s="64">
        <f>IF(ISBLANK(Table_SiteMilestoneTracking[[#This Row],[SiteReadyForIntegration_AC]])=FALSE,Table_SiteMilestoneTracking[[#This Row],[SiteReadyForIntegration_AC]]-Table_SiteMilestoneTracking[[#This Row],[SiteReadyForIntegration_BL]],"-")</f>
        <v>8</v>
      </c>
      <c r="BF25" s="64">
        <f>IF(ISBLANK(Table_SiteMilestoneTracking[[#This Row],[SiteReadyForIntegration_AC]])=FALSE,Table_SiteMilestoneTracking[[#This Row],[SiteReadyForIntegration_AC]]-Table_SiteMilestoneTracking[[#This Row],[SiteReadyForInstallation_AC]],"-")</f>
        <v>5</v>
      </c>
      <c r="BG25" s="64">
        <f>$BG$2</f>
        <v>500</v>
      </c>
      <c r="BH25" s="82">
        <v>480</v>
      </c>
      <c r="BI25" s="63">
        <f>Table_SiteMilestoneTracking[[#This Row],[SiteReadyForIntegration_BL]]+t7_IntegrationBL</f>
        <v>44040</v>
      </c>
      <c r="BJ25" s="84">
        <v>44049</v>
      </c>
      <c r="BK25" s="64">
        <f>IF(ISBLANK(Table_SiteMilestoneTracking[[#This Row],[SiteOnAir_AC]])=FALSE,Table_SiteMilestoneTracking[[#This Row],[SiteOnAir_AC]]-Table_SiteMilestoneTracking[[#This Row],[SiteOnAir_BL]],"-")</f>
        <v>9</v>
      </c>
      <c r="BL25" s="64">
        <f>IF(ISBLANK(Table_SiteMilestoneTracking[[#This Row],[SiteOnAir_AC]])=FALSE,Table_SiteMilestoneTracking[[#This Row],[SiteOnAir_AC]]-Table_SiteMilestoneTracking[[#This Row],[SiteReadyForIntegration_AC]],"-")</f>
        <v>5</v>
      </c>
      <c r="BM25" s="64">
        <f>$BM$2</f>
        <v>250</v>
      </c>
      <c r="BN25" s="82"/>
      <c r="BO25" s="63">
        <f>Table_SiteMilestoneTracking[[#This Row],[SiteOnAir_BL]]+t8_AcceptanceBL</f>
        <v>44044</v>
      </c>
      <c r="BP25" s="84"/>
      <c r="BQ25" s="64" t="str">
        <f>IF(ISBLANK(Table_SiteMilestoneTracking[[#This Row],[SiteAccepted_AC]])=FALSE,Table_SiteMilestoneTracking[[#This Row],[SiteAccepted_AC]]-Table_SiteMilestoneTracking[[#This Row],[SiteAccepted_BL]],"-")</f>
        <v>-</v>
      </c>
      <c r="BR25" s="64" t="str">
        <f>IF(ISBLANK(Table_SiteMilestoneTracking[[#This Row],[SiteAccepted_AC]])=FALSE,Table_SiteMilestoneTracking[[#This Row],[SiteAccepted_AC]]-Table_SiteMilestoneTracking[[#This Row],[SiteOnAir_AC]],"-")</f>
        <v>-</v>
      </c>
      <c r="BS25" s="64">
        <f>$BS$2</f>
        <v>200</v>
      </c>
      <c r="BT25" s="82"/>
      <c r="BU25" s="63">
        <f>Table_SiteMilestoneTracking[[#This Row],[SiteAccepted_BL]]+t9_HandoverBL</f>
        <v>44052</v>
      </c>
      <c r="BV25" s="84"/>
      <c r="BW25" s="64" t="str">
        <f>IF(ISBLANK(Table_SiteMilestoneTracking[[#This Row],[SiteInOperations_AC]])=FALSE,Table_SiteMilestoneTracking[[#This Row],[SiteInOperations_AC]]-Table_SiteMilestoneTracking[[#This Row],[SiteInOperations_BL]],"-")</f>
        <v>-</v>
      </c>
      <c r="BX25" s="66">
        <f>Table_SiteMilestoneTracking[[#This Row],[SiteInOperations_BL]]-Table_SiteMilestoneTracking[[#This Row],[SiteDesignReady_BL]]</f>
        <v>55</v>
      </c>
      <c r="BY25" s="66" t="str">
        <f>IF(Table_SiteMilestoneTracking[[#This Row],[CurrentSiteMilestone]]="SiteInOperations",Table_SiteMilestoneTracking[[#This Row],[SiteInOperations_AC]]-Table_SiteMilestoneTracking[[#This Row],[SiteDesignReady_AC]],"")</f>
        <v/>
      </c>
      <c r="BZ25" s="66" t="str">
        <f>IFERROR(Table_SiteMilestoneTracking[[#This Row],[E2E_Site_AC]]-Table_SiteMilestoneTracking[[#This Row],[E2E_Site_BL]],"")</f>
        <v/>
      </c>
      <c r="CA25" s="66" t="str">
        <f>IF(Table_SiteMilestoneTracking[[#This Row],[CurrentSiteMilestone]]="SiteInOperations",Table_SiteMilestoneTracking[[#This Row],[SiteInOperations_AC]]-Table_SiteMilestoneTracking[[#This Row],[SiteAccepted_AC]],"")</f>
        <v/>
      </c>
      <c r="CB25" s="79"/>
      <c r="CC25" s="89"/>
      <c r="CD25" s="89"/>
      <c r="CE25" s="70"/>
      <c r="CF25" s="70"/>
      <c r="CG25" s="70"/>
      <c r="CH25" s="70"/>
      <c r="CI25" s="70"/>
      <c r="CJ25" s="70"/>
      <c r="CK25" s="70"/>
      <c r="CL25" s="70"/>
      <c r="CM25" s="70"/>
      <c r="CN25" s="70"/>
      <c r="CO25" s="70"/>
      <c r="CP25" s="70"/>
      <c r="CQ25" s="70"/>
      <c r="CR25" s="70"/>
      <c r="CS25" s="70"/>
      <c r="CT25" s="70"/>
      <c r="CU25" s="70"/>
      <c r="CV25" s="70"/>
      <c r="CW25" s="70"/>
      <c r="CX25" s="70"/>
      <c r="CY25" s="70"/>
      <c r="CZ25" s="70"/>
      <c r="DA25" s="70"/>
      <c r="DB25" s="70"/>
      <c r="DC25" s="70"/>
      <c r="DD25" s="70"/>
      <c r="DE25" s="70"/>
      <c r="DF25" s="70"/>
      <c r="DG25" s="70"/>
      <c r="DH25" s="70"/>
      <c r="DI25" s="70"/>
      <c r="DJ25" s="70"/>
      <c r="DK25" s="70"/>
      <c r="DL25" s="70"/>
      <c r="DM25" s="70"/>
      <c r="DN25" s="70"/>
      <c r="DO25" s="70"/>
      <c r="DP25" s="70"/>
      <c r="DQ25" s="70"/>
      <c r="DR25" s="70"/>
      <c r="DS25" s="70"/>
      <c r="DT25" s="70"/>
      <c r="DU25" s="70"/>
      <c r="DV25" s="70"/>
    </row>
    <row r="26" spans="1:126" x14ac:dyDescent="0.3">
      <c r="A26" s="79" t="str">
        <f>'4. Design Tracking Summary'!A27</f>
        <v>CA00565</v>
      </c>
      <c r="B26" s="79" t="str">
        <f>'4. Design Tracking Summary'!B27</f>
        <v>South</v>
      </c>
      <c r="C26" s="79" t="str">
        <f>'4. Design Tracking Summary'!C27</f>
        <v>VER</v>
      </c>
      <c r="D26" s="79" t="str">
        <f>'4. Design Tracking Summary'!D27</f>
        <v>MINI</v>
      </c>
      <c r="E26" s="79" t="s">
        <v>56</v>
      </c>
      <c r="F26" s="79"/>
      <c r="G26" s="60" t="str">
        <f>IFERROR(INDEX(Table_SiteMilestonesNames[SiteMilestoneName],COUNTA(Table_SiteMilestoneTracking[[#This Row],[SiteDesignStarted_AC]],Table_SiteMilestoneTracking[[#This Row],[SiteDesignReady_AC]],Table_SiteMilestoneTracking[[#This Row],[SiteSurveyCompleted_AC]],Table_SiteMilestoneTracking[[#This Row],[SiteAcquired_AC]],Table_SiteMilestoneTracking[[#This Row],[SiteReadyForCW_AC]],Table_SiteMilestoneTracking[[#This Row],[SiteReadyForPower_AC]],Table_SiteMilestoneTracking[[#This Row],[TXReady_AC]],Table_SiteMilestoneTracking[[#This Row],[SiteReadyForInstallation_AC]],Table_SiteMilestoneTracking[[#This Row],[SiteReadyForIntegration_AC]],Table_SiteMilestoneTracking[[#This Row],[SiteOnAir_AC]],Table_SiteMilestoneTracking[[#This Row],[SiteAccepted_AC]],Table_SiteMilestoneTracking[[#This Row],[SiteInOperations_AC]])+1),"Invalid Milestone")</f>
        <v>SiteOnAir</v>
      </c>
      <c r="H26" s="61">
        <f>Table_SiteMilestoneTracking[[#This Row],[c0_SiteDesignCostBL]]+Table_SiteMilestoneTracking[[#This Row],[c1_SiteSurveyCostBL]]+Table_SiteMilestoneTracking[[#This Row],[c2_SiteAcquisitionCostBL]]+Table_SiteMilestoneTracking[[#This Row],[c3_CivilWorksCostBL]]+Table_SiteMilestoneTracking[[#This Row],[c4_PowerInstallCostBL]]+Table_SiteMilestoneTracking[[#This Row],[c5_TxintegrationCostBL]]+Table_SiteMilestoneTracking[[#This Row],[c6_InstallationCostBL]]+Table_SiteMilestoneTracking[[#This Row],[c7_IntegrationCostBL]]+Table_SiteMilestoneTracking[[#This Row],[c8_AcceptanceCostBL]]+Table_SiteMilestoneTracking[[#This Row],[c9_HandoverCostBL]]</f>
        <v>7550</v>
      </c>
      <c r="I26" s="62">
        <f>Table_SiteMilestoneTracking[[#This Row],[c0_SiteDesignCostAC]]+Table_SiteMilestoneTracking[[#This Row],[c1_SiteSurveyCostAC]]+Table_SiteMilestoneTracking[[#This Row],[c2_SiteAcquisitionCostAC]]+Table_SiteMilestoneTracking[[#This Row],[c3_CivilWorksCostAC]]+Table_SiteMilestoneTracking[[#This Row],[c4_PowerInstallCostAC]]+Table_SiteMilestoneTracking[[#This Row],[c5_TxintegrationCostAC]]+Table_SiteMilestoneTracking[[#This Row],[c6_InstallationCostAC]]+Table_SiteMilestoneTracking[[#This Row],[c7_IntegrationCostAC]]+Table_SiteMilestoneTracking[[#This Row],[c8_AcceptanceCostAC]]+Table_SiteMilestoneTracking[[#This Row],[c9_HandoverCostAC]]</f>
        <v>7255</v>
      </c>
      <c r="J26" s="84">
        <v>43995</v>
      </c>
      <c r="K26" s="84">
        <v>43997</v>
      </c>
      <c r="L26" s="64">
        <f>IF(ISBLANK(Table_SiteMilestoneTracking[[#This Row],[SiteDesignStarted_AC]])=FALSE,Table_SiteMilestoneTracking[[#This Row],[SiteDesignStarted_AC]]-Table_SiteMilestoneTracking[[#This Row],[SiteDesignStarted_BL]],"")</f>
        <v>2</v>
      </c>
      <c r="M26" s="64">
        <f t="shared" si="0"/>
        <v>500</v>
      </c>
      <c r="N26" s="87">
        <v>440</v>
      </c>
      <c r="O26" s="63">
        <f>Table_SiteMilestoneTracking[[#This Row],[SiteDesignStarted_BL]]+t0_SiteDesignDelayBL</f>
        <v>43997</v>
      </c>
      <c r="P26" s="84">
        <v>44001</v>
      </c>
      <c r="Q26" s="64">
        <f>IF(ISBLANK(Table_SiteMilestoneTracking[[#This Row],[SiteDesignReady_AC]])=FALSE,Table_SiteMilestoneTracking[[#This Row],[SiteDesignReady_AC]]-Table_SiteMilestoneTracking[[#This Row],[SiteDesignReady_BL]],"-")</f>
        <v>4</v>
      </c>
      <c r="R26" s="64">
        <f t="shared" si="5"/>
        <v>500</v>
      </c>
      <c r="S26" s="82">
        <v>625</v>
      </c>
      <c r="T26" s="63">
        <f>Table_SiteMilestoneTracking[[#This Row],[SiteDesignReady_BL]]+t1_SiteSurveyBL</f>
        <v>43999</v>
      </c>
      <c r="U26" s="84">
        <v>44003</v>
      </c>
      <c r="V26" s="64">
        <f>IF(ISBLANK(Table_SiteMilestoneTracking[[#This Row],[SiteSurveyCompleted_AC]])=FALSE,Table_SiteMilestoneTracking[[#This Row],[SiteSurveyCompleted_AC]]-Table_SiteMilestoneTracking[[#This Row],[SiteDesignReady_AC]],"-")</f>
        <v>2</v>
      </c>
      <c r="W26" s="64">
        <f t="shared" si="1"/>
        <v>600</v>
      </c>
      <c r="X26" s="82">
        <v>900</v>
      </c>
      <c r="Y26" s="63">
        <f>Table_SiteMilestoneTracking[[#This Row],[SiteSurveyCompleted_BL]]+t2_SiteAcquisitionBL</f>
        <v>44010</v>
      </c>
      <c r="Z26" s="84">
        <v>44014</v>
      </c>
      <c r="AA26" s="65">
        <f>IF(ISBLANK(Table_SiteMilestoneTracking[[#This Row],[SiteAcquired_AC]])=FALSE,Table_SiteMilestoneTracking[[#This Row],[SiteAcquired_AC]]-Table_SiteMilestoneTracking[[#This Row],[SiteAcquired_BL]],"-")</f>
        <v>4</v>
      </c>
      <c r="AB26" s="65">
        <f>IF(ISBLANK(Table_SiteMilestoneTracking[[#This Row],[SiteAcquired_AC]])=FALSE,Table_SiteMilestoneTracking[[#This Row],[SiteAcquired_AC]]-Table_SiteMilestoneTracking[[#This Row],[SiteSurveyCompleted_AC]],"-")</f>
        <v>11</v>
      </c>
      <c r="AC26" s="64">
        <f t="shared" si="2"/>
        <v>150</v>
      </c>
      <c r="AD26" s="82">
        <v>135</v>
      </c>
      <c r="AE26" s="63">
        <f>Table_SiteMilestoneTracking[[#This Row],[SiteAcquired_BL]]+t2a_SiteCWReadinessBL</f>
        <v>44012</v>
      </c>
      <c r="AF26" s="85">
        <v>44016</v>
      </c>
      <c r="AG26" s="66">
        <f>IF(ISBLANK(Table_SiteMilestoneTracking[[#This Row],[SiteReadyForCW_AC]])=FALSE,Table_SiteMilestoneTracking[[#This Row],[SiteReadyForCW_AC]]-Table_SiteMilestoneTracking[[#This Row],[SiteReadyForCW_BL]],"-")</f>
        <v>4</v>
      </c>
      <c r="AH26" s="66">
        <f>IF(ISBLANK(Table_SiteMilestoneTracking[[#This Row],[SiteReadyForCW_AC]])=FALSE,Table_SiteMilestoneTracking[[#This Row],[SiteReadyForCW_AC]]-Table_SiteMilestoneTracking[[#This Row],[SiteDesignReady_AC]],"-")</f>
        <v>15</v>
      </c>
      <c r="AI26" s="64">
        <f t="shared" si="3"/>
        <v>1500</v>
      </c>
      <c r="AJ26" s="82">
        <v>1800</v>
      </c>
      <c r="AK26" s="63">
        <f>Table_SiteMilestoneTracking[[#This Row],[SiteReadyForCW_BL]]+t3_CivilWorksBL</f>
        <v>44020</v>
      </c>
      <c r="AL26" s="84">
        <v>44025</v>
      </c>
      <c r="AM26" s="64">
        <f>IF(ISBLANK(Table_SiteMilestoneTracking[[#This Row],[SiteReadyForPower_AC]])=FALSE,Table_SiteMilestoneTracking[[#This Row],[SiteReadyForPower_AC]]-Table_SiteMilestoneTracking[[#This Row],[SiteReadyForPower_BL]],"-")</f>
        <v>5</v>
      </c>
      <c r="AN26" s="64">
        <f>IF(ISBLANK(Table_SiteMilestoneTracking[[#This Row],[SiteReadyForPower_AC]])=FALSE,Table_SiteMilestoneTracking[[#This Row],[SiteReadyForPower_AC]]-Table_SiteMilestoneTracking[[#This Row],[SiteReadyForCW_AC]],"-")</f>
        <v>9</v>
      </c>
      <c r="AO26" s="64">
        <f t="shared" si="4"/>
        <v>500</v>
      </c>
      <c r="AP26" s="82">
        <v>300</v>
      </c>
      <c r="AQ26" s="63">
        <f>Table_SiteMilestoneTracking[[#This Row],[SiteReadyForPower_BL]]+t4_PowerInstallBL</f>
        <v>44025</v>
      </c>
      <c r="AR26" s="84">
        <v>44031</v>
      </c>
      <c r="AS26" s="64">
        <f>IF(ISBLANK(Table_SiteMilestoneTracking[[#This Row],[TXReady_AC]])=FALSE,Table_SiteMilestoneTracking[[#This Row],[TXReady_AC]]-Table_SiteMilestoneTracking[[#This Row],[TXReady_BL]],"-")</f>
        <v>6</v>
      </c>
      <c r="AT26" s="64">
        <f>IF(ISBLANK(Table_SiteMilestoneTracking[[#This Row],[TXReady_AC]])=FALSE,Table_SiteMilestoneTracking[[#This Row],[TXReady_AC]]-Table_SiteMilestoneTracking[[#This Row],[SiteReadyForPower_AC]],"-")</f>
        <v>6</v>
      </c>
      <c r="AU26" s="64">
        <f>$AU$2</f>
        <v>500</v>
      </c>
      <c r="AV26" s="82">
        <v>550</v>
      </c>
      <c r="AW26" s="63">
        <f>Table_SiteMilestoneTracking[[#This Row],[TXReady_BL]]+t5_TxintegrationBL</f>
        <v>44032</v>
      </c>
      <c r="AX26" s="84">
        <v>44038</v>
      </c>
      <c r="AY26" s="64">
        <f>IF(ISBLANK(Table_SiteMilestoneTracking[[#This Row],[SiteReadyForInstallation_AC]])=FALSE,Table_SiteMilestoneTracking[[#This Row],[SiteReadyForInstallation_AC]]-Table_SiteMilestoneTracking[[#This Row],[SiteReadyForInstallation_BL]],"-")</f>
        <v>6</v>
      </c>
      <c r="AZ26" s="64">
        <f>IF(ISBLANK(Table_SiteMilestoneTracking[[#This Row],[SiteReadyForInstallation_AC]])=FALSE,Table_SiteMilestoneTracking[[#This Row],[SiteReadyForInstallation_AC]]-Table_SiteMilestoneTracking[[#This Row],[TXReady_AC]],"-")</f>
        <v>7</v>
      </c>
      <c r="BA26" s="64">
        <f>$BA$2</f>
        <v>2500</v>
      </c>
      <c r="BB26" s="82">
        <v>2150.0000000000005</v>
      </c>
      <c r="BC26" s="63">
        <f>Table_SiteMilestoneTracking[[#This Row],[SiteReadyForInstallation_BL]]+t6_InstallationBL</f>
        <v>44036</v>
      </c>
      <c r="BD26" s="84">
        <v>44042</v>
      </c>
      <c r="BE26" s="64">
        <f>IF(ISBLANK(Table_SiteMilestoneTracking[[#This Row],[SiteReadyForIntegration_AC]])=FALSE,Table_SiteMilestoneTracking[[#This Row],[SiteReadyForIntegration_AC]]-Table_SiteMilestoneTracking[[#This Row],[SiteReadyForIntegration_BL]],"-")</f>
        <v>6</v>
      </c>
      <c r="BF26" s="64">
        <f>IF(ISBLANK(Table_SiteMilestoneTracking[[#This Row],[SiteReadyForIntegration_AC]])=FALSE,Table_SiteMilestoneTracking[[#This Row],[SiteReadyForIntegration_AC]]-Table_SiteMilestoneTracking[[#This Row],[SiteReadyForInstallation_AC]],"-")</f>
        <v>4</v>
      </c>
      <c r="BG26" s="64">
        <f>$BG$2</f>
        <v>500</v>
      </c>
      <c r="BH26" s="82">
        <v>490</v>
      </c>
      <c r="BI26" s="63">
        <f>Table_SiteMilestoneTracking[[#This Row],[SiteReadyForIntegration_BL]]+t7_IntegrationBL</f>
        <v>44040</v>
      </c>
      <c r="BJ26" s="84">
        <v>44047</v>
      </c>
      <c r="BK26" s="64">
        <f>IF(ISBLANK(Table_SiteMilestoneTracking[[#This Row],[SiteOnAir_AC]])=FALSE,Table_SiteMilestoneTracking[[#This Row],[SiteOnAir_AC]]-Table_SiteMilestoneTracking[[#This Row],[SiteOnAir_BL]],"-")</f>
        <v>7</v>
      </c>
      <c r="BL26" s="64">
        <f>IF(ISBLANK(Table_SiteMilestoneTracking[[#This Row],[SiteOnAir_AC]])=FALSE,Table_SiteMilestoneTracking[[#This Row],[SiteOnAir_AC]]-Table_SiteMilestoneTracking[[#This Row],[SiteReadyForIntegration_AC]],"-")</f>
        <v>5</v>
      </c>
      <c r="BM26" s="64">
        <f>$BM$2</f>
        <v>250</v>
      </c>
      <c r="BN26" s="82"/>
      <c r="BO26" s="63">
        <f>Table_SiteMilestoneTracking[[#This Row],[SiteOnAir_BL]]+t8_AcceptanceBL</f>
        <v>44044</v>
      </c>
      <c r="BP26" s="84"/>
      <c r="BQ26" s="64" t="str">
        <f>IF(ISBLANK(Table_SiteMilestoneTracking[[#This Row],[SiteAccepted_AC]])=FALSE,Table_SiteMilestoneTracking[[#This Row],[SiteAccepted_AC]]-Table_SiteMilestoneTracking[[#This Row],[SiteAccepted_BL]],"-")</f>
        <v>-</v>
      </c>
      <c r="BR26" s="64" t="str">
        <f>IF(ISBLANK(Table_SiteMilestoneTracking[[#This Row],[SiteAccepted_AC]])=FALSE,Table_SiteMilestoneTracking[[#This Row],[SiteAccepted_AC]]-Table_SiteMilestoneTracking[[#This Row],[SiteOnAir_AC]],"-")</f>
        <v>-</v>
      </c>
      <c r="BS26" s="64">
        <f>$BS$2</f>
        <v>200</v>
      </c>
      <c r="BT26" s="82"/>
      <c r="BU26" s="63">
        <f>Table_SiteMilestoneTracking[[#This Row],[SiteAccepted_BL]]+t9_HandoverBL</f>
        <v>44052</v>
      </c>
      <c r="BV26" s="84"/>
      <c r="BW26" s="64" t="str">
        <f>IF(ISBLANK(Table_SiteMilestoneTracking[[#This Row],[SiteInOperations_AC]])=FALSE,Table_SiteMilestoneTracking[[#This Row],[SiteInOperations_AC]]-Table_SiteMilestoneTracking[[#This Row],[SiteInOperations_BL]],"-")</f>
        <v>-</v>
      </c>
      <c r="BX26" s="66">
        <f>Table_SiteMilestoneTracking[[#This Row],[SiteInOperations_BL]]-Table_SiteMilestoneTracking[[#This Row],[SiteDesignReady_BL]]</f>
        <v>55</v>
      </c>
      <c r="BY26" s="66" t="str">
        <f>IF(Table_SiteMilestoneTracking[[#This Row],[CurrentSiteMilestone]]="SiteInOperations",Table_SiteMilestoneTracking[[#This Row],[SiteInOperations_AC]]-Table_SiteMilestoneTracking[[#This Row],[SiteDesignReady_AC]],"")</f>
        <v/>
      </c>
      <c r="BZ26" s="66" t="str">
        <f>IFERROR(Table_SiteMilestoneTracking[[#This Row],[E2E_Site_AC]]-Table_SiteMilestoneTracking[[#This Row],[E2E_Site_BL]],"")</f>
        <v/>
      </c>
      <c r="CA26" s="66" t="str">
        <f>IF(Table_SiteMilestoneTracking[[#This Row],[CurrentSiteMilestone]]="SiteInOperations",Table_SiteMilestoneTracking[[#This Row],[SiteInOperations_AC]]-Table_SiteMilestoneTracking[[#This Row],[SiteAccepted_AC]],"")</f>
        <v/>
      </c>
      <c r="CB26" s="79"/>
      <c r="CC26" s="89"/>
      <c r="CD26" s="89"/>
      <c r="CE26" s="70"/>
      <c r="CF26" s="70"/>
      <c r="CG26" s="70"/>
      <c r="CH26" s="70"/>
      <c r="CI26" s="70"/>
      <c r="CJ26" s="70"/>
      <c r="CK26" s="70"/>
      <c r="CL26" s="70"/>
      <c r="CM26" s="70"/>
      <c r="CN26" s="70"/>
      <c r="CO26" s="70"/>
      <c r="CP26" s="70"/>
      <c r="CQ26" s="70"/>
      <c r="CR26" s="70"/>
      <c r="CS26" s="70"/>
      <c r="CT26" s="70"/>
      <c r="CU26" s="70"/>
      <c r="CV26" s="70"/>
      <c r="CW26" s="70"/>
      <c r="CX26" s="70"/>
      <c r="CY26" s="70"/>
      <c r="CZ26" s="70"/>
      <c r="DA26" s="70"/>
      <c r="DB26" s="70"/>
      <c r="DC26" s="70"/>
      <c r="DD26" s="70"/>
      <c r="DE26" s="70"/>
      <c r="DF26" s="70"/>
      <c r="DG26" s="70"/>
      <c r="DH26" s="70"/>
      <c r="DI26" s="70"/>
      <c r="DJ26" s="70"/>
      <c r="DK26" s="70"/>
      <c r="DL26" s="70"/>
      <c r="DM26" s="70"/>
      <c r="DN26" s="70"/>
      <c r="DO26" s="70"/>
      <c r="DP26" s="70"/>
      <c r="DQ26" s="70"/>
      <c r="DR26" s="70"/>
      <c r="DS26" s="70"/>
      <c r="DT26" s="70"/>
      <c r="DU26" s="70"/>
      <c r="DV26" s="70"/>
    </row>
    <row r="27" spans="1:126" x14ac:dyDescent="0.3">
      <c r="A27" s="79" t="str">
        <f>'4. Design Tracking Summary'!A28</f>
        <v>CA00269</v>
      </c>
      <c r="B27" s="79" t="str">
        <f>'4. Design Tracking Summary'!B28</f>
        <v>South</v>
      </c>
      <c r="C27" s="79" t="str">
        <f>'4. Design Tracking Summary'!C28</f>
        <v>CHI</v>
      </c>
      <c r="D27" s="79" t="str">
        <f>'4. Design Tracking Summary'!D28</f>
        <v>SMALL</v>
      </c>
      <c r="E27" s="79" t="s">
        <v>57</v>
      </c>
      <c r="F27" s="79"/>
      <c r="G27" s="60" t="str">
        <f>IFERROR(INDEX(Table_SiteMilestonesNames[SiteMilestoneName],COUNTA(Table_SiteMilestoneTracking[[#This Row],[SiteDesignStarted_AC]],Table_SiteMilestoneTracking[[#This Row],[SiteDesignReady_AC]],Table_SiteMilestoneTracking[[#This Row],[SiteSurveyCompleted_AC]],Table_SiteMilestoneTracking[[#This Row],[SiteAcquired_AC]],Table_SiteMilestoneTracking[[#This Row],[SiteReadyForCW_AC]],Table_SiteMilestoneTracking[[#This Row],[SiteReadyForPower_AC]],Table_SiteMilestoneTracking[[#This Row],[TXReady_AC]],Table_SiteMilestoneTracking[[#This Row],[SiteReadyForInstallation_AC]],Table_SiteMilestoneTracking[[#This Row],[SiteReadyForIntegration_AC]],Table_SiteMilestoneTracking[[#This Row],[SiteOnAir_AC]],Table_SiteMilestoneTracking[[#This Row],[SiteAccepted_AC]],Table_SiteMilestoneTracking[[#This Row],[SiteInOperations_AC]])+1),"Invalid Milestone")</f>
        <v>SiteOnAir</v>
      </c>
      <c r="H27" s="61">
        <f>Table_SiteMilestoneTracking[[#This Row],[c0_SiteDesignCostBL]]+Table_SiteMilestoneTracking[[#This Row],[c1_SiteSurveyCostBL]]+Table_SiteMilestoneTracking[[#This Row],[c2_SiteAcquisitionCostBL]]+Table_SiteMilestoneTracking[[#This Row],[c3_CivilWorksCostBL]]+Table_SiteMilestoneTracking[[#This Row],[c4_PowerInstallCostBL]]+Table_SiteMilestoneTracking[[#This Row],[c5_TxintegrationCostBL]]+Table_SiteMilestoneTracking[[#This Row],[c6_InstallationCostBL]]+Table_SiteMilestoneTracking[[#This Row],[c7_IntegrationCostBL]]+Table_SiteMilestoneTracking[[#This Row],[c8_AcceptanceCostBL]]+Table_SiteMilestoneTracking[[#This Row],[c9_HandoverCostBL]]</f>
        <v>7550</v>
      </c>
      <c r="I27" s="62">
        <f>Table_SiteMilestoneTracking[[#This Row],[c0_SiteDesignCostAC]]+Table_SiteMilestoneTracking[[#This Row],[c1_SiteSurveyCostAC]]+Table_SiteMilestoneTracking[[#This Row],[c2_SiteAcquisitionCostAC]]+Table_SiteMilestoneTracking[[#This Row],[c3_CivilWorksCostAC]]+Table_SiteMilestoneTracking[[#This Row],[c4_PowerInstallCostAC]]+Table_SiteMilestoneTracking[[#This Row],[c5_TxintegrationCostAC]]+Table_SiteMilestoneTracking[[#This Row],[c6_InstallationCostAC]]+Table_SiteMilestoneTracking[[#This Row],[c7_IntegrationCostAC]]+Table_SiteMilestoneTracking[[#This Row],[c8_AcceptanceCostAC]]+Table_SiteMilestoneTracking[[#This Row],[c9_HandoverCostAC]]</f>
        <v>7025</v>
      </c>
      <c r="J27" s="84">
        <v>43995</v>
      </c>
      <c r="K27" s="84">
        <v>43997</v>
      </c>
      <c r="L27" s="64">
        <f>IF(ISBLANK(Table_SiteMilestoneTracking[[#This Row],[SiteDesignStarted_AC]])=FALSE,Table_SiteMilestoneTracking[[#This Row],[SiteDesignStarted_AC]]-Table_SiteMilestoneTracking[[#This Row],[SiteDesignStarted_BL]],"")</f>
        <v>2</v>
      </c>
      <c r="M27" s="64">
        <f t="shared" si="0"/>
        <v>500</v>
      </c>
      <c r="N27" s="87">
        <v>480</v>
      </c>
      <c r="O27" s="63">
        <f>Table_SiteMilestoneTracking[[#This Row],[SiteDesignStarted_BL]]+t0_SiteDesignDelayBL</f>
        <v>43997</v>
      </c>
      <c r="P27" s="84">
        <v>43999</v>
      </c>
      <c r="Q27" s="64">
        <f>IF(ISBLANK(Table_SiteMilestoneTracking[[#This Row],[SiteDesignReady_AC]])=FALSE,Table_SiteMilestoneTracking[[#This Row],[SiteDesignReady_AC]]-Table_SiteMilestoneTracking[[#This Row],[SiteDesignReady_BL]],"-")</f>
        <v>2</v>
      </c>
      <c r="R27" s="64">
        <f t="shared" si="5"/>
        <v>500</v>
      </c>
      <c r="S27" s="82">
        <v>675</v>
      </c>
      <c r="T27" s="63">
        <f>Table_SiteMilestoneTracking[[#This Row],[SiteDesignReady_BL]]+t1_SiteSurveyBL</f>
        <v>43999</v>
      </c>
      <c r="U27" s="84">
        <v>44001</v>
      </c>
      <c r="V27" s="64">
        <f>IF(ISBLANK(Table_SiteMilestoneTracking[[#This Row],[SiteSurveyCompleted_AC]])=FALSE,Table_SiteMilestoneTracking[[#This Row],[SiteSurveyCompleted_AC]]-Table_SiteMilestoneTracking[[#This Row],[SiteDesignReady_AC]],"-")</f>
        <v>2</v>
      </c>
      <c r="W27" s="64">
        <f t="shared" si="1"/>
        <v>600</v>
      </c>
      <c r="X27" s="82">
        <v>540</v>
      </c>
      <c r="Y27" s="63">
        <f>Table_SiteMilestoneTracking[[#This Row],[SiteSurveyCompleted_BL]]+t2_SiteAcquisitionBL</f>
        <v>44010</v>
      </c>
      <c r="Z27" s="84">
        <v>44012</v>
      </c>
      <c r="AA27" s="65">
        <f>IF(ISBLANK(Table_SiteMilestoneTracking[[#This Row],[SiteAcquired_AC]])=FALSE,Table_SiteMilestoneTracking[[#This Row],[SiteAcquired_AC]]-Table_SiteMilestoneTracking[[#This Row],[SiteAcquired_BL]],"-")</f>
        <v>2</v>
      </c>
      <c r="AB27" s="65">
        <f>IF(ISBLANK(Table_SiteMilestoneTracking[[#This Row],[SiteAcquired_AC]])=FALSE,Table_SiteMilestoneTracking[[#This Row],[SiteAcquired_AC]]-Table_SiteMilestoneTracking[[#This Row],[SiteSurveyCompleted_AC]],"-")</f>
        <v>11</v>
      </c>
      <c r="AC27" s="64">
        <f t="shared" si="2"/>
        <v>150</v>
      </c>
      <c r="AD27" s="82">
        <v>180.00000000000003</v>
      </c>
      <c r="AE27" s="63">
        <f>Table_SiteMilestoneTracking[[#This Row],[SiteAcquired_BL]]+t2a_SiteCWReadinessBL</f>
        <v>44012</v>
      </c>
      <c r="AF27" s="85">
        <v>44015</v>
      </c>
      <c r="AG27" s="66">
        <f>IF(ISBLANK(Table_SiteMilestoneTracking[[#This Row],[SiteReadyForCW_AC]])=FALSE,Table_SiteMilestoneTracking[[#This Row],[SiteReadyForCW_AC]]-Table_SiteMilestoneTracking[[#This Row],[SiteReadyForCW_BL]],"-")</f>
        <v>3</v>
      </c>
      <c r="AH27" s="66">
        <f>IF(ISBLANK(Table_SiteMilestoneTracking[[#This Row],[SiteReadyForCW_AC]])=FALSE,Table_SiteMilestoneTracking[[#This Row],[SiteReadyForCW_AC]]-Table_SiteMilestoneTracking[[#This Row],[SiteDesignReady_AC]],"-")</f>
        <v>16</v>
      </c>
      <c r="AI27" s="64">
        <f t="shared" si="3"/>
        <v>1500</v>
      </c>
      <c r="AJ27" s="82">
        <v>1650</v>
      </c>
      <c r="AK27" s="63">
        <f>Table_SiteMilestoneTracking[[#This Row],[SiteReadyForCW_BL]]+t3_CivilWorksBL</f>
        <v>44020</v>
      </c>
      <c r="AL27" s="84">
        <v>44023</v>
      </c>
      <c r="AM27" s="64">
        <f>IF(ISBLANK(Table_SiteMilestoneTracking[[#This Row],[SiteReadyForPower_AC]])=FALSE,Table_SiteMilestoneTracking[[#This Row],[SiteReadyForPower_AC]]-Table_SiteMilestoneTracking[[#This Row],[SiteReadyForPower_BL]],"-")</f>
        <v>3</v>
      </c>
      <c r="AN27" s="64">
        <f>IF(ISBLANK(Table_SiteMilestoneTracking[[#This Row],[SiteReadyForPower_AC]])=FALSE,Table_SiteMilestoneTracking[[#This Row],[SiteReadyForPower_AC]]-Table_SiteMilestoneTracking[[#This Row],[SiteReadyForCW_AC]],"-")</f>
        <v>8</v>
      </c>
      <c r="AO27" s="64">
        <f t="shared" si="4"/>
        <v>500</v>
      </c>
      <c r="AP27" s="82">
        <v>550</v>
      </c>
      <c r="AQ27" s="63">
        <f>Table_SiteMilestoneTracking[[#This Row],[SiteReadyForPower_BL]]+t4_PowerInstallBL</f>
        <v>44025</v>
      </c>
      <c r="AR27" s="84">
        <v>44029</v>
      </c>
      <c r="AS27" s="64">
        <f>IF(ISBLANK(Table_SiteMilestoneTracking[[#This Row],[TXReady_AC]])=FALSE,Table_SiteMilestoneTracking[[#This Row],[TXReady_AC]]-Table_SiteMilestoneTracking[[#This Row],[TXReady_BL]],"-")</f>
        <v>4</v>
      </c>
      <c r="AT27" s="64">
        <f>IF(ISBLANK(Table_SiteMilestoneTracking[[#This Row],[TXReady_AC]])=FALSE,Table_SiteMilestoneTracking[[#This Row],[TXReady_AC]]-Table_SiteMilestoneTracking[[#This Row],[SiteReadyForPower_AC]],"-")</f>
        <v>6</v>
      </c>
      <c r="AU27" s="64">
        <f>$AU$2</f>
        <v>500</v>
      </c>
      <c r="AV27" s="82">
        <v>600</v>
      </c>
      <c r="AW27" s="63">
        <f>Table_SiteMilestoneTracking[[#This Row],[TXReady_BL]]+t5_TxintegrationBL</f>
        <v>44032</v>
      </c>
      <c r="AX27" s="84">
        <v>44037</v>
      </c>
      <c r="AY27" s="64">
        <f>IF(ISBLANK(Table_SiteMilestoneTracking[[#This Row],[SiteReadyForInstallation_AC]])=FALSE,Table_SiteMilestoneTracking[[#This Row],[SiteReadyForInstallation_AC]]-Table_SiteMilestoneTracking[[#This Row],[SiteReadyForInstallation_BL]],"-")</f>
        <v>5</v>
      </c>
      <c r="AZ27" s="64">
        <f>IF(ISBLANK(Table_SiteMilestoneTracking[[#This Row],[SiteReadyForInstallation_AC]])=FALSE,Table_SiteMilestoneTracking[[#This Row],[SiteReadyForInstallation_AC]]-Table_SiteMilestoneTracking[[#This Row],[TXReady_AC]],"-")</f>
        <v>8</v>
      </c>
      <c r="BA27" s="64">
        <f>$BA$2</f>
        <v>2500</v>
      </c>
      <c r="BB27" s="82">
        <v>2050</v>
      </c>
      <c r="BC27" s="63">
        <f>Table_SiteMilestoneTracking[[#This Row],[SiteReadyForInstallation_BL]]+t6_InstallationBL</f>
        <v>44036</v>
      </c>
      <c r="BD27" s="84">
        <v>44042</v>
      </c>
      <c r="BE27" s="64">
        <f>IF(ISBLANK(Table_SiteMilestoneTracking[[#This Row],[SiteReadyForIntegration_AC]])=FALSE,Table_SiteMilestoneTracking[[#This Row],[SiteReadyForIntegration_AC]]-Table_SiteMilestoneTracking[[#This Row],[SiteReadyForIntegration_BL]],"-")</f>
        <v>6</v>
      </c>
      <c r="BF27" s="64">
        <f>IF(ISBLANK(Table_SiteMilestoneTracking[[#This Row],[SiteReadyForIntegration_AC]])=FALSE,Table_SiteMilestoneTracking[[#This Row],[SiteReadyForIntegration_AC]]-Table_SiteMilestoneTracking[[#This Row],[SiteReadyForInstallation_AC]],"-")</f>
        <v>5</v>
      </c>
      <c r="BG27" s="64">
        <f>$BG$2</f>
        <v>500</v>
      </c>
      <c r="BH27" s="82">
        <v>480</v>
      </c>
      <c r="BI27" s="63">
        <f>Table_SiteMilestoneTracking[[#This Row],[SiteReadyForIntegration_BL]]+t7_IntegrationBL</f>
        <v>44040</v>
      </c>
      <c r="BJ27" s="84">
        <v>44047</v>
      </c>
      <c r="BK27" s="64">
        <f>IF(ISBLANK(Table_SiteMilestoneTracking[[#This Row],[SiteOnAir_AC]])=FALSE,Table_SiteMilestoneTracking[[#This Row],[SiteOnAir_AC]]-Table_SiteMilestoneTracking[[#This Row],[SiteOnAir_BL]],"-")</f>
        <v>7</v>
      </c>
      <c r="BL27" s="64">
        <f>IF(ISBLANK(Table_SiteMilestoneTracking[[#This Row],[SiteOnAir_AC]])=FALSE,Table_SiteMilestoneTracking[[#This Row],[SiteOnAir_AC]]-Table_SiteMilestoneTracking[[#This Row],[SiteReadyForIntegration_AC]],"-")</f>
        <v>5</v>
      </c>
      <c r="BM27" s="64">
        <f>$BM$2</f>
        <v>250</v>
      </c>
      <c r="BN27" s="82"/>
      <c r="BO27" s="63">
        <f>Table_SiteMilestoneTracking[[#This Row],[SiteOnAir_BL]]+t8_AcceptanceBL</f>
        <v>44044</v>
      </c>
      <c r="BP27" s="84"/>
      <c r="BQ27" s="64" t="str">
        <f>IF(ISBLANK(Table_SiteMilestoneTracking[[#This Row],[SiteAccepted_AC]])=FALSE,Table_SiteMilestoneTracking[[#This Row],[SiteAccepted_AC]]-Table_SiteMilestoneTracking[[#This Row],[SiteAccepted_BL]],"-")</f>
        <v>-</v>
      </c>
      <c r="BR27" s="64" t="str">
        <f>IF(ISBLANK(Table_SiteMilestoneTracking[[#This Row],[SiteAccepted_AC]])=FALSE,Table_SiteMilestoneTracking[[#This Row],[SiteAccepted_AC]]-Table_SiteMilestoneTracking[[#This Row],[SiteOnAir_AC]],"-")</f>
        <v>-</v>
      </c>
      <c r="BS27" s="64">
        <f>$BS$2</f>
        <v>200</v>
      </c>
      <c r="BT27" s="82"/>
      <c r="BU27" s="63">
        <f>Table_SiteMilestoneTracking[[#This Row],[SiteAccepted_BL]]+t9_HandoverBL</f>
        <v>44052</v>
      </c>
      <c r="BV27" s="84"/>
      <c r="BW27" s="64" t="str">
        <f>IF(ISBLANK(Table_SiteMilestoneTracking[[#This Row],[SiteInOperations_AC]])=FALSE,Table_SiteMilestoneTracking[[#This Row],[SiteInOperations_AC]]-Table_SiteMilestoneTracking[[#This Row],[SiteInOperations_BL]],"-")</f>
        <v>-</v>
      </c>
      <c r="BX27" s="66">
        <f>Table_SiteMilestoneTracking[[#This Row],[SiteInOperations_BL]]-Table_SiteMilestoneTracking[[#This Row],[SiteDesignReady_BL]]</f>
        <v>55</v>
      </c>
      <c r="BY27" s="66" t="str">
        <f>IF(Table_SiteMilestoneTracking[[#This Row],[CurrentSiteMilestone]]="SiteInOperations",Table_SiteMilestoneTracking[[#This Row],[SiteInOperations_AC]]-Table_SiteMilestoneTracking[[#This Row],[SiteDesignReady_AC]],"")</f>
        <v/>
      </c>
      <c r="BZ27" s="66" t="str">
        <f>IFERROR(Table_SiteMilestoneTracking[[#This Row],[E2E_Site_AC]]-Table_SiteMilestoneTracking[[#This Row],[E2E_Site_BL]],"")</f>
        <v/>
      </c>
      <c r="CA27" s="66" t="str">
        <f>IF(Table_SiteMilestoneTracking[[#This Row],[CurrentSiteMilestone]]="SiteInOperations",Table_SiteMilestoneTracking[[#This Row],[SiteInOperations_AC]]-Table_SiteMilestoneTracking[[#This Row],[SiteAccepted_AC]],"")</f>
        <v/>
      </c>
      <c r="CB27" s="79"/>
      <c r="CC27" s="89"/>
      <c r="CD27" s="89"/>
      <c r="CE27" s="70"/>
      <c r="CF27" s="70"/>
      <c r="CG27" s="70"/>
      <c r="CH27" s="70"/>
      <c r="CI27" s="70"/>
      <c r="CJ27" s="70"/>
      <c r="CK27" s="70"/>
      <c r="CL27" s="70"/>
      <c r="CM27" s="70"/>
      <c r="CN27" s="70"/>
      <c r="CO27" s="70"/>
      <c r="CP27" s="70"/>
      <c r="CQ27" s="70"/>
      <c r="CR27" s="70"/>
      <c r="CS27" s="70"/>
      <c r="CT27" s="70"/>
      <c r="CU27" s="70"/>
      <c r="CV27" s="70"/>
      <c r="CW27" s="70"/>
      <c r="CX27" s="70"/>
      <c r="CY27" s="70"/>
      <c r="CZ27" s="70"/>
      <c r="DA27" s="70"/>
      <c r="DB27" s="70"/>
      <c r="DC27" s="70"/>
      <c r="DD27" s="70"/>
      <c r="DE27" s="70"/>
      <c r="DF27" s="70"/>
      <c r="DG27" s="70"/>
      <c r="DH27" s="70"/>
      <c r="DI27" s="70"/>
      <c r="DJ27" s="70"/>
      <c r="DK27" s="70"/>
      <c r="DL27" s="70"/>
      <c r="DM27" s="70"/>
      <c r="DN27" s="70"/>
      <c r="DO27" s="70"/>
      <c r="DP27" s="70"/>
      <c r="DQ27" s="70"/>
      <c r="DR27" s="70"/>
      <c r="DS27" s="70"/>
      <c r="DT27" s="70"/>
      <c r="DU27" s="70"/>
      <c r="DV27" s="70"/>
    </row>
    <row r="28" spans="1:126" x14ac:dyDescent="0.3">
      <c r="A28" s="79" t="str">
        <f>'4. Design Tracking Summary'!A29</f>
        <v>CA00496</v>
      </c>
      <c r="B28" s="79" t="str">
        <f>'4. Design Tracking Summary'!B29</f>
        <v>North</v>
      </c>
      <c r="C28" s="79" t="str">
        <f>'4. Design Tracking Summary'!C29</f>
        <v>MTY</v>
      </c>
      <c r="D28" s="79" t="str">
        <f>'4. Design Tracking Summary'!D29</f>
        <v>MACRO</v>
      </c>
      <c r="E28" s="79" t="s">
        <v>58</v>
      </c>
      <c r="F28" s="79"/>
      <c r="G28" s="60" t="str">
        <f>IFERROR(INDEX(Table_SiteMilestonesNames[SiteMilestoneName],COUNTA(Table_SiteMilestoneTracking[[#This Row],[SiteDesignStarted_AC]],Table_SiteMilestoneTracking[[#This Row],[SiteDesignReady_AC]],Table_SiteMilestoneTracking[[#This Row],[SiteSurveyCompleted_AC]],Table_SiteMilestoneTracking[[#This Row],[SiteAcquired_AC]],Table_SiteMilestoneTracking[[#This Row],[SiteReadyForCW_AC]],Table_SiteMilestoneTracking[[#This Row],[SiteReadyForPower_AC]],Table_SiteMilestoneTracking[[#This Row],[TXReady_AC]],Table_SiteMilestoneTracking[[#This Row],[SiteReadyForInstallation_AC]],Table_SiteMilestoneTracking[[#This Row],[SiteReadyForIntegration_AC]],Table_SiteMilestoneTracking[[#This Row],[SiteOnAir_AC]],Table_SiteMilestoneTracking[[#This Row],[SiteAccepted_AC]],Table_SiteMilestoneTracking[[#This Row],[SiteInOperations_AC]])+1),"Invalid Milestone")</f>
        <v>SiteOnAir</v>
      </c>
      <c r="H28" s="61">
        <f>Table_SiteMilestoneTracking[[#This Row],[c0_SiteDesignCostBL]]+Table_SiteMilestoneTracking[[#This Row],[c1_SiteSurveyCostBL]]+Table_SiteMilestoneTracking[[#This Row],[c2_SiteAcquisitionCostBL]]+Table_SiteMilestoneTracking[[#This Row],[c3_CivilWorksCostBL]]+Table_SiteMilestoneTracking[[#This Row],[c4_PowerInstallCostBL]]+Table_SiteMilestoneTracking[[#This Row],[c5_TxintegrationCostBL]]+Table_SiteMilestoneTracking[[#This Row],[c6_InstallationCostBL]]+Table_SiteMilestoneTracking[[#This Row],[c7_IntegrationCostBL]]+Table_SiteMilestoneTracking[[#This Row],[c8_AcceptanceCostBL]]+Table_SiteMilestoneTracking[[#This Row],[c9_HandoverCostBL]]</f>
        <v>7550</v>
      </c>
      <c r="I28" s="62">
        <f>Table_SiteMilestoneTracking[[#This Row],[c0_SiteDesignCostAC]]+Table_SiteMilestoneTracking[[#This Row],[c1_SiteSurveyCostAC]]+Table_SiteMilestoneTracking[[#This Row],[c2_SiteAcquisitionCostAC]]+Table_SiteMilestoneTracking[[#This Row],[c3_CivilWorksCostAC]]+Table_SiteMilestoneTracking[[#This Row],[c4_PowerInstallCostAC]]+Table_SiteMilestoneTracking[[#This Row],[c5_TxintegrationCostAC]]+Table_SiteMilestoneTracking[[#This Row],[c6_InstallationCostAC]]+Table_SiteMilestoneTracking[[#This Row],[c7_IntegrationCostAC]]+Table_SiteMilestoneTracking[[#This Row],[c8_AcceptanceCostAC]]+Table_SiteMilestoneTracking[[#This Row],[c9_HandoverCostAC]]</f>
        <v>7175</v>
      </c>
      <c r="J28" s="84">
        <v>43995</v>
      </c>
      <c r="K28" s="84">
        <v>43996</v>
      </c>
      <c r="L28" s="64">
        <f>IF(ISBLANK(Table_SiteMilestoneTracking[[#This Row],[SiteDesignStarted_AC]])=FALSE,Table_SiteMilestoneTracking[[#This Row],[SiteDesignStarted_AC]]-Table_SiteMilestoneTracking[[#This Row],[SiteDesignStarted_BL]],"")</f>
        <v>1</v>
      </c>
      <c r="M28" s="64">
        <f t="shared" si="0"/>
        <v>500</v>
      </c>
      <c r="N28" s="87">
        <v>440</v>
      </c>
      <c r="O28" s="63">
        <f>Table_SiteMilestoneTracking[[#This Row],[SiteDesignStarted_BL]]+t0_SiteDesignDelayBL</f>
        <v>43997</v>
      </c>
      <c r="P28" s="84">
        <v>43998</v>
      </c>
      <c r="Q28" s="64">
        <f>IF(ISBLANK(Table_SiteMilestoneTracking[[#This Row],[SiteDesignReady_AC]])=FALSE,Table_SiteMilestoneTracking[[#This Row],[SiteDesignReady_AC]]-Table_SiteMilestoneTracking[[#This Row],[SiteDesignReady_BL]],"-")</f>
        <v>1</v>
      </c>
      <c r="R28" s="64">
        <f t="shared" si="5"/>
        <v>500</v>
      </c>
      <c r="S28" s="82">
        <v>775</v>
      </c>
      <c r="T28" s="63">
        <f>Table_SiteMilestoneTracking[[#This Row],[SiteDesignReady_BL]]+t1_SiteSurveyBL</f>
        <v>43999</v>
      </c>
      <c r="U28" s="84">
        <v>44000</v>
      </c>
      <c r="V28" s="64">
        <f>IF(ISBLANK(Table_SiteMilestoneTracking[[#This Row],[SiteSurveyCompleted_AC]])=FALSE,Table_SiteMilestoneTracking[[#This Row],[SiteSurveyCompleted_AC]]-Table_SiteMilestoneTracking[[#This Row],[SiteDesignReady_AC]],"-")</f>
        <v>2</v>
      </c>
      <c r="W28" s="64">
        <f t="shared" si="1"/>
        <v>600</v>
      </c>
      <c r="X28" s="82">
        <v>720</v>
      </c>
      <c r="Y28" s="63">
        <f>Table_SiteMilestoneTracking[[#This Row],[SiteSurveyCompleted_BL]]+t2_SiteAcquisitionBL</f>
        <v>44010</v>
      </c>
      <c r="Z28" s="84">
        <v>44011</v>
      </c>
      <c r="AA28" s="65">
        <f>IF(ISBLANK(Table_SiteMilestoneTracking[[#This Row],[SiteAcquired_AC]])=FALSE,Table_SiteMilestoneTracking[[#This Row],[SiteAcquired_AC]]-Table_SiteMilestoneTracking[[#This Row],[SiteAcquired_BL]],"-")</f>
        <v>1</v>
      </c>
      <c r="AB28" s="65">
        <f>IF(ISBLANK(Table_SiteMilestoneTracking[[#This Row],[SiteAcquired_AC]])=FALSE,Table_SiteMilestoneTracking[[#This Row],[SiteAcquired_AC]]-Table_SiteMilestoneTracking[[#This Row],[SiteSurveyCompleted_AC]],"-")</f>
        <v>11</v>
      </c>
      <c r="AC28" s="64">
        <f t="shared" si="2"/>
        <v>150</v>
      </c>
      <c r="AD28" s="82">
        <v>150</v>
      </c>
      <c r="AE28" s="63">
        <f>Table_SiteMilestoneTracking[[#This Row],[SiteAcquired_BL]]+t2a_SiteCWReadinessBL</f>
        <v>44012</v>
      </c>
      <c r="AF28" s="85">
        <v>44014</v>
      </c>
      <c r="AG28" s="66">
        <f>IF(ISBLANK(Table_SiteMilestoneTracking[[#This Row],[SiteReadyForCW_AC]])=FALSE,Table_SiteMilestoneTracking[[#This Row],[SiteReadyForCW_AC]]-Table_SiteMilestoneTracking[[#This Row],[SiteReadyForCW_BL]],"-")</f>
        <v>2</v>
      </c>
      <c r="AH28" s="66">
        <f>IF(ISBLANK(Table_SiteMilestoneTracking[[#This Row],[SiteReadyForCW_AC]])=FALSE,Table_SiteMilestoneTracking[[#This Row],[SiteReadyForCW_AC]]-Table_SiteMilestoneTracking[[#This Row],[SiteDesignReady_AC]],"-")</f>
        <v>16</v>
      </c>
      <c r="AI28" s="64">
        <f t="shared" si="3"/>
        <v>1500</v>
      </c>
      <c r="AJ28" s="82">
        <v>1650</v>
      </c>
      <c r="AK28" s="63">
        <f>Table_SiteMilestoneTracking[[#This Row],[SiteReadyForCW_BL]]+t3_CivilWorksBL</f>
        <v>44020</v>
      </c>
      <c r="AL28" s="84">
        <v>44022</v>
      </c>
      <c r="AM28" s="64">
        <f>IF(ISBLANK(Table_SiteMilestoneTracking[[#This Row],[SiteReadyForPower_AC]])=FALSE,Table_SiteMilestoneTracking[[#This Row],[SiteReadyForPower_AC]]-Table_SiteMilestoneTracking[[#This Row],[SiteReadyForPower_BL]],"-")</f>
        <v>2</v>
      </c>
      <c r="AN28" s="64">
        <f>IF(ISBLANK(Table_SiteMilestoneTracking[[#This Row],[SiteReadyForPower_AC]])=FALSE,Table_SiteMilestoneTracking[[#This Row],[SiteReadyForPower_AC]]-Table_SiteMilestoneTracking[[#This Row],[SiteReadyForCW_AC]],"-")</f>
        <v>8</v>
      </c>
      <c r="AO28" s="64">
        <f t="shared" si="4"/>
        <v>500</v>
      </c>
      <c r="AP28" s="82">
        <v>400</v>
      </c>
      <c r="AQ28" s="63">
        <f>Table_SiteMilestoneTracking[[#This Row],[SiteReadyForPower_BL]]+t4_PowerInstallBL</f>
        <v>44025</v>
      </c>
      <c r="AR28" s="84">
        <v>44027</v>
      </c>
      <c r="AS28" s="64">
        <f>IF(ISBLANK(Table_SiteMilestoneTracking[[#This Row],[TXReady_AC]])=FALSE,Table_SiteMilestoneTracking[[#This Row],[TXReady_AC]]-Table_SiteMilestoneTracking[[#This Row],[TXReady_BL]],"-")</f>
        <v>2</v>
      </c>
      <c r="AT28" s="64">
        <f>IF(ISBLANK(Table_SiteMilestoneTracking[[#This Row],[TXReady_AC]])=FALSE,Table_SiteMilestoneTracking[[#This Row],[TXReady_AC]]-Table_SiteMilestoneTracking[[#This Row],[SiteReadyForPower_AC]],"-")</f>
        <v>5</v>
      </c>
      <c r="AU28" s="64">
        <f>$AU$2</f>
        <v>500</v>
      </c>
      <c r="AV28" s="82">
        <v>450</v>
      </c>
      <c r="AW28" s="63">
        <f>Table_SiteMilestoneTracking[[#This Row],[TXReady_BL]]+t5_TxintegrationBL</f>
        <v>44032</v>
      </c>
      <c r="AX28" s="84">
        <v>44034</v>
      </c>
      <c r="AY28" s="64">
        <f>IF(ISBLANK(Table_SiteMilestoneTracking[[#This Row],[SiteReadyForInstallation_AC]])=FALSE,Table_SiteMilestoneTracking[[#This Row],[SiteReadyForInstallation_AC]]-Table_SiteMilestoneTracking[[#This Row],[SiteReadyForInstallation_BL]],"-")</f>
        <v>2</v>
      </c>
      <c r="AZ28" s="64">
        <f>IF(ISBLANK(Table_SiteMilestoneTracking[[#This Row],[SiteReadyForInstallation_AC]])=FALSE,Table_SiteMilestoneTracking[[#This Row],[SiteReadyForInstallation_AC]]-Table_SiteMilestoneTracking[[#This Row],[TXReady_AC]],"-")</f>
        <v>7</v>
      </c>
      <c r="BA28" s="64">
        <f>$BA$2</f>
        <v>2500</v>
      </c>
      <c r="BB28" s="82">
        <v>2250</v>
      </c>
      <c r="BC28" s="63">
        <f>Table_SiteMilestoneTracking[[#This Row],[SiteReadyForInstallation_BL]]+t6_InstallationBL</f>
        <v>44036</v>
      </c>
      <c r="BD28" s="84">
        <v>44039</v>
      </c>
      <c r="BE28" s="64">
        <f>IF(ISBLANK(Table_SiteMilestoneTracking[[#This Row],[SiteReadyForIntegration_AC]])=FALSE,Table_SiteMilestoneTracking[[#This Row],[SiteReadyForIntegration_AC]]-Table_SiteMilestoneTracking[[#This Row],[SiteReadyForIntegration_BL]],"-")</f>
        <v>3</v>
      </c>
      <c r="BF28" s="64">
        <f>IF(ISBLANK(Table_SiteMilestoneTracking[[#This Row],[SiteReadyForIntegration_AC]])=FALSE,Table_SiteMilestoneTracking[[#This Row],[SiteReadyForIntegration_AC]]-Table_SiteMilestoneTracking[[#This Row],[SiteReadyForInstallation_AC]],"-")</f>
        <v>5</v>
      </c>
      <c r="BG28" s="64">
        <f>$BG$2</f>
        <v>500</v>
      </c>
      <c r="BH28" s="82">
        <v>490</v>
      </c>
      <c r="BI28" s="63">
        <f>Table_SiteMilestoneTracking[[#This Row],[SiteReadyForIntegration_BL]]+t7_IntegrationBL</f>
        <v>44040</v>
      </c>
      <c r="BJ28" s="84">
        <v>44040</v>
      </c>
      <c r="BK28" s="64">
        <f>IF(ISBLANK(Table_SiteMilestoneTracking[[#This Row],[SiteOnAir_AC]])=FALSE,Table_SiteMilestoneTracking[[#This Row],[SiteOnAir_AC]]-Table_SiteMilestoneTracking[[#This Row],[SiteOnAir_BL]],"-")</f>
        <v>0</v>
      </c>
      <c r="BL28" s="64">
        <f>IF(ISBLANK(Table_SiteMilestoneTracking[[#This Row],[SiteOnAir_AC]])=FALSE,Table_SiteMilestoneTracking[[#This Row],[SiteOnAir_AC]]-Table_SiteMilestoneTracking[[#This Row],[SiteReadyForIntegration_AC]],"-")</f>
        <v>1</v>
      </c>
      <c r="BM28" s="64">
        <f>$BM$2</f>
        <v>250</v>
      </c>
      <c r="BN28" s="82"/>
      <c r="BO28" s="63">
        <f>Table_SiteMilestoneTracking[[#This Row],[SiteOnAir_BL]]+t8_AcceptanceBL</f>
        <v>44044</v>
      </c>
      <c r="BP28" s="84"/>
      <c r="BQ28" s="64" t="str">
        <f>IF(ISBLANK(Table_SiteMilestoneTracking[[#This Row],[SiteAccepted_AC]])=FALSE,Table_SiteMilestoneTracking[[#This Row],[SiteAccepted_AC]]-Table_SiteMilestoneTracking[[#This Row],[SiteAccepted_BL]],"-")</f>
        <v>-</v>
      </c>
      <c r="BR28" s="64" t="str">
        <f>IF(ISBLANK(Table_SiteMilestoneTracking[[#This Row],[SiteAccepted_AC]])=FALSE,Table_SiteMilestoneTracking[[#This Row],[SiteAccepted_AC]]-Table_SiteMilestoneTracking[[#This Row],[SiteOnAir_AC]],"-")</f>
        <v>-</v>
      </c>
      <c r="BS28" s="64">
        <f>$BS$2</f>
        <v>200</v>
      </c>
      <c r="BT28" s="82"/>
      <c r="BU28" s="63">
        <f>Table_SiteMilestoneTracking[[#This Row],[SiteAccepted_BL]]+t9_HandoverBL</f>
        <v>44052</v>
      </c>
      <c r="BV28" s="84"/>
      <c r="BW28" s="64" t="str">
        <f>IF(ISBLANK(Table_SiteMilestoneTracking[[#This Row],[SiteInOperations_AC]])=FALSE,Table_SiteMilestoneTracking[[#This Row],[SiteInOperations_AC]]-Table_SiteMilestoneTracking[[#This Row],[SiteInOperations_BL]],"-")</f>
        <v>-</v>
      </c>
      <c r="BX28" s="66">
        <f>Table_SiteMilestoneTracking[[#This Row],[SiteInOperations_BL]]-Table_SiteMilestoneTracking[[#This Row],[SiteDesignReady_BL]]</f>
        <v>55</v>
      </c>
      <c r="BY28" s="66" t="str">
        <f>IF(Table_SiteMilestoneTracking[[#This Row],[CurrentSiteMilestone]]="SiteInOperations",Table_SiteMilestoneTracking[[#This Row],[SiteInOperations_AC]]-Table_SiteMilestoneTracking[[#This Row],[SiteDesignReady_AC]],"")</f>
        <v/>
      </c>
      <c r="BZ28" s="66" t="str">
        <f>IFERROR(Table_SiteMilestoneTracking[[#This Row],[E2E_Site_AC]]-Table_SiteMilestoneTracking[[#This Row],[E2E_Site_BL]],"")</f>
        <v/>
      </c>
      <c r="CA28" s="66" t="str">
        <f>IF(Table_SiteMilestoneTracking[[#This Row],[CurrentSiteMilestone]]="SiteInOperations",Table_SiteMilestoneTracking[[#This Row],[SiteInOperations_AC]]-Table_SiteMilestoneTracking[[#This Row],[SiteAccepted_AC]],"")</f>
        <v/>
      </c>
      <c r="CB28" s="79"/>
      <c r="CC28" s="89"/>
      <c r="CD28" s="89"/>
      <c r="CE28" s="70"/>
      <c r="CF28" s="70"/>
      <c r="CG28" s="70"/>
      <c r="CH28" s="70"/>
      <c r="CI28" s="70"/>
      <c r="CJ28" s="70"/>
      <c r="CK28" s="70"/>
      <c r="CL28" s="70"/>
      <c r="CM28" s="70"/>
      <c r="CN28" s="70"/>
      <c r="CO28" s="70"/>
      <c r="CP28" s="70"/>
      <c r="CQ28" s="70"/>
      <c r="CR28" s="70"/>
      <c r="CS28" s="70"/>
      <c r="CT28" s="70"/>
      <c r="CU28" s="70"/>
      <c r="CV28" s="70"/>
      <c r="CW28" s="70"/>
      <c r="CX28" s="70"/>
      <c r="CY28" s="70"/>
      <c r="CZ28" s="70"/>
      <c r="DA28" s="70"/>
      <c r="DB28" s="70"/>
      <c r="DC28" s="70"/>
      <c r="DD28" s="70"/>
      <c r="DE28" s="70"/>
      <c r="DF28" s="70"/>
      <c r="DG28" s="70"/>
      <c r="DH28" s="70"/>
      <c r="DI28" s="70"/>
      <c r="DJ28" s="70"/>
      <c r="DK28" s="70"/>
      <c r="DL28" s="70"/>
      <c r="DM28" s="70"/>
      <c r="DN28" s="70"/>
      <c r="DO28" s="70"/>
      <c r="DP28" s="70"/>
      <c r="DQ28" s="70"/>
      <c r="DR28" s="70"/>
      <c r="DS28" s="70"/>
      <c r="DT28" s="70"/>
      <c r="DU28" s="70"/>
      <c r="DV28" s="70"/>
    </row>
    <row r="29" spans="1:126" x14ac:dyDescent="0.3">
      <c r="A29" s="79" t="str">
        <f>'4. Design Tracking Summary'!A30</f>
        <v>CA00241</v>
      </c>
      <c r="B29" s="79" t="str">
        <f>'4. Design Tracking Summary'!B30</f>
        <v>North</v>
      </c>
      <c r="C29" s="79" t="str">
        <f>'4. Design Tracking Summary'!C30</f>
        <v>ZAC</v>
      </c>
      <c r="D29" s="79" t="str">
        <f>'4. Design Tracking Summary'!D30</f>
        <v>MINI</v>
      </c>
      <c r="E29" s="79" t="s">
        <v>58</v>
      </c>
      <c r="F29" s="79"/>
      <c r="G29" s="60" t="str">
        <f>IFERROR(INDEX(Table_SiteMilestonesNames[SiteMilestoneName],COUNTA(Table_SiteMilestoneTracking[[#This Row],[SiteDesignStarted_AC]],Table_SiteMilestoneTracking[[#This Row],[SiteDesignReady_AC]],Table_SiteMilestoneTracking[[#This Row],[SiteSurveyCompleted_AC]],Table_SiteMilestoneTracking[[#This Row],[SiteAcquired_AC]],Table_SiteMilestoneTracking[[#This Row],[SiteReadyForCW_AC]],Table_SiteMilestoneTracking[[#This Row],[SiteReadyForPower_AC]],Table_SiteMilestoneTracking[[#This Row],[TXReady_AC]],Table_SiteMilestoneTracking[[#This Row],[SiteReadyForInstallation_AC]],Table_SiteMilestoneTracking[[#This Row],[SiteReadyForIntegration_AC]],Table_SiteMilestoneTracking[[#This Row],[SiteOnAir_AC]],Table_SiteMilestoneTracking[[#This Row],[SiteAccepted_AC]],Table_SiteMilestoneTracking[[#This Row],[SiteInOperations_AC]])+1),"Invalid Milestone")</f>
        <v>SiteOnAir</v>
      </c>
      <c r="H29" s="61">
        <f>Table_SiteMilestoneTracking[[#This Row],[c0_SiteDesignCostBL]]+Table_SiteMilestoneTracking[[#This Row],[c1_SiteSurveyCostBL]]+Table_SiteMilestoneTracking[[#This Row],[c2_SiteAcquisitionCostBL]]+Table_SiteMilestoneTracking[[#This Row],[c3_CivilWorksCostBL]]+Table_SiteMilestoneTracking[[#This Row],[c4_PowerInstallCostBL]]+Table_SiteMilestoneTracking[[#This Row],[c5_TxintegrationCostBL]]+Table_SiteMilestoneTracking[[#This Row],[c6_InstallationCostBL]]+Table_SiteMilestoneTracking[[#This Row],[c7_IntegrationCostBL]]+Table_SiteMilestoneTracking[[#This Row],[c8_AcceptanceCostBL]]+Table_SiteMilestoneTracking[[#This Row],[c9_HandoverCostBL]]</f>
        <v>7550</v>
      </c>
      <c r="I29" s="62">
        <f>Table_SiteMilestoneTracking[[#This Row],[c0_SiteDesignCostAC]]+Table_SiteMilestoneTracking[[#This Row],[c1_SiteSurveyCostAC]]+Table_SiteMilestoneTracking[[#This Row],[c2_SiteAcquisitionCostAC]]+Table_SiteMilestoneTracking[[#This Row],[c3_CivilWorksCostAC]]+Table_SiteMilestoneTracking[[#This Row],[c4_PowerInstallCostAC]]+Table_SiteMilestoneTracking[[#This Row],[c5_TxintegrationCostAC]]+Table_SiteMilestoneTracking[[#This Row],[c6_InstallationCostAC]]+Table_SiteMilestoneTracking[[#This Row],[c7_IntegrationCostAC]]+Table_SiteMilestoneTracking[[#This Row],[c8_AcceptanceCostAC]]+Table_SiteMilestoneTracking[[#This Row],[c9_HandoverCostAC]]</f>
        <v>7890</v>
      </c>
      <c r="J29" s="84">
        <v>43995</v>
      </c>
      <c r="K29" s="84">
        <v>43996</v>
      </c>
      <c r="L29" s="64">
        <f>IF(ISBLANK(Table_SiteMilestoneTracking[[#This Row],[SiteDesignStarted_AC]])=FALSE,Table_SiteMilestoneTracking[[#This Row],[SiteDesignStarted_AC]]-Table_SiteMilestoneTracking[[#This Row],[SiteDesignStarted_BL]],"")</f>
        <v>1</v>
      </c>
      <c r="M29" s="64">
        <f t="shared" si="0"/>
        <v>500</v>
      </c>
      <c r="N29" s="87">
        <v>580</v>
      </c>
      <c r="O29" s="63">
        <f>Table_SiteMilestoneTracking[[#This Row],[SiteDesignStarted_BL]]+t0_SiteDesignDelayBL</f>
        <v>43997</v>
      </c>
      <c r="P29" s="84">
        <v>44000</v>
      </c>
      <c r="Q29" s="64">
        <f>IF(ISBLANK(Table_SiteMilestoneTracking[[#This Row],[SiteDesignReady_AC]])=FALSE,Table_SiteMilestoneTracking[[#This Row],[SiteDesignReady_AC]]-Table_SiteMilestoneTracking[[#This Row],[SiteDesignReady_BL]],"-")</f>
        <v>3</v>
      </c>
      <c r="R29" s="64">
        <f t="shared" si="5"/>
        <v>500</v>
      </c>
      <c r="S29" s="82">
        <v>525</v>
      </c>
      <c r="T29" s="63">
        <f>Table_SiteMilestoneTracking[[#This Row],[SiteDesignReady_BL]]+t1_SiteSurveyBL</f>
        <v>43999</v>
      </c>
      <c r="U29" s="84">
        <v>44003</v>
      </c>
      <c r="V29" s="64">
        <f>IF(ISBLANK(Table_SiteMilestoneTracking[[#This Row],[SiteSurveyCompleted_AC]])=FALSE,Table_SiteMilestoneTracking[[#This Row],[SiteSurveyCompleted_AC]]-Table_SiteMilestoneTracking[[#This Row],[SiteDesignReady_AC]],"-")</f>
        <v>3</v>
      </c>
      <c r="W29" s="64">
        <f t="shared" si="1"/>
        <v>600</v>
      </c>
      <c r="X29" s="82">
        <v>660</v>
      </c>
      <c r="Y29" s="63">
        <f>Table_SiteMilestoneTracking[[#This Row],[SiteSurveyCompleted_BL]]+t2_SiteAcquisitionBL</f>
        <v>44010</v>
      </c>
      <c r="Z29" s="84">
        <v>44015</v>
      </c>
      <c r="AA29" s="65">
        <f>IF(ISBLANK(Table_SiteMilestoneTracking[[#This Row],[SiteAcquired_AC]])=FALSE,Table_SiteMilestoneTracking[[#This Row],[SiteAcquired_AC]]-Table_SiteMilestoneTracking[[#This Row],[SiteAcquired_BL]],"-")</f>
        <v>5</v>
      </c>
      <c r="AB29" s="65">
        <f>IF(ISBLANK(Table_SiteMilestoneTracking[[#This Row],[SiteAcquired_AC]])=FALSE,Table_SiteMilestoneTracking[[#This Row],[SiteAcquired_AC]]-Table_SiteMilestoneTracking[[#This Row],[SiteSurveyCompleted_AC]],"-")</f>
        <v>12</v>
      </c>
      <c r="AC29" s="64">
        <f t="shared" si="2"/>
        <v>150</v>
      </c>
      <c r="AD29" s="82">
        <v>120</v>
      </c>
      <c r="AE29" s="63">
        <f>Table_SiteMilestoneTracking[[#This Row],[SiteAcquired_BL]]+t2a_SiteCWReadinessBL</f>
        <v>44012</v>
      </c>
      <c r="AF29" s="85">
        <v>44017</v>
      </c>
      <c r="AG29" s="66">
        <f>IF(ISBLANK(Table_SiteMilestoneTracking[[#This Row],[SiteReadyForCW_AC]])=FALSE,Table_SiteMilestoneTracking[[#This Row],[SiteReadyForCW_AC]]-Table_SiteMilestoneTracking[[#This Row],[SiteReadyForCW_BL]],"-")</f>
        <v>5</v>
      </c>
      <c r="AH29" s="66">
        <f>IF(ISBLANK(Table_SiteMilestoneTracking[[#This Row],[SiteReadyForCW_AC]])=FALSE,Table_SiteMilestoneTracking[[#This Row],[SiteReadyForCW_AC]]-Table_SiteMilestoneTracking[[#This Row],[SiteDesignReady_AC]],"-")</f>
        <v>17</v>
      </c>
      <c r="AI29" s="64">
        <f t="shared" si="3"/>
        <v>1500</v>
      </c>
      <c r="AJ29" s="82">
        <v>1950</v>
      </c>
      <c r="AK29" s="63">
        <f>Table_SiteMilestoneTracking[[#This Row],[SiteReadyForCW_BL]]+t3_CivilWorksBL</f>
        <v>44020</v>
      </c>
      <c r="AL29" s="84">
        <v>44025</v>
      </c>
      <c r="AM29" s="64">
        <f>IF(ISBLANK(Table_SiteMilestoneTracking[[#This Row],[SiteReadyForPower_AC]])=FALSE,Table_SiteMilestoneTracking[[#This Row],[SiteReadyForPower_AC]]-Table_SiteMilestoneTracking[[#This Row],[SiteReadyForPower_BL]],"-")</f>
        <v>5</v>
      </c>
      <c r="AN29" s="64">
        <f>IF(ISBLANK(Table_SiteMilestoneTracking[[#This Row],[SiteReadyForPower_AC]])=FALSE,Table_SiteMilestoneTracking[[#This Row],[SiteReadyForPower_AC]]-Table_SiteMilestoneTracking[[#This Row],[SiteReadyForCW_AC]],"-")</f>
        <v>8</v>
      </c>
      <c r="AO29" s="64">
        <f t="shared" si="4"/>
        <v>500</v>
      </c>
      <c r="AP29" s="82">
        <v>600</v>
      </c>
      <c r="AQ29" s="63">
        <f>Table_SiteMilestoneTracking[[#This Row],[SiteReadyForPower_BL]]+t4_PowerInstallBL</f>
        <v>44025</v>
      </c>
      <c r="AR29" s="84">
        <v>44030</v>
      </c>
      <c r="AS29" s="64">
        <f>IF(ISBLANK(Table_SiteMilestoneTracking[[#This Row],[TXReady_AC]])=FALSE,Table_SiteMilestoneTracking[[#This Row],[TXReady_AC]]-Table_SiteMilestoneTracking[[#This Row],[TXReady_BL]],"-")</f>
        <v>5</v>
      </c>
      <c r="AT29" s="64">
        <f>IF(ISBLANK(Table_SiteMilestoneTracking[[#This Row],[TXReady_AC]])=FALSE,Table_SiteMilestoneTracking[[#This Row],[TXReady_AC]]-Table_SiteMilestoneTracking[[#This Row],[SiteReadyForPower_AC]],"-")</f>
        <v>5</v>
      </c>
      <c r="AU29" s="64">
        <f>$AU$2</f>
        <v>500</v>
      </c>
      <c r="AV29" s="82">
        <v>650</v>
      </c>
      <c r="AW29" s="63">
        <f>Table_SiteMilestoneTracking[[#This Row],[TXReady_BL]]+t5_TxintegrationBL</f>
        <v>44032</v>
      </c>
      <c r="AX29" s="84">
        <v>44038</v>
      </c>
      <c r="AY29" s="64">
        <f>IF(ISBLANK(Table_SiteMilestoneTracking[[#This Row],[SiteReadyForInstallation_AC]])=FALSE,Table_SiteMilestoneTracking[[#This Row],[SiteReadyForInstallation_AC]]-Table_SiteMilestoneTracking[[#This Row],[SiteReadyForInstallation_BL]],"-")</f>
        <v>6</v>
      </c>
      <c r="AZ29" s="64">
        <f>IF(ISBLANK(Table_SiteMilestoneTracking[[#This Row],[SiteReadyForInstallation_AC]])=FALSE,Table_SiteMilestoneTracking[[#This Row],[SiteReadyForInstallation_AC]]-Table_SiteMilestoneTracking[[#This Row],[TXReady_AC]],"-")</f>
        <v>8</v>
      </c>
      <c r="BA29" s="64">
        <f>$BA$2</f>
        <v>2500</v>
      </c>
      <c r="BB29" s="82">
        <v>2450.0000000000005</v>
      </c>
      <c r="BC29" s="63">
        <f>Table_SiteMilestoneTracking[[#This Row],[SiteReadyForInstallation_BL]]+t6_InstallationBL</f>
        <v>44036</v>
      </c>
      <c r="BD29" s="84">
        <v>44043</v>
      </c>
      <c r="BE29" s="64">
        <f>IF(ISBLANK(Table_SiteMilestoneTracking[[#This Row],[SiteReadyForIntegration_AC]])=FALSE,Table_SiteMilestoneTracking[[#This Row],[SiteReadyForIntegration_AC]]-Table_SiteMilestoneTracking[[#This Row],[SiteReadyForIntegration_BL]],"-")</f>
        <v>7</v>
      </c>
      <c r="BF29" s="64">
        <f>IF(ISBLANK(Table_SiteMilestoneTracking[[#This Row],[SiteReadyForIntegration_AC]])=FALSE,Table_SiteMilestoneTracking[[#This Row],[SiteReadyForIntegration_AC]]-Table_SiteMilestoneTracking[[#This Row],[SiteReadyForInstallation_AC]],"-")</f>
        <v>5</v>
      </c>
      <c r="BG29" s="64">
        <f>$BG$2</f>
        <v>500</v>
      </c>
      <c r="BH29" s="82">
        <v>475.00000000000006</v>
      </c>
      <c r="BI29" s="63">
        <f>Table_SiteMilestoneTracking[[#This Row],[SiteReadyForIntegration_BL]]+t7_IntegrationBL</f>
        <v>44040</v>
      </c>
      <c r="BJ29" s="84">
        <v>44048</v>
      </c>
      <c r="BK29" s="64">
        <f>IF(ISBLANK(Table_SiteMilestoneTracking[[#This Row],[SiteOnAir_AC]])=FALSE,Table_SiteMilestoneTracking[[#This Row],[SiteOnAir_AC]]-Table_SiteMilestoneTracking[[#This Row],[SiteOnAir_BL]],"-")</f>
        <v>8</v>
      </c>
      <c r="BL29" s="64">
        <f>IF(ISBLANK(Table_SiteMilestoneTracking[[#This Row],[SiteOnAir_AC]])=FALSE,Table_SiteMilestoneTracking[[#This Row],[SiteOnAir_AC]]-Table_SiteMilestoneTracking[[#This Row],[SiteReadyForIntegration_AC]],"-")</f>
        <v>5</v>
      </c>
      <c r="BM29" s="64">
        <f>$BM$2</f>
        <v>250</v>
      </c>
      <c r="BN29" s="82"/>
      <c r="BO29" s="63">
        <f>Table_SiteMilestoneTracking[[#This Row],[SiteOnAir_BL]]+t8_AcceptanceBL</f>
        <v>44044</v>
      </c>
      <c r="BP29" s="84"/>
      <c r="BQ29" s="64" t="str">
        <f>IF(ISBLANK(Table_SiteMilestoneTracking[[#This Row],[SiteAccepted_AC]])=FALSE,Table_SiteMilestoneTracking[[#This Row],[SiteAccepted_AC]]-Table_SiteMilestoneTracking[[#This Row],[SiteAccepted_BL]],"-")</f>
        <v>-</v>
      </c>
      <c r="BR29" s="64" t="str">
        <f>IF(ISBLANK(Table_SiteMilestoneTracking[[#This Row],[SiteAccepted_AC]])=FALSE,Table_SiteMilestoneTracking[[#This Row],[SiteAccepted_AC]]-Table_SiteMilestoneTracking[[#This Row],[SiteOnAir_AC]],"-")</f>
        <v>-</v>
      </c>
      <c r="BS29" s="64">
        <f>$BS$2</f>
        <v>200</v>
      </c>
      <c r="BT29" s="82"/>
      <c r="BU29" s="63">
        <f>Table_SiteMilestoneTracking[[#This Row],[SiteAccepted_BL]]+t9_HandoverBL</f>
        <v>44052</v>
      </c>
      <c r="BV29" s="84"/>
      <c r="BW29" s="64" t="str">
        <f>IF(ISBLANK(Table_SiteMilestoneTracking[[#This Row],[SiteInOperations_AC]])=FALSE,Table_SiteMilestoneTracking[[#This Row],[SiteInOperations_AC]]-Table_SiteMilestoneTracking[[#This Row],[SiteInOperations_BL]],"-")</f>
        <v>-</v>
      </c>
      <c r="BX29" s="66">
        <f>Table_SiteMilestoneTracking[[#This Row],[SiteInOperations_BL]]-Table_SiteMilestoneTracking[[#This Row],[SiteDesignReady_BL]]</f>
        <v>55</v>
      </c>
      <c r="BY29" s="66" t="str">
        <f>IF(Table_SiteMilestoneTracking[[#This Row],[CurrentSiteMilestone]]="SiteInOperations",Table_SiteMilestoneTracking[[#This Row],[SiteInOperations_AC]]-Table_SiteMilestoneTracking[[#This Row],[SiteDesignReady_AC]],"")</f>
        <v/>
      </c>
      <c r="BZ29" s="66" t="str">
        <f>IFERROR(Table_SiteMilestoneTracking[[#This Row],[E2E_Site_AC]]-Table_SiteMilestoneTracking[[#This Row],[E2E_Site_BL]],"")</f>
        <v/>
      </c>
      <c r="CA29" s="66" t="str">
        <f>IF(Table_SiteMilestoneTracking[[#This Row],[CurrentSiteMilestone]]="SiteInOperations",Table_SiteMilestoneTracking[[#This Row],[SiteInOperations_AC]]-Table_SiteMilestoneTracking[[#This Row],[SiteAccepted_AC]],"")</f>
        <v/>
      </c>
      <c r="CB29" s="79"/>
      <c r="CC29" s="89"/>
      <c r="CD29" s="89"/>
      <c r="CE29" s="70"/>
      <c r="CF29" s="70"/>
      <c r="CG29" s="70"/>
      <c r="CH29" s="70"/>
      <c r="CI29" s="70"/>
      <c r="CJ29" s="70"/>
      <c r="CK29" s="70"/>
      <c r="CL29" s="70"/>
      <c r="CM29" s="70"/>
      <c r="CN29" s="70"/>
      <c r="CO29" s="70"/>
      <c r="CP29" s="70"/>
      <c r="CQ29" s="70"/>
      <c r="CR29" s="70"/>
      <c r="CS29" s="70"/>
      <c r="CT29" s="70"/>
      <c r="CU29" s="70"/>
      <c r="CV29" s="70"/>
      <c r="CW29" s="70"/>
      <c r="CX29" s="70"/>
      <c r="CY29" s="70"/>
      <c r="CZ29" s="70"/>
      <c r="DA29" s="70"/>
      <c r="DB29" s="70"/>
      <c r="DC29" s="70"/>
      <c r="DD29" s="70"/>
      <c r="DE29" s="70"/>
      <c r="DF29" s="70"/>
      <c r="DG29" s="70"/>
      <c r="DH29" s="70"/>
      <c r="DI29" s="70"/>
      <c r="DJ29" s="70"/>
      <c r="DK29" s="70"/>
      <c r="DL29" s="70"/>
      <c r="DM29" s="70"/>
      <c r="DN29" s="70"/>
      <c r="DO29" s="70"/>
      <c r="DP29" s="70"/>
      <c r="DQ29" s="70"/>
      <c r="DR29" s="70"/>
      <c r="DS29" s="70"/>
      <c r="DT29" s="70"/>
      <c r="DU29" s="70"/>
      <c r="DV29" s="70"/>
    </row>
    <row r="30" spans="1:126" x14ac:dyDescent="0.3">
      <c r="A30" s="79" t="str">
        <f>'4. Design Tracking Summary'!A31</f>
        <v>CA00353</v>
      </c>
      <c r="B30" s="79" t="str">
        <f>'4. Design Tracking Summary'!B31</f>
        <v>Center</v>
      </c>
      <c r="C30" s="79" t="str">
        <f>'4. Design Tracking Summary'!C31</f>
        <v>GTO</v>
      </c>
      <c r="D30" s="79" t="str">
        <f>'4. Design Tracking Summary'!D31</f>
        <v>SMALL</v>
      </c>
      <c r="E30" s="79" t="s">
        <v>59</v>
      </c>
      <c r="F30" s="79"/>
      <c r="G30" s="60" t="str">
        <f>IFERROR(INDEX(Table_SiteMilestonesNames[SiteMilestoneName],COUNTA(Table_SiteMilestoneTracking[[#This Row],[SiteDesignStarted_AC]],Table_SiteMilestoneTracking[[#This Row],[SiteDesignReady_AC]],Table_SiteMilestoneTracking[[#This Row],[SiteSurveyCompleted_AC]],Table_SiteMilestoneTracking[[#This Row],[SiteAcquired_AC]],Table_SiteMilestoneTracking[[#This Row],[SiteReadyForCW_AC]],Table_SiteMilestoneTracking[[#This Row],[SiteReadyForPower_AC]],Table_SiteMilestoneTracking[[#This Row],[TXReady_AC]],Table_SiteMilestoneTracking[[#This Row],[SiteReadyForInstallation_AC]],Table_SiteMilestoneTracking[[#This Row],[SiteReadyForIntegration_AC]],Table_SiteMilestoneTracking[[#This Row],[SiteOnAir_AC]],Table_SiteMilestoneTracking[[#This Row],[SiteAccepted_AC]],Table_SiteMilestoneTracking[[#This Row],[SiteInOperations_AC]])+1),"Invalid Milestone")</f>
        <v>SiteOnAir</v>
      </c>
      <c r="H30" s="61">
        <f>Table_SiteMilestoneTracking[[#This Row],[c0_SiteDesignCostBL]]+Table_SiteMilestoneTracking[[#This Row],[c1_SiteSurveyCostBL]]+Table_SiteMilestoneTracking[[#This Row],[c2_SiteAcquisitionCostBL]]+Table_SiteMilestoneTracking[[#This Row],[c3_CivilWorksCostBL]]+Table_SiteMilestoneTracking[[#This Row],[c4_PowerInstallCostBL]]+Table_SiteMilestoneTracking[[#This Row],[c5_TxintegrationCostBL]]+Table_SiteMilestoneTracking[[#This Row],[c6_InstallationCostBL]]+Table_SiteMilestoneTracking[[#This Row],[c7_IntegrationCostBL]]+Table_SiteMilestoneTracking[[#This Row],[c8_AcceptanceCostBL]]+Table_SiteMilestoneTracking[[#This Row],[c9_HandoverCostBL]]</f>
        <v>7550</v>
      </c>
      <c r="I30" s="62">
        <f>Table_SiteMilestoneTracking[[#This Row],[c0_SiteDesignCostAC]]+Table_SiteMilestoneTracking[[#This Row],[c1_SiteSurveyCostAC]]+Table_SiteMilestoneTracking[[#This Row],[c2_SiteAcquisitionCostAC]]+Table_SiteMilestoneTracking[[#This Row],[c3_CivilWorksCostAC]]+Table_SiteMilestoneTracking[[#This Row],[c4_PowerInstallCostAC]]+Table_SiteMilestoneTracking[[#This Row],[c5_TxintegrationCostAC]]+Table_SiteMilestoneTracking[[#This Row],[c6_InstallationCostAC]]+Table_SiteMilestoneTracking[[#This Row],[c7_IntegrationCostAC]]+Table_SiteMilestoneTracking[[#This Row],[c8_AcceptanceCostAC]]+Table_SiteMilestoneTracking[[#This Row],[c9_HandoverCostAC]]</f>
        <v>7020</v>
      </c>
      <c r="J30" s="84">
        <v>44001</v>
      </c>
      <c r="K30" s="84">
        <v>44002</v>
      </c>
      <c r="L30" s="64">
        <f>IF(ISBLANK(Table_SiteMilestoneTracking[[#This Row],[SiteDesignStarted_AC]])=FALSE,Table_SiteMilestoneTracking[[#This Row],[SiteDesignStarted_AC]]-Table_SiteMilestoneTracking[[#This Row],[SiteDesignStarted_BL]],"")</f>
        <v>1</v>
      </c>
      <c r="M30" s="64">
        <f t="shared" si="0"/>
        <v>500</v>
      </c>
      <c r="N30" s="87">
        <v>560</v>
      </c>
      <c r="O30" s="63">
        <f>Table_SiteMilestoneTracking[[#This Row],[SiteDesignStarted_BL]]+t0_SiteDesignDelayBL</f>
        <v>44003</v>
      </c>
      <c r="P30" s="84">
        <v>44006</v>
      </c>
      <c r="Q30" s="64">
        <f>IF(ISBLANK(Table_SiteMilestoneTracking[[#This Row],[SiteDesignReady_AC]])=FALSE,Table_SiteMilestoneTracking[[#This Row],[SiteDesignReady_AC]]-Table_SiteMilestoneTracking[[#This Row],[SiteDesignReady_BL]],"-")</f>
        <v>3</v>
      </c>
      <c r="R30" s="64">
        <f t="shared" si="5"/>
        <v>500</v>
      </c>
      <c r="S30" s="82">
        <v>575</v>
      </c>
      <c r="T30" s="63">
        <f>Table_SiteMilestoneTracking[[#This Row],[SiteDesignReady_BL]]+t1_SiteSurveyBL</f>
        <v>44005</v>
      </c>
      <c r="U30" s="84">
        <v>44009</v>
      </c>
      <c r="V30" s="64">
        <f>IF(ISBLANK(Table_SiteMilestoneTracking[[#This Row],[SiteSurveyCompleted_AC]])=FALSE,Table_SiteMilestoneTracking[[#This Row],[SiteSurveyCompleted_AC]]-Table_SiteMilestoneTracking[[#This Row],[SiteDesignReady_AC]],"-")</f>
        <v>3</v>
      </c>
      <c r="W30" s="64">
        <f t="shared" si="1"/>
        <v>600</v>
      </c>
      <c r="X30" s="82">
        <v>720</v>
      </c>
      <c r="Y30" s="63">
        <f>Table_SiteMilestoneTracking[[#This Row],[SiteSurveyCompleted_BL]]+t2_SiteAcquisitionBL</f>
        <v>44016</v>
      </c>
      <c r="Z30" s="84">
        <v>44020</v>
      </c>
      <c r="AA30" s="65">
        <f>IF(ISBLANK(Table_SiteMilestoneTracking[[#This Row],[SiteAcquired_AC]])=FALSE,Table_SiteMilestoneTracking[[#This Row],[SiteAcquired_AC]]-Table_SiteMilestoneTracking[[#This Row],[SiteAcquired_BL]],"-")</f>
        <v>4</v>
      </c>
      <c r="AB30" s="65">
        <f>IF(ISBLANK(Table_SiteMilestoneTracking[[#This Row],[SiteAcquired_AC]])=FALSE,Table_SiteMilestoneTracking[[#This Row],[SiteAcquired_AC]]-Table_SiteMilestoneTracking[[#This Row],[SiteSurveyCompleted_AC]],"-")</f>
        <v>11</v>
      </c>
      <c r="AC30" s="64">
        <f t="shared" si="2"/>
        <v>150</v>
      </c>
      <c r="AD30" s="82">
        <v>120</v>
      </c>
      <c r="AE30" s="63">
        <f>Table_SiteMilestoneTracking[[#This Row],[SiteAcquired_BL]]+t2a_SiteCWReadinessBL</f>
        <v>44018</v>
      </c>
      <c r="AF30" s="85">
        <v>44023</v>
      </c>
      <c r="AG30" s="66">
        <f>IF(ISBLANK(Table_SiteMilestoneTracking[[#This Row],[SiteReadyForCW_AC]])=FALSE,Table_SiteMilestoneTracking[[#This Row],[SiteReadyForCW_AC]]-Table_SiteMilestoneTracking[[#This Row],[SiteReadyForCW_BL]],"-")</f>
        <v>5</v>
      </c>
      <c r="AH30" s="66">
        <f>IF(ISBLANK(Table_SiteMilestoneTracking[[#This Row],[SiteReadyForCW_AC]])=FALSE,Table_SiteMilestoneTracking[[#This Row],[SiteReadyForCW_AC]]-Table_SiteMilestoneTracking[[#This Row],[SiteDesignReady_AC]],"-")</f>
        <v>17</v>
      </c>
      <c r="AI30" s="64">
        <f t="shared" si="3"/>
        <v>1500</v>
      </c>
      <c r="AJ30" s="82">
        <v>1350</v>
      </c>
      <c r="AK30" s="63">
        <f>Table_SiteMilestoneTracking[[#This Row],[SiteReadyForCW_BL]]+t3_CivilWorksBL</f>
        <v>44026</v>
      </c>
      <c r="AL30" s="84">
        <v>44032</v>
      </c>
      <c r="AM30" s="64">
        <f>IF(ISBLANK(Table_SiteMilestoneTracking[[#This Row],[SiteReadyForPower_AC]])=FALSE,Table_SiteMilestoneTracking[[#This Row],[SiteReadyForPower_AC]]-Table_SiteMilestoneTracking[[#This Row],[SiteReadyForPower_BL]],"-")</f>
        <v>6</v>
      </c>
      <c r="AN30" s="64">
        <f>IF(ISBLANK(Table_SiteMilestoneTracking[[#This Row],[SiteReadyForPower_AC]])=FALSE,Table_SiteMilestoneTracking[[#This Row],[SiteReadyForPower_AC]]-Table_SiteMilestoneTracking[[#This Row],[SiteReadyForCW_AC]],"-")</f>
        <v>9</v>
      </c>
      <c r="AO30" s="64">
        <f t="shared" si="4"/>
        <v>500</v>
      </c>
      <c r="AP30" s="82">
        <v>700</v>
      </c>
      <c r="AQ30" s="63">
        <f>Table_SiteMilestoneTracking[[#This Row],[SiteReadyForPower_BL]]+t4_PowerInstallBL</f>
        <v>44031</v>
      </c>
      <c r="AR30" s="84">
        <v>44038</v>
      </c>
      <c r="AS30" s="64">
        <f>IF(ISBLANK(Table_SiteMilestoneTracking[[#This Row],[TXReady_AC]])=FALSE,Table_SiteMilestoneTracking[[#This Row],[TXReady_AC]]-Table_SiteMilestoneTracking[[#This Row],[TXReady_BL]],"-")</f>
        <v>7</v>
      </c>
      <c r="AT30" s="64">
        <f>IF(ISBLANK(Table_SiteMilestoneTracking[[#This Row],[TXReady_AC]])=FALSE,Table_SiteMilestoneTracking[[#This Row],[TXReady_AC]]-Table_SiteMilestoneTracking[[#This Row],[SiteReadyForPower_AC]],"-")</f>
        <v>6</v>
      </c>
      <c r="AU30" s="64">
        <f>$AU$2</f>
        <v>500</v>
      </c>
      <c r="AV30" s="82">
        <v>500</v>
      </c>
      <c r="AW30" s="63">
        <f>Table_SiteMilestoneTracking[[#This Row],[TXReady_BL]]+t5_TxintegrationBL</f>
        <v>44038</v>
      </c>
      <c r="AX30" s="84">
        <v>44045</v>
      </c>
      <c r="AY30" s="64">
        <f>IF(ISBLANK(Table_SiteMilestoneTracking[[#This Row],[SiteReadyForInstallation_AC]])=FALSE,Table_SiteMilestoneTracking[[#This Row],[SiteReadyForInstallation_AC]]-Table_SiteMilestoneTracking[[#This Row],[SiteReadyForInstallation_BL]],"-")</f>
        <v>7</v>
      </c>
      <c r="AZ30" s="64">
        <f>IF(ISBLANK(Table_SiteMilestoneTracking[[#This Row],[SiteReadyForInstallation_AC]])=FALSE,Table_SiteMilestoneTracking[[#This Row],[SiteReadyForInstallation_AC]]-Table_SiteMilestoneTracking[[#This Row],[TXReady_AC]],"-")</f>
        <v>7</v>
      </c>
      <c r="BA30" s="64">
        <f>$BA$2</f>
        <v>2500</v>
      </c>
      <c r="BB30" s="82">
        <v>2150.0000000000005</v>
      </c>
      <c r="BC30" s="63">
        <f>Table_SiteMilestoneTracking[[#This Row],[SiteReadyForInstallation_BL]]+t6_InstallationBL</f>
        <v>44042</v>
      </c>
      <c r="BD30" s="84">
        <v>44050</v>
      </c>
      <c r="BE30" s="64">
        <f>IF(ISBLANK(Table_SiteMilestoneTracking[[#This Row],[SiteReadyForIntegration_AC]])=FALSE,Table_SiteMilestoneTracking[[#This Row],[SiteReadyForIntegration_AC]]-Table_SiteMilestoneTracking[[#This Row],[SiteReadyForIntegration_BL]],"-")</f>
        <v>8</v>
      </c>
      <c r="BF30" s="64">
        <f>IF(ISBLANK(Table_SiteMilestoneTracking[[#This Row],[SiteReadyForIntegration_AC]])=FALSE,Table_SiteMilestoneTracking[[#This Row],[SiteReadyForIntegration_AC]]-Table_SiteMilestoneTracking[[#This Row],[SiteReadyForInstallation_AC]],"-")</f>
        <v>5</v>
      </c>
      <c r="BG30" s="64">
        <f>$BG$2</f>
        <v>500</v>
      </c>
      <c r="BH30" s="82">
        <v>465</v>
      </c>
      <c r="BI30" s="63">
        <f>Table_SiteMilestoneTracking[[#This Row],[SiteReadyForIntegration_BL]]+t7_IntegrationBL</f>
        <v>44046</v>
      </c>
      <c r="BJ30" s="84">
        <v>44055</v>
      </c>
      <c r="BK30" s="64">
        <f>IF(ISBLANK(Table_SiteMilestoneTracking[[#This Row],[SiteOnAir_AC]])=FALSE,Table_SiteMilestoneTracking[[#This Row],[SiteOnAir_AC]]-Table_SiteMilestoneTracking[[#This Row],[SiteOnAir_BL]],"-")</f>
        <v>9</v>
      </c>
      <c r="BL30" s="64">
        <f>IF(ISBLANK(Table_SiteMilestoneTracking[[#This Row],[SiteOnAir_AC]])=FALSE,Table_SiteMilestoneTracking[[#This Row],[SiteOnAir_AC]]-Table_SiteMilestoneTracking[[#This Row],[SiteReadyForIntegration_AC]],"-")</f>
        <v>5</v>
      </c>
      <c r="BM30" s="64">
        <f>$BM$2</f>
        <v>250</v>
      </c>
      <c r="BN30" s="82"/>
      <c r="BO30" s="63">
        <f>Table_SiteMilestoneTracking[[#This Row],[SiteOnAir_BL]]+t8_AcceptanceBL</f>
        <v>44050</v>
      </c>
      <c r="BP30" s="84"/>
      <c r="BQ30" s="64" t="str">
        <f>IF(ISBLANK(Table_SiteMilestoneTracking[[#This Row],[SiteAccepted_AC]])=FALSE,Table_SiteMilestoneTracking[[#This Row],[SiteAccepted_AC]]-Table_SiteMilestoneTracking[[#This Row],[SiteAccepted_BL]],"-")</f>
        <v>-</v>
      </c>
      <c r="BR30" s="64" t="str">
        <f>IF(ISBLANK(Table_SiteMilestoneTracking[[#This Row],[SiteAccepted_AC]])=FALSE,Table_SiteMilestoneTracking[[#This Row],[SiteAccepted_AC]]-Table_SiteMilestoneTracking[[#This Row],[SiteOnAir_AC]],"-")</f>
        <v>-</v>
      </c>
      <c r="BS30" s="64">
        <f>$BS$2</f>
        <v>200</v>
      </c>
      <c r="BT30" s="82"/>
      <c r="BU30" s="63">
        <f>Table_SiteMilestoneTracking[[#This Row],[SiteAccepted_BL]]+t9_HandoverBL</f>
        <v>44058</v>
      </c>
      <c r="BV30" s="84"/>
      <c r="BW30" s="64" t="str">
        <f>IF(ISBLANK(Table_SiteMilestoneTracking[[#This Row],[SiteInOperations_AC]])=FALSE,Table_SiteMilestoneTracking[[#This Row],[SiteInOperations_AC]]-Table_SiteMilestoneTracking[[#This Row],[SiteInOperations_BL]],"-")</f>
        <v>-</v>
      </c>
      <c r="BX30" s="66">
        <f>Table_SiteMilestoneTracking[[#This Row],[SiteInOperations_BL]]-Table_SiteMilestoneTracking[[#This Row],[SiteDesignReady_BL]]</f>
        <v>55</v>
      </c>
      <c r="BY30" s="66" t="str">
        <f>IF(Table_SiteMilestoneTracking[[#This Row],[CurrentSiteMilestone]]="SiteInOperations",Table_SiteMilestoneTracking[[#This Row],[SiteInOperations_AC]]-Table_SiteMilestoneTracking[[#This Row],[SiteDesignReady_AC]],"")</f>
        <v/>
      </c>
      <c r="BZ30" s="66" t="str">
        <f>IFERROR(Table_SiteMilestoneTracking[[#This Row],[E2E_Site_AC]]-Table_SiteMilestoneTracking[[#This Row],[E2E_Site_BL]],"")</f>
        <v/>
      </c>
      <c r="CA30" s="66" t="str">
        <f>IF(Table_SiteMilestoneTracking[[#This Row],[CurrentSiteMilestone]]="SiteInOperations",Table_SiteMilestoneTracking[[#This Row],[SiteInOperations_AC]]-Table_SiteMilestoneTracking[[#This Row],[SiteAccepted_AC]],"")</f>
        <v/>
      </c>
      <c r="CB30" s="79"/>
      <c r="CC30" s="89"/>
      <c r="CD30" s="89"/>
      <c r="CE30" s="70"/>
      <c r="CF30" s="70"/>
      <c r="CG30" s="70"/>
      <c r="CH30" s="70"/>
      <c r="CI30" s="70"/>
      <c r="CJ30" s="70"/>
      <c r="CK30" s="70"/>
      <c r="CL30" s="70"/>
      <c r="CM30" s="70"/>
      <c r="CN30" s="70"/>
      <c r="CO30" s="70"/>
      <c r="CP30" s="70"/>
      <c r="CQ30" s="70"/>
      <c r="CR30" s="70"/>
      <c r="CS30" s="70"/>
      <c r="CT30" s="70"/>
      <c r="CU30" s="70"/>
      <c r="CV30" s="70"/>
      <c r="CW30" s="70"/>
      <c r="CX30" s="70"/>
      <c r="CY30" s="70"/>
      <c r="CZ30" s="70"/>
      <c r="DA30" s="70"/>
      <c r="DB30" s="70"/>
      <c r="DC30" s="70"/>
      <c r="DD30" s="70"/>
      <c r="DE30" s="70"/>
      <c r="DF30" s="70"/>
      <c r="DG30" s="70"/>
      <c r="DH30" s="70"/>
      <c r="DI30" s="70"/>
      <c r="DJ30" s="70"/>
      <c r="DK30" s="70"/>
      <c r="DL30" s="70"/>
      <c r="DM30" s="70"/>
      <c r="DN30" s="70"/>
      <c r="DO30" s="70"/>
      <c r="DP30" s="70"/>
      <c r="DQ30" s="70"/>
      <c r="DR30" s="70"/>
      <c r="DS30" s="70"/>
      <c r="DT30" s="70"/>
      <c r="DU30" s="70"/>
      <c r="DV30" s="70"/>
    </row>
    <row r="31" spans="1:126" x14ac:dyDescent="0.3">
      <c r="A31" s="79" t="str">
        <f>'4. Design Tracking Summary'!A32</f>
        <v>HU00017</v>
      </c>
      <c r="B31" s="79" t="str">
        <f>'4. Design Tracking Summary'!B32</f>
        <v>Center</v>
      </c>
      <c r="C31" s="79" t="str">
        <f>'4. Design Tracking Summary'!C32</f>
        <v>QRO</v>
      </c>
      <c r="D31" s="79" t="str">
        <f>'4. Design Tracking Summary'!D32</f>
        <v>MACRO</v>
      </c>
      <c r="E31" s="79" t="s">
        <v>56</v>
      </c>
      <c r="F31" s="79"/>
      <c r="G31" s="60" t="str">
        <f>IFERROR(INDEX(Table_SiteMilestonesNames[SiteMilestoneName],COUNTA(Table_SiteMilestoneTracking[[#This Row],[SiteDesignStarted_AC]],Table_SiteMilestoneTracking[[#This Row],[SiteDesignReady_AC]],Table_SiteMilestoneTracking[[#This Row],[SiteSurveyCompleted_AC]],Table_SiteMilestoneTracking[[#This Row],[SiteAcquired_AC]],Table_SiteMilestoneTracking[[#This Row],[SiteReadyForCW_AC]],Table_SiteMilestoneTracking[[#This Row],[SiteReadyForPower_AC]],Table_SiteMilestoneTracking[[#This Row],[TXReady_AC]],Table_SiteMilestoneTracking[[#This Row],[SiteReadyForInstallation_AC]],Table_SiteMilestoneTracking[[#This Row],[SiteReadyForIntegration_AC]],Table_SiteMilestoneTracking[[#This Row],[SiteOnAir_AC]],Table_SiteMilestoneTracking[[#This Row],[SiteAccepted_AC]],Table_SiteMilestoneTracking[[#This Row],[SiteInOperations_AC]])+1),"Invalid Milestone")</f>
        <v>SiteOnAir</v>
      </c>
      <c r="H31" s="61">
        <f>Table_SiteMilestoneTracking[[#This Row],[c0_SiteDesignCostBL]]+Table_SiteMilestoneTracking[[#This Row],[c1_SiteSurveyCostBL]]+Table_SiteMilestoneTracking[[#This Row],[c2_SiteAcquisitionCostBL]]+Table_SiteMilestoneTracking[[#This Row],[c3_CivilWorksCostBL]]+Table_SiteMilestoneTracking[[#This Row],[c4_PowerInstallCostBL]]+Table_SiteMilestoneTracking[[#This Row],[c5_TxintegrationCostBL]]+Table_SiteMilestoneTracking[[#This Row],[c6_InstallationCostBL]]+Table_SiteMilestoneTracking[[#This Row],[c7_IntegrationCostBL]]+Table_SiteMilestoneTracking[[#This Row],[c8_AcceptanceCostBL]]+Table_SiteMilestoneTracking[[#This Row],[c9_HandoverCostBL]]</f>
        <v>7550</v>
      </c>
      <c r="I31" s="62">
        <f>Table_SiteMilestoneTracking[[#This Row],[c0_SiteDesignCostAC]]+Table_SiteMilestoneTracking[[#This Row],[c1_SiteSurveyCostAC]]+Table_SiteMilestoneTracking[[#This Row],[c2_SiteAcquisitionCostAC]]+Table_SiteMilestoneTracking[[#This Row],[c3_CivilWorksCostAC]]+Table_SiteMilestoneTracking[[#This Row],[c4_PowerInstallCostAC]]+Table_SiteMilestoneTracking[[#This Row],[c5_TxintegrationCostAC]]+Table_SiteMilestoneTracking[[#This Row],[c6_InstallationCostAC]]+Table_SiteMilestoneTracking[[#This Row],[c7_IntegrationCostAC]]+Table_SiteMilestoneTracking[[#This Row],[c8_AcceptanceCostAC]]+Table_SiteMilestoneTracking[[#This Row],[c9_HandoverCostAC]]</f>
        <v>7415</v>
      </c>
      <c r="J31" s="84">
        <v>44001</v>
      </c>
      <c r="K31" s="84">
        <v>44002</v>
      </c>
      <c r="L31" s="64">
        <f>IF(ISBLANK(Table_SiteMilestoneTracking[[#This Row],[SiteDesignStarted_AC]])=FALSE,Table_SiteMilestoneTracking[[#This Row],[SiteDesignStarted_AC]]-Table_SiteMilestoneTracking[[#This Row],[SiteDesignStarted_BL]],"")</f>
        <v>1</v>
      </c>
      <c r="M31" s="64">
        <f t="shared" si="0"/>
        <v>500</v>
      </c>
      <c r="N31" s="87">
        <v>420</v>
      </c>
      <c r="O31" s="63">
        <f>Table_SiteMilestoneTracking[[#This Row],[SiteDesignStarted_BL]]+t0_SiteDesignDelayBL</f>
        <v>44003</v>
      </c>
      <c r="P31" s="84">
        <v>44006</v>
      </c>
      <c r="Q31" s="64">
        <f>IF(ISBLANK(Table_SiteMilestoneTracking[[#This Row],[SiteDesignReady_AC]])=FALSE,Table_SiteMilestoneTracking[[#This Row],[SiteDesignReady_AC]]-Table_SiteMilestoneTracking[[#This Row],[SiteDesignReady_BL]],"-")</f>
        <v>3</v>
      </c>
      <c r="R31" s="64">
        <f t="shared" si="5"/>
        <v>500</v>
      </c>
      <c r="S31" s="82">
        <v>625</v>
      </c>
      <c r="T31" s="63">
        <f>Table_SiteMilestoneTracking[[#This Row],[SiteDesignReady_BL]]+t1_SiteSurveyBL</f>
        <v>44005</v>
      </c>
      <c r="U31" s="84">
        <v>44008</v>
      </c>
      <c r="V31" s="64">
        <f>IF(ISBLANK(Table_SiteMilestoneTracking[[#This Row],[SiteSurveyCompleted_AC]])=FALSE,Table_SiteMilestoneTracking[[#This Row],[SiteSurveyCompleted_AC]]-Table_SiteMilestoneTracking[[#This Row],[SiteDesignReady_AC]],"-")</f>
        <v>2</v>
      </c>
      <c r="W31" s="64">
        <f t="shared" si="1"/>
        <v>600</v>
      </c>
      <c r="X31" s="82">
        <v>900</v>
      </c>
      <c r="Y31" s="63">
        <f>Table_SiteMilestoneTracking[[#This Row],[SiteSurveyCompleted_BL]]+t2_SiteAcquisitionBL</f>
        <v>44016</v>
      </c>
      <c r="Z31" s="84">
        <v>44019</v>
      </c>
      <c r="AA31" s="65">
        <f>IF(ISBLANK(Table_SiteMilestoneTracking[[#This Row],[SiteAcquired_AC]])=FALSE,Table_SiteMilestoneTracking[[#This Row],[SiteAcquired_AC]]-Table_SiteMilestoneTracking[[#This Row],[SiteAcquired_BL]],"-")</f>
        <v>3</v>
      </c>
      <c r="AB31" s="65">
        <f>IF(ISBLANK(Table_SiteMilestoneTracking[[#This Row],[SiteAcquired_AC]])=FALSE,Table_SiteMilestoneTracking[[#This Row],[SiteAcquired_AC]]-Table_SiteMilestoneTracking[[#This Row],[SiteSurveyCompleted_AC]],"-")</f>
        <v>11</v>
      </c>
      <c r="AC31" s="64">
        <f t="shared" si="2"/>
        <v>150</v>
      </c>
      <c r="AD31" s="82">
        <v>120</v>
      </c>
      <c r="AE31" s="63">
        <f>Table_SiteMilestoneTracking[[#This Row],[SiteAcquired_BL]]+t2a_SiteCWReadinessBL</f>
        <v>44018</v>
      </c>
      <c r="AF31" s="85">
        <v>44021</v>
      </c>
      <c r="AG31" s="66">
        <f>IF(ISBLANK(Table_SiteMilestoneTracking[[#This Row],[SiteReadyForCW_AC]])=FALSE,Table_SiteMilestoneTracking[[#This Row],[SiteReadyForCW_AC]]-Table_SiteMilestoneTracking[[#This Row],[SiteReadyForCW_BL]],"-")</f>
        <v>3</v>
      </c>
      <c r="AH31" s="66">
        <f>IF(ISBLANK(Table_SiteMilestoneTracking[[#This Row],[SiteReadyForCW_AC]])=FALSE,Table_SiteMilestoneTracking[[#This Row],[SiteReadyForCW_AC]]-Table_SiteMilestoneTracking[[#This Row],[SiteDesignReady_AC]],"-")</f>
        <v>15</v>
      </c>
      <c r="AI31" s="64">
        <f t="shared" si="3"/>
        <v>1500</v>
      </c>
      <c r="AJ31" s="82">
        <v>1650</v>
      </c>
      <c r="AK31" s="63">
        <f>Table_SiteMilestoneTracking[[#This Row],[SiteReadyForCW_BL]]+t3_CivilWorksBL</f>
        <v>44026</v>
      </c>
      <c r="AL31" s="84">
        <v>44029</v>
      </c>
      <c r="AM31" s="64">
        <f>IF(ISBLANK(Table_SiteMilestoneTracking[[#This Row],[SiteReadyForPower_AC]])=FALSE,Table_SiteMilestoneTracking[[#This Row],[SiteReadyForPower_AC]]-Table_SiteMilestoneTracking[[#This Row],[SiteReadyForPower_BL]],"-")</f>
        <v>3</v>
      </c>
      <c r="AN31" s="64">
        <f>IF(ISBLANK(Table_SiteMilestoneTracking[[#This Row],[SiteReadyForPower_AC]])=FALSE,Table_SiteMilestoneTracking[[#This Row],[SiteReadyForPower_AC]]-Table_SiteMilestoneTracking[[#This Row],[SiteReadyForCW_AC]],"-")</f>
        <v>8</v>
      </c>
      <c r="AO31" s="64">
        <f t="shared" si="4"/>
        <v>500</v>
      </c>
      <c r="AP31" s="82">
        <v>400</v>
      </c>
      <c r="AQ31" s="63">
        <f>Table_SiteMilestoneTracking[[#This Row],[SiteReadyForPower_BL]]+t4_PowerInstallBL</f>
        <v>44031</v>
      </c>
      <c r="AR31" s="84">
        <v>44034</v>
      </c>
      <c r="AS31" s="64">
        <f>IF(ISBLANK(Table_SiteMilestoneTracking[[#This Row],[TXReady_AC]])=FALSE,Table_SiteMilestoneTracking[[#This Row],[TXReady_AC]]-Table_SiteMilestoneTracking[[#This Row],[TXReady_BL]],"-")</f>
        <v>3</v>
      </c>
      <c r="AT31" s="64">
        <f>IF(ISBLANK(Table_SiteMilestoneTracking[[#This Row],[TXReady_AC]])=FALSE,Table_SiteMilestoneTracking[[#This Row],[TXReady_AC]]-Table_SiteMilestoneTracking[[#This Row],[SiteReadyForPower_AC]],"-")</f>
        <v>5</v>
      </c>
      <c r="AU31" s="64">
        <f>$AU$2</f>
        <v>500</v>
      </c>
      <c r="AV31" s="82">
        <v>700</v>
      </c>
      <c r="AW31" s="63">
        <f>Table_SiteMilestoneTracking[[#This Row],[TXReady_BL]]+t5_TxintegrationBL</f>
        <v>44038</v>
      </c>
      <c r="AX31" s="84">
        <v>44041</v>
      </c>
      <c r="AY31" s="64">
        <f>IF(ISBLANK(Table_SiteMilestoneTracking[[#This Row],[SiteReadyForInstallation_AC]])=FALSE,Table_SiteMilestoneTracking[[#This Row],[SiteReadyForInstallation_AC]]-Table_SiteMilestoneTracking[[#This Row],[SiteReadyForInstallation_BL]],"-")</f>
        <v>3</v>
      </c>
      <c r="AZ31" s="64">
        <f>IF(ISBLANK(Table_SiteMilestoneTracking[[#This Row],[SiteReadyForInstallation_AC]])=FALSE,Table_SiteMilestoneTracking[[#This Row],[SiteReadyForInstallation_AC]]-Table_SiteMilestoneTracking[[#This Row],[TXReady_AC]],"-")</f>
        <v>7</v>
      </c>
      <c r="BA31" s="64">
        <f>$BA$2</f>
        <v>2500</v>
      </c>
      <c r="BB31" s="82">
        <v>2250</v>
      </c>
      <c r="BC31" s="63">
        <f>Table_SiteMilestoneTracking[[#This Row],[SiteReadyForInstallation_BL]]+t6_InstallationBL</f>
        <v>44042</v>
      </c>
      <c r="BD31" s="84">
        <v>44045</v>
      </c>
      <c r="BE31" s="64">
        <f>IF(ISBLANK(Table_SiteMilestoneTracking[[#This Row],[SiteReadyForIntegration_AC]])=FALSE,Table_SiteMilestoneTracking[[#This Row],[SiteReadyForIntegration_AC]]-Table_SiteMilestoneTracking[[#This Row],[SiteReadyForIntegration_BL]],"-")</f>
        <v>3</v>
      </c>
      <c r="BF31" s="64">
        <f>IF(ISBLANK(Table_SiteMilestoneTracking[[#This Row],[SiteReadyForIntegration_AC]])=FALSE,Table_SiteMilestoneTracking[[#This Row],[SiteReadyForIntegration_AC]]-Table_SiteMilestoneTracking[[#This Row],[SiteReadyForInstallation_AC]],"-")</f>
        <v>4</v>
      </c>
      <c r="BG31" s="64">
        <f>$BG$2</f>
        <v>500</v>
      </c>
      <c r="BH31" s="82">
        <v>470.00000000000006</v>
      </c>
      <c r="BI31" s="63">
        <f>Table_SiteMilestoneTracking[[#This Row],[SiteReadyForIntegration_BL]]+t7_IntegrationBL</f>
        <v>44046</v>
      </c>
      <c r="BJ31" s="84">
        <v>44049</v>
      </c>
      <c r="BK31" s="64">
        <f>IF(ISBLANK(Table_SiteMilestoneTracking[[#This Row],[SiteOnAir_AC]])=FALSE,Table_SiteMilestoneTracking[[#This Row],[SiteOnAir_AC]]-Table_SiteMilestoneTracking[[#This Row],[SiteOnAir_BL]],"-")</f>
        <v>3</v>
      </c>
      <c r="BL31" s="64">
        <f>IF(ISBLANK(Table_SiteMilestoneTracking[[#This Row],[SiteOnAir_AC]])=FALSE,Table_SiteMilestoneTracking[[#This Row],[SiteOnAir_AC]]-Table_SiteMilestoneTracking[[#This Row],[SiteReadyForIntegration_AC]],"-")</f>
        <v>4</v>
      </c>
      <c r="BM31" s="64">
        <f>$BM$2</f>
        <v>250</v>
      </c>
      <c r="BN31" s="82"/>
      <c r="BO31" s="63">
        <f>Table_SiteMilestoneTracking[[#This Row],[SiteOnAir_BL]]+t8_AcceptanceBL</f>
        <v>44050</v>
      </c>
      <c r="BP31" s="84"/>
      <c r="BQ31" s="64" t="str">
        <f>IF(ISBLANK(Table_SiteMilestoneTracking[[#This Row],[SiteAccepted_AC]])=FALSE,Table_SiteMilestoneTracking[[#This Row],[SiteAccepted_AC]]-Table_SiteMilestoneTracking[[#This Row],[SiteAccepted_BL]],"-")</f>
        <v>-</v>
      </c>
      <c r="BR31" s="64" t="str">
        <f>IF(ISBLANK(Table_SiteMilestoneTracking[[#This Row],[SiteAccepted_AC]])=FALSE,Table_SiteMilestoneTracking[[#This Row],[SiteAccepted_AC]]-Table_SiteMilestoneTracking[[#This Row],[SiteOnAir_AC]],"-")</f>
        <v>-</v>
      </c>
      <c r="BS31" s="64">
        <f>$BS$2</f>
        <v>200</v>
      </c>
      <c r="BT31" s="82"/>
      <c r="BU31" s="63">
        <f>Table_SiteMilestoneTracking[[#This Row],[SiteAccepted_BL]]+t9_HandoverBL</f>
        <v>44058</v>
      </c>
      <c r="BV31" s="84"/>
      <c r="BW31" s="64" t="str">
        <f>IF(ISBLANK(Table_SiteMilestoneTracking[[#This Row],[SiteInOperations_AC]])=FALSE,Table_SiteMilestoneTracking[[#This Row],[SiteInOperations_AC]]-Table_SiteMilestoneTracking[[#This Row],[SiteInOperations_BL]],"-")</f>
        <v>-</v>
      </c>
      <c r="BX31" s="66">
        <f>Table_SiteMilestoneTracking[[#This Row],[SiteInOperations_BL]]-Table_SiteMilestoneTracking[[#This Row],[SiteDesignReady_BL]]</f>
        <v>55</v>
      </c>
      <c r="BY31" s="66" t="str">
        <f>IF(Table_SiteMilestoneTracking[[#This Row],[CurrentSiteMilestone]]="SiteInOperations",Table_SiteMilestoneTracking[[#This Row],[SiteInOperations_AC]]-Table_SiteMilestoneTracking[[#This Row],[SiteDesignReady_AC]],"")</f>
        <v/>
      </c>
      <c r="BZ31" s="66" t="str">
        <f>IFERROR(Table_SiteMilestoneTracking[[#This Row],[E2E_Site_AC]]-Table_SiteMilestoneTracking[[#This Row],[E2E_Site_BL]],"")</f>
        <v/>
      </c>
      <c r="CA31" s="66" t="str">
        <f>IF(Table_SiteMilestoneTracking[[#This Row],[CurrentSiteMilestone]]="SiteInOperations",Table_SiteMilestoneTracking[[#This Row],[SiteInOperations_AC]]-Table_SiteMilestoneTracking[[#This Row],[SiteAccepted_AC]],"")</f>
        <v/>
      </c>
      <c r="CB31" s="79"/>
      <c r="CC31" s="89"/>
      <c r="CD31" s="89"/>
      <c r="CE31" s="70"/>
      <c r="CF31" s="70"/>
      <c r="CG31" s="70"/>
      <c r="CH31" s="70"/>
      <c r="CI31" s="70"/>
      <c r="CJ31" s="70"/>
      <c r="CK31" s="70"/>
      <c r="CL31" s="70"/>
      <c r="CM31" s="70"/>
      <c r="CN31" s="70"/>
      <c r="CO31" s="70"/>
      <c r="CP31" s="70"/>
      <c r="CQ31" s="70"/>
      <c r="CR31" s="70"/>
      <c r="CS31" s="70"/>
      <c r="CT31" s="70"/>
      <c r="CU31" s="70"/>
      <c r="CV31" s="70"/>
      <c r="CW31" s="70"/>
      <c r="CX31" s="70"/>
      <c r="CY31" s="70"/>
      <c r="CZ31" s="70"/>
      <c r="DA31" s="70"/>
      <c r="DB31" s="70"/>
      <c r="DC31" s="70"/>
      <c r="DD31" s="70"/>
      <c r="DE31" s="70"/>
      <c r="DF31" s="70"/>
      <c r="DG31" s="70"/>
      <c r="DH31" s="70"/>
      <c r="DI31" s="70"/>
      <c r="DJ31" s="70"/>
      <c r="DK31" s="70"/>
      <c r="DL31" s="70"/>
      <c r="DM31" s="70"/>
      <c r="DN31" s="70"/>
      <c r="DO31" s="70"/>
      <c r="DP31" s="70"/>
      <c r="DQ31" s="70"/>
      <c r="DR31" s="70"/>
      <c r="DS31" s="70"/>
      <c r="DT31" s="70"/>
      <c r="DU31" s="70"/>
      <c r="DV31" s="70"/>
    </row>
    <row r="32" spans="1:126" x14ac:dyDescent="0.3">
      <c r="A32" s="79" t="str">
        <f>'4. Design Tracking Summary'!A33</f>
        <v>HU00060</v>
      </c>
      <c r="B32" s="79" t="str">
        <f>'4. Design Tracking Summary'!B33</f>
        <v>South</v>
      </c>
      <c r="C32" s="79" t="str">
        <f>'4. Design Tracking Summary'!C33</f>
        <v>VER</v>
      </c>
      <c r="D32" s="79" t="str">
        <f>'4. Design Tracking Summary'!D33</f>
        <v>MINI</v>
      </c>
      <c r="E32" s="79" t="s">
        <v>57</v>
      </c>
      <c r="F32" s="79"/>
      <c r="G32" s="60" t="str">
        <f>IFERROR(INDEX(Table_SiteMilestonesNames[SiteMilestoneName],COUNTA(Table_SiteMilestoneTracking[[#This Row],[SiteDesignStarted_AC]],Table_SiteMilestoneTracking[[#This Row],[SiteDesignReady_AC]],Table_SiteMilestoneTracking[[#This Row],[SiteSurveyCompleted_AC]],Table_SiteMilestoneTracking[[#This Row],[SiteAcquired_AC]],Table_SiteMilestoneTracking[[#This Row],[SiteReadyForCW_AC]],Table_SiteMilestoneTracking[[#This Row],[SiteReadyForPower_AC]],Table_SiteMilestoneTracking[[#This Row],[TXReady_AC]],Table_SiteMilestoneTracking[[#This Row],[SiteReadyForInstallation_AC]],Table_SiteMilestoneTracking[[#This Row],[SiteReadyForIntegration_AC]],Table_SiteMilestoneTracking[[#This Row],[SiteOnAir_AC]],Table_SiteMilestoneTracking[[#This Row],[SiteAccepted_AC]],Table_SiteMilestoneTracking[[#This Row],[SiteInOperations_AC]])+1),"Invalid Milestone")</f>
        <v>SiteOnAir</v>
      </c>
      <c r="H32" s="61">
        <f>Table_SiteMilestoneTracking[[#This Row],[c0_SiteDesignCostBL]]+Table_SiteMilestoneTracking[[#This Row],[c1_SiteSurveyCostBL]]+Table_SiteMilestoneTracking[[#This Row],[c2_SiteAcquisitionCostBL]]+Table_SiteMilestoneTracking[[#This Row],[c3_CivilWorksCostBL]]+Table_SiteMilestoneTracking[[#This Row],[c4_PowerInstallCostBL]]+Table_SiteMilestoneTracking[[#This Row],[c5_TxintegrationCostBL]]+Table_SiteMilestoneTracking[[#This Row],[c6_InstallationCostBL]]+Table_SiteMilestoneTracking[[#This Row],[c7_IntegrationCostBL]]+Table_SiteMilestoneTracking[[#This Row],[c8_AcceptanceCostBL]]+Table_SiteMilestoneTracking[[#This Row],[c9_HandoverCostBL]]</f>
        <v>7550</v>
      </c>
      <c r="I32" s="62">
        <f>Table_SiteMilestoneTracking[[#This Row],[c0_SiteDesignCostAC]]+Table_SiteMilestoneTracking[[#This Row],[c1_SiteSurveyCostAC]]+Table_SiteMilestoneTracking[[#This Row],[c2_SiteAcquisitionCostAC]]+Table_SiteMilestoneTracking[[#This Row],[c3_CivilWorksCostAC]]+Table_SiteMilestoneTracking[[#This Row],[c4_PowerInstallCostAC]]+Table_SiteMilestoneTracking[[#This Row],[c5_TxintegrationCostAC]]+Table_SiteMilestoneTracking[[#This Row],[c6_InstallationCostAC]]+Table_SiteMilestoneTracking[[#This Row],[c7_IntegrationCostAC]]+Table_SiteMilestoneTracking[[#This Row],[c8_AcceptanceCostAC]]+Table_SiteMilestoneTracking[[#This Row],[c9_HandoverCostAC]]</f>
        <v>5940</v>
      </c>
      <c r="J32" s="84">
        <v>44001</v>
      </c>
      <c r="K32" s="84">
        <v>44003</v>
      </c>
      <c r="L32" s="64">
        <f>IF(ISBLANK(Table_SiteMilestoneTracking[[#This Row],[SiteDesignStarted_AC]])=FALSE,Table_SiteMilestoneTracking[[#This Row],[SiteDesignStarted_AC]]-Table_SiteMilestoneTracking[[#This Row],[SiteDesignStarted_BL]],"")</f>
        <v>2</v>
      </c>
      <c r="M32" s="64">
        <f t="shared" si="0"/>
        <v>500</v>
      </c>
      <c r="N32" s="87">
        <v>560</v>
      </c>
      <c r="O32" s="63">
        <f>Table_SiteMilestoneTracking[[#This Row],[SiteDesignStarted_BL]]+t0_SiteDesignDelayBL</f>
        <v>44003</v>
      </c>
      <c r="P32" s="84">
        <v>44005</v>
      </c>
      <c r="Q32" s="64">
        <f>IF(ISBLANK(Table_SiteMilestoneTracking[[#This Row],[SiteDesignReady_AC]])=FALSE,Table_SiteMilestoneTracking[[#This Row],[SiteDesignReady_AC]]-Table_SiteMilestoneTracking[[#This Row],[SiteDesignReady_BL]],"-")</f>
        <v>2</v>
      </c>
      <c r="R32" s="64">
        <f t="shared" si="5"/>
        <v>500</v>
      </c>
      <c r="S32" s="82">
        <v>425</v>
      </c>
      <c r="T32" s="63">
        <f>Table_SiteMilestoneTracking[[#This Row],[SiteDesignReady_BL]]+t1_SiteSurveyBL</f>
        <v>44005</v>
      </c>
      <c r="U32" s="84">
        <v>44007</v>
      </c>
      <c r="V32" s="64">
        <f>IF(ISBLANK(Table_SiteMilestoneTracking[[#This Row],[SiteSurveyCompleted_AC]])=FALSE,Table_SiteMilestoneTracking[[#This Row],[SiteSurveyCompleted_AC]]-Table_SiteMilestoneTracking[[#This Row],[SiteDesignReady_AC]],"-")</f>
        <v>2</v>
      </c>
      <c r="W32" s="64">
        <f t="shared" si="1"/>
        <v>600</v>
      </c>
      <c r="X32" s="82">
        <v>540</v>
      </c>
      <c r="Y32" s="63">
        <f>Table_SiteMilestoneTracking[[#This Row],[SiteSurveyCompleted_BL]]+t2_SiteAcquisitionBL</f>
        <v>44016</v>
      </c>
      <c r="Z32" s="84">
        <v>44018</v>
      </c>
      <c r="AA32" s="65">
        <f>IF(ISBLANK(Table_SiteMilestoneTracking[[#This Row],[SiteAcquired_AC]])=FALSE,Table_SiteMilestoneTracking[[#This Row],[SiteAcquired_AC]]-Table_SiteMilestoneTracking[[#This Row],[SiteAcquired_BL]],"-")</f>
        <v>2</v>
      </c>
      <c r="AB32" s="65">
        <f>IF(ISBLANK(Table_SiteMilestoneTracking[[#This Row],[SiteAcquired_AC]])=FALSE,Table_SiteMilestoneTracking[[#This Row],[SiteAcquired_AC]]-Table_SiteMilestoneTracking[[#This Row],[SiteSurveyCompleted_AC]],"-")</f>
        <v>11</v>
      </c>
      <c r="AC32" s="64">
        <f t="shared" si="2"/>
        <v>150</v>
      </c>
      <c r="AD32" s="82">
        <v>165</v>
      </c>
      <c r="AE32" s="63">
        <f>Table_SiteMilestoneTracking[[#This Row],[SiteAcquired_BL]]+t2a_SiteCWReadinessBL</f>
        <v>44018</v>
      </c>
      <c r="AF32" s="85">
        <v>44021</v>
      </c>
      <c r="AG32" s="66">
        <f>IF(ISBLANK(Table_SiteMilestoneTracking[[#This Row],[SiteReadyForCW_AC]])=FALSE,Table_SiteMilestoneTracking[[#This Row],[SiteReadyForCW_AC]]-Table_SiteMilestoneTracking[[#This Row],[SiteReadyForCW_BL]],"-")</f>
        <v>3</v>
      </c>
      <c r="AH32" s="66">
        <f>IF(ISBLANK(Table_SiteMilestoneTracking[[#This Row],[SiteReadyForCW_AC]])=FALSE,Table_SiteMilestoneTracking[[#This Row],[SiteReadyForCW_AC]]-Table_SiteMilestoneTracking[[#This Row],[SiteDesignReady_AC]],"-")</f>
        <v>16</v>
      </c>
      <c r="AI32" s="64">
        <f t="shared" si="3"/>
        <v>1500</v>
      </c>
      <c r="AJ32" s="82">
        <v>1050</v>
      </c>
      <c r="AK32" s="63">
        <f>Table_SiteMilestoneTracking[[#This Row],[SiteReadyForCW_BL]]+t3_CivilWorksBL</f>
        <v>44026</v>
      </c>
      <c r="AL32" s="84">
        <v>44030</v>
      </c>
      <c r="AM32" s="64">
        <f>IF(ISBLANK(Table_SiteMilestoneTracking[[#This Row],[SiteReadyForPower_AC]])=FALSE,Table_SiteMilestoneTracking[[#This Row],[SiteReadyForPower_AC]]-Table_SiteMilestoneTracking[[#This Row],[SiteReadyForPower_BL]],"-")</f>
        <v>4</v>
      </c>
      <c r="AN32" s="64">
        <f>IF(ISBLANK(Table_SiteMilestoneTracking[[#This Row],[SiteReadyForPower_AC]])=FALSE,Table_SiteMilestoneTracking[[#This Row],[SiteReadyForPower_AC]]-Table_SiteMilestoneTracking[[#This Row],[SiteReadyForCW_AC]],"-")</f>
        <v>9</v>
      </c>
      <c r="AO32" s="64">
        <f t="shared" si="4"/>
        <v>500</v>
      </c>
      <c r="AP32" s="82">
        <v>550</v>
      </c>
      <c r="AQ32" s="63">
        <f>Table_SiteMilestoneTracking[[#This Row],[SiteReadyForPower_BL]]+t4_PowerInstallBL</f>
        <v>44031</v>
      </c>
      <c r="AR32" s="84">
        <v>44036</v>
      </c>
      <c r="AS32" s="64">
        <f>IF(ISBLANK(Table_SiteMilestoneTracking[[#This Row],[TXReady_AC]])=FALSE,Table_SiteMilestoneTracking[[#This Row],[TXReady_AC]]-Table_SiteMilestoneTracking[[#This Row],[TXReady_BL]],"-")</f>
        <v>5</v>
      </c>
      <c r="AT32" s="64">
        <f>IF(ISBLANK(Table_SiteMilestoneTracking[[#This Row],[TXReady_AC]])=FALSE,Table_SiteMilestoneTracking[[#This Row],[TXReady_AC]]-Table_SiteMilestoneTracking[[#This Row],[SiteReadyForPower_AC]],"-")</f>
        <v>6</v>
      </c>
      <c r="AU32" s="64">
        <f>$AU$2</f>
        <v>500</v>
      </c>
      <c r="AV32" s="82">
        <v>350</v>
      </c>
      <c r="AW32" s="63">
        <f>Table_SiteMilestoneTracking[[#This Row],[TXReady_BL]]+t5_TxintegrationBL</f>
        <v>44038</v>
      </c>
      <c r="AX32" s="84">
        <v>44044</v>
      </c>
      <c r="AY32" s="64">
        <f>IF(ISBLANK(Table_SiteMilestoneTracking[[#This Row],[SiteReadyForInstallation_AC]])=FALSE,Table_SiteMilestoneTracking[[#This Row],[SiteReadyForInstallation_AC]]-Table_SiteMilestoneTracking[[#This Row],[SiteReadyForInstallation_BL]],"-")</f>
        <v>6</v>
      </c>
      <c r="AZ32" s="64">
        <f>IF(ISBLANK(Table_SiteMilestoneTracking[[#This Row],[SiteReadyForInstallation_AC]])=FALSE,Table_SiteMilestoneTracking[[#This Row],[SiteReadyForInstallation_AC]]-Table_SiteMilestoneTracking[[#This Row],[TXReady_AC]],"-")</f>
        <v>8</v>
      </c>
      <c r="BA32" s="64">
        <f>$BA$2</f>
        <v>2500</v>
      </c>
      <c r="BB32" s="82">
        <v>2000</v>
      </c>
      <c r="BC32" s="63">
        <f>Table_SiteMilestoneTracking[[#This Row],[SiteReadyForInstallation_BL]]+t6_InstallationBL</f>
        <v>44042</v>
      </c>
      <c r="BD32" s="84">
        <v>44049</v>
      </c>
      <c r="BE32" s="64">
        <f>IF(ISBLANK(Table_SiteMilestoneTracking[[#This Row],[SiteReadyForIntegration_AC]])=FALSE,Table_SiteMilestoneTracking[[#This Row],[SiteReadyForIntegration_AC]]-Table_SiteMilestoneTracking[[#This Row],[SiteReadyForIntegration_BL]],"-")</f>
        <v>7</v>
      </c>
      <c r="BF32" s="64">
        <f>IF(ISBLANK(Table_SiteMilestoneTracking[[#This Row],[SiteReadyForIntegration_AC]])=FALSE,Table_SiteMilestoneTracking[[#This Row],[SiteReadyForIntegration_AC]]-Table_SiteMilestoneTracking[[#This Row],[SiteReadyForInstallation_AC]],"-")</f>
        <v>5</v>
      </c>
      <c r="BG32" s="64">
        <f>$BG$2</f>
        <v>500</v>
      </c>
      <c r="BH32" s="82">
        <v>465</v>
      </c>
      <c r="BI32" s="63">
        <f>Table_SiteMilestoneTracking[[#This Row],[SiteReadyForIntegration_BL]]+t7_IntegrationBL</f>
        <v>44046</v>
      </c>
      <c r="BJ32" s="84">
        <v>44054</v>
      </c>
      <c r="BK32" s="64">
        <f>IF(ISBLANK(Table_SiteMilestoneTracking[[#This Row],[SiteOnAir_AC]])=FALSE,Table_SiteMilestoneTracking[[#This Row],[SiteOnAir_AC]]-Table_SiteMilestoneTracking[[#This Row],[SiteOnAir_BL]],"-")</f>
        <v>8</v>
      </c>
      <c r="BL32" s="64">
        <f>IF(ISBLANK(Table_SiteMilestoneTracking[[#This Row],[SiteOnAir_AC]])=FALSE,Table_SiteMilestoneTracking[[#This Row],[SiteOnAir_AC]]-Table_SiteMilestoneTracking[[#This Row],[SiteReadyForIntegration_AC]],"-")</f>
        <v>5</v>
      </c>
      <c r="BM32" s="64">
        <f>$BM$2</f>
        <v>250</v>
      </c>
      <c r="BN32" s="82"/>
      <c r="BO32" s="63">
        <f>Table_SiteMilestoneTracking[[#This Row],[SiteOnAir_BL]]+t8_AcceptanceBL</f>
        <v>44050</v>
      </c>
      <c r="BP32" s="84"/>
      <c r="BQ32" s="64" t="str">
        <f>IF(ISBLANK(Table_SiteMilestoneTracking[[#This Row],[SiteAccepted_AC]])=FALSE,Table_SiteMilestoneTracking[[#This Row],[SiteAccepted_AC]]-Table_SiteMilestoneTracking[[#This Row],[SiteAccepted_BL]],"-")</f>
        <v>-</v>
      </c>
      <c r="BR32" s="64" t="str">
        <f>IF(ISBLANK(Table_SiteMilestoneTracking[[#This Row],[SiteAccepted_AC]])=FALSE,Table_SiteMilestoneTracking[[#This Row],[SiteAccepted_AC]]-Table_SiteMilestoneTracking[[#This Row],[SiteOnAir_AC]],"-")</f>
        <v>-</v>
      </c>
      <c r="BS32" s="64">
        <f>$BS$2</f>
        <v>200</v>
      </c>
      <c r="BT32" s="82"/>
      <c r="BU32" s="63">
        <f>Table_SiteMilestoneTracking[[#This Row],[SiteAccepted_BL]]+t9_HandoverBL</f>
        <v>44058</v>
      </c>
      <c r="BV32" s="84"/>
      <c r="BW32" s="64" t="str">
        <f>IF(ISBLANK(Table_SiteMilestoneTracking[[#This Row],[SiteInOperations_AC]])=FALSE,Table_SiteMilestoneTracking[[#This Row],[SiteInOperations_AC]]-Table_SiteMilestoneTracking[[#This Row],[SiteInOperations_BL]],"-")</f>
        <v>-</v>
      </c>
      <c r="BX32" s="66">
        <f>Table_SiteMilestoneTracking[[#This Row],[SiteInOperations_BL]]-Table_SiteMilestoneTracking[[#This Row],[SiteDesignReady_BL]]</f>
        <v>55</v>
      </c>
      <c r="BY32" s="66" t="str">
        <f>IF(Table_SiteMilestoneTracking[[#This Row],[CurrentSiteMilestone]]="SiteInOperations",Table_SiteMilestoneTracking[[#This Row],[SiteInOperations_AC]]-Table_SiteMilestoneTracking[[#This Row],[SiteDesignReady_AC]],"")</f>
        <v/>
      </c>
      <c r="BZ32" s="66" t="str">
        <f>IFERROR(Table_SiteMilestoneTracking[[#This Row],[E2E_Site_AC]]-Table_SiteMilestoneTracking[[#This Row],[E2E_Site_BL]],"")</f>
        <v/>
      </c>
      <c r="CA32" s="66" t="str">
        <f>IF(Table_SiteMilestoneTracking[[#This Row],[CurrentSiteMilestone]]="SiteInOperations",Table_SiteMilestoneTracking[[#This Row],[SiteInOperations_AC]]-Table_SiteMilestoneTracking[[#This Row],[SiteAccepted_AC]],"")</f>
        <v/>
      </c>
      <c r="CB32" s="79"/>
      <c r="CC32" s="89"/>
      <c r="CD32" s="89"/>
      <c r="CE32" s="70"/>
      <c r="CF32" s="70"/>
      <c r="CG32" s="70"/>
      <c r="CH32" s="70"/>
      <c r="CI32" s="70"/>
      <c r="CJ32" s="70"/>
      <c r="CK32" s="70"/>
      <c r="CL32" s="70"/>
      <c r="CM32" s="70"/>
      <c r="CN32" s="70"/>
      <c r="CO32" s="70"/>
      <c r="CP32" s="70"/>
      <c r="CQ32" s="70"/>
      <c r="CR32" s="70"/>
      <c r="CS32" s="70"/>
      <c r="CT32" s="70"/>
      <c r="CU32" s="70"/>
      <c r="CV32" s="70"/>
      <c r="CW32" s="70"/>
      <c r="CX32" s="70"/>
      <c r="CY32" s="70"/>
      <c r="CZ32" s="70"/>
      <c r="DA32" s="70"/>
      <c r="DB32" s="70"/>
      <c r="DC32" s="70"/>
      <c r="DD32" s="70"/>
      <c r="DE32" s="70"/>
      <c r="DF32" s="70"/>
      <c r="DG32" s="70"/>
      <c r="DH32" s="70"/>
      <c r="DI32" s="70"/>
      <c r="DJ32" s="70"/>
      <c r="DK32" s="70"/>
      <c r="DL32" s="70"/>
      <c r="DM32" s="70"/>
      <c r="DN32" s="70"/>
      <c r="DO32" s="70"/>
      <c r="DP32" s="70"/>
      <c r="DQ32" s="70"/>
      <c r="DR32" s="70"/>
      <c r="DS32" s="70"/>
      <c r="DT32" s="70"/>
      <c r="DU32" s="70"/>
      <c r="DV32" s="70"/>
    </row>
    <row r="33" spans="1:126" x14ac:dyDescent="0.3">
      <c r="A33" s="79" t="str">
        <f>'4. Design Tracking Summary'!A34</f>
        <v>HU00180</v>
      </c>
      <c r="B33" s="79" t="str">
        <f>'4. Design Tracking Summary'!B34</f>
        <v>South</v>
      </c>
      <c r="C33" s="79" t="str">
        <f>'4. Design Tracking Summary'!C34</f>
        <v>CHI</v>
      </c>
      <c r="D33" s="79" t="str">
        <f>'4. Design Tracking Summary'!D34</f>
        <v>SMALL</v>
      </c>
      <c r="E33" s="79" t="s">
        <v>56</v>
      </c>
      <c r="F33" s="79"/>
      <c r="G33" s="60" t="str">
        <f>IFERROR(INDEX(Table_SiteMilestonesNames[SiteMilestoneName],COUNTA(Table_SiteMilestoneTracking[[#This Row],[SiteDesignStarted_AC]],Table_SiteMilestoneTracking[[#This Row],[SiteDesignReady_AC]],Table_SiteMilestoneTracking[[#This Row],[SiteSurveyCompleted_AC]],Table_SiteMilestoneTracking[[#This Row],[SiteAcquired_AC]],Table_SiteMilestoneTracking[[#This Row],[SiteReadyForCW_AC]],Table_SiteMilestoneTracking[[#This Row],[SiteReadyForPower_AC]],Table_SiteMilestoneTracking[[#This Row],[TXReady_AC]],Table_SiteMilestoneTracking[[#This Row],[SiteReadyForInstallation_AC]],Table_SiteMilestoneTracking[[#This Row],[SiteReadyForIntegration_AC]],Table_SiteMilestoneTracking[[#This Row],[SiteOnAir_AC]],Table_SiteMilestoneTracking[[#This Row],[SiteAccepted_AC]],Table_SiteMilestoneTracking[[#This Row],[SiteInOperations_AC]])+1),"Invalid Milestone")</f>
        <v>SiteOnAir</v>
      </c>
      <c r="H33" s="61">
        <f>Table_SiteMilestoneTracking[[#This Row],[c0_SiteDesignCostBL]]+Table_SiteMilestoneTracking[[#This Row],[c1_SiteSurveyCostBL]]+Table_SiteMilestoneTracking[[#This Row],[c2_SiteAcquisitionCostBL]]+Table_SiteMilestoneTracking[[#This Row],[c3_CivilWorksCostBL]]+Table_SiteMilestoneTracking[[#This Row],[c4_PowerInstallCostBL]]+Table_SiteMilestoneTracking[[#This Row],[c5_TxintegrationCostBL]]+Table_SiteMilestoneTracking[[#This Row],[c6_InstallationCostBL]]+Table_SiteMilestoneTracking[[#This Row],[c7_IntegrationCostBL]]+Table_SiteMilestoneTracking[[#This Row],[c8_AcceptanceCostBL]]+Table_SiteMilestoneTracking[[#This Row],[c9_HandoverCostBL]]</f>
        <v>7550</v>
      </c>
      <c r="I33" s="62">
        <f>Table_SiteMilestoneTracking[[#This Row],[c0_SiteDesignCostAC]]+Table_SiteMilestoneTracking[[#This Row],[c1_SiteSurveyCostAC]]+Table_SiteMilestoneTracking[[#This Row],[c2_SiteAcquisitionCostAC]]+Table_SiteMilestoneTracking[[#This Row],[c3_CivilWorksCostAC]]+Table_SiteMilestoneTracking[[#This Row],[c4_PowerInstallCostAC]]+Table_SiteMilestoneTracking[[#This Row],[c5_TxintegrationCostAC]]+Table_SiteMilestoneTracking[[#This Row],[c6_InstallationCostAC]]+Table_SiteMilestoneTracking[[#This Row],[c7_IntegrationCostAC]]+Table_SiteMilestoneTracking[[#This Row],[c8_AcceptanceCostAC]]+Table_SiteMilestoneTracking[[#This Row],[c9_HandoverCostAC]]</f>
        <v>7905</v>
      </c>
      <c r="J33" s="84">
        <v>44001</v>
      </c>
      <c r="K33" s="84">
        <v>44003</v>
      </c>
      <c r="L33" s="64">
        <f>IF(ISBLANK(Table_SiteMilestoneTracking[[#This Row],[SiteDesignStarted_AC]])=FALSE,Table_SiteMilestoneTracking[[#This Row],[SiteDesignStarted_AC]]-Table_SiteMilestoneTracking[[#This Row],[SiteDesignStarted_BL]],"")</f>
        <v>2</v>
      </c>
      <c r="M33" s="64">
        <f t="shared" si="0"/>
        <v>500</v>
      </c>
      <c r="N33" s="87">
        <v>580</v>
      </c>
      <c r="O33" s="63">
        <f>Table_SiteMilestoneTracking[[#This Row],[SiteDesignStarted_BL]]+t0_SiteDesignDelayBL</f>
        <v>44003</v>
      </c>
      <c r="P33" s="84">
        <v>44003</v>
      </c>
      <c r="Q33" s="64">
        <f>IF(ISBLANK(Table_SiteMilestoneTracking[[#This Row],[SiteDesignReady_AC]])=FALSE,Table_SiteMilestoneTracking[[#This Row],[SiteDesignReady_AC]]-Table_SiteMilestoneTracking[[#This Row],[SiteDesignReady_BL]],"-")</f>
        <v>0</v>
      </c>
      <c r="R33" s="64">
        <f t="shared" si="5"/>
        <v>500</v>
      </c>
      <c r="S33" s="82">
        <v>825</v>
      </c>
      <c r="T33" s="63">
        <f>Table_SiteMilestoneTracking[[#This Row],[SiteDesignReady_BL]]+t1_SiteSurveyBL</f>
        <v>44005</v>
      </c>
      <c r="U33" s="84">
        <v>44006</v>
      </c>
      <c r="V33" s="64">
        <f>IF(ISBLANK(Table_SiteMilestoneTracking[[#This Row],[SiteSurveyCompleted_AC]])=FALSE,Table_SiteMilestoneTracking[[#This Row],[SiteSurveyCompleted_AC]]-Table_SiteMilestoneTracking[[#This Row],[SiteDesignReady_AC]],"-")</f>
        <v>3</v>
      </c>
      <c r="W33" s="64">
        <f t="shared" si="1"/>
        <v>600</v>
      </c>
      <c r="X33" s="82">
        <v>900</v>
      </c>
      <c r="Y33" s="63">
        <f>Table_SiteMilestoneTracking[[#This Row],[SiteSurveyCompleted_BL]]+t2_SiteAcquisitionBL</f>
        <v>44016</v>
      </c>
      <c r="Z33" s="84">
        <v>44017</v>
      </c>
      <c r="AA33" s="65">
        <f>IF(ISBLANK(Table_SiteMilestoneTracking[[#This Row],[SiteAcquired_AC]])=FALSE,Table_SiteMilestoneTracking[[#This Row],[SiteAcquired_AC]]-Table_SiteMilestoneTracking[[#This Row],[SiteAcquired_BL]],"-")</f>
        <v>1</v>
      </c>
      <c r="AB33" s="65">
        <f>IF(ISBLANK(Table_SiteMilestoneTracking[[#This Row],[SiteAcquired_AC]])=FALSE,Table_SiteMilestoneTracking[[#This Row],[SiteAcquired_AC]]-Table_SiteMilestoneTracking[[#This Row],[SiteSurveyCompleted_AC]],"-")</f>
        <v>11</v>
      </c>
      <c r="AC33" s="64">
        <f t="shared" si="2"/>
        <v>150</v>
      </c>
      <c r="AD33" s="82">
        <v>165</v>
      </c>
      <c r="AE33" s="63">
        <f>Table_SiteMilestoneTracking[[#This Row],[SiteAcquired_BL]]+t2a_SiteCWReadinessBL</f>
        <v>44018</v>
      </c>
      <c r="AF33" s="85">
        <v>44019</v>
      </c>
      <c r="AG33" s="66">
        <f>IF(ISBLANK(Table_SiteMilestoneTracking[[#This Row],[SiteReadyForCW_AC]])=FALSE,Table_SiteMilestoneTracking[[#This Row],[SiteReadyForCW_AC]]-Table_SiteMilestoneTracking[[#This Row],[SiteReadyForCW_BL]],"-")</f>
        <v>1</v>
      </c>
      <c r="AH33" s="66">
        <f>IF(ISBLANK(Table_SiteMilestoneTracking[[#This Row],[SiteReadyForCW_AC]])=FALSE,Table_SiteMilestoneTracking[[#This Row],[SiteReadyForCW_AC]]-Table_SiteMilestoneTracking[[#This Row],[SiteDesignReady_AC]],"-")</f>
        <v>16</v>
      </c>
      <c r="AI33" s="64">
        <f t="shared" si="3"/>
        <v>1500</v>
      </c>
      <c r="AJ33" s="82">
        <v>1950</v>
      </c>
      <c r="AK33" s="63">
        <f>Table_SiteMilestoneTracking[[#This Row],[SiteReadyForCW_BL]]+t3_CivilWorksBL</f>
        <v>44026</v>
      </c>
      <c r="AL33" s="84">
        <v>44028</v>
      </c>
      <c r="AM33" s="64">
        <f>IF(ISBLANK(Table_SiteMilestoneTracking[[#This Row],[SiteReadyForPower_AC]])=FALSE,Table_SiteMilestoneTracking[[#This Row],[SiteReadyForPower_AC]]-Table_SiteMilestoneTracking[[#This Row],[SiteReadyForPower_BL]],"-")</f>
        <v>2</v>
      </c>
      <c r="AN33" s="64">
        <f>IF(ISBLANK(Table_SiteMilestoneTracking[[#This Row],[SiteReadyForPower_AC]])=FALSE,Table_SiteMilestoneTracking[[#This Row],[SiteReadyForPower_AC]]-Table_SiteMilestoneTracking[[#This Row],[SiteReadyForCW_AC]],"-")</f>
        <v>9</v>
      </c>
      <c r="AO33" s="64">
        <f t="shared" si="4"/>
        <v>500</v>
      </c>
      <c r="AP33" s="82">
        <v>650</v>
      </c>
      <c r="AQ33" s="63">
        <f>Table_SiteMilestoneTracking[[#This Row],[SiteReadyForPower_BL]]+t4_PowerInstallBL</f>
        <v>44031</v>
      </c>
      <c r="AR33" s="84">
        <v>44033</v>
      </c>
      <c r="AS33" s="64">
        <f>IF(ISBLANK(Table_SiteMilestoneTracking[[#This Row],[TXReady_AC]])=FALSE,Table_SiteMilestoneTracking[[#This Row],[TXReady_AC]]-Table_SiteMilestoneTracking[[#This Row],[TXReady_BL]],"-")</f>
        <v>2</v>
      </c>
      <c r="AT33" s="64">
        <f>IF(ISBLANK(Table_SiteMilestoneTracking[[#This Row],[TXReady_AC]])=FALSE,Table_SiteMilestoneTracking[[#This Row],[TXReady_AC]]-Table_SiteMilestoneTracking[[#This Row],[SiteReadyForPower_AC]],"-")</f>
        <v>5</v>
      </c>
      <c r="AU33" s="64">
        <f>$AU$2</f>
        <v>500</v>
      </c>
      <c r="AV33" s="82">
        <v>500</v>
      </c>
      <c r="AW33" s="63">
        <f>Table_SiteMilestoneTracking[[#This Row],[TXReady_BL]]+t5_TxintegrationBL</f>
        <v>44038</v>
      </c>
      <c r="AX33" s="84">
        <v>44041</v>
      </c>
      <c r="AY33" s="64">
        <f>IF(ISBLANK(Table_SiteMilestoneTracking[[#This Row],[SiteReadyForInstallation_AC]])=FALSE,Table_SiteMilestoneTracking[[#This Row],[SiteReadyForInstallation_AC]]-Table_SiteMilestoneTracking[[#This Row],[SiteReadyForInstallation_BL]],"-")</f>
        <v>3</v>
      </c>
      <c r="AZ33" s="64">
        <f>IF(ISBLANK(Table_SiteMilestoneTracking[[#This Row],[SiteReadyForInstallation_AC]])=FALSE,Table_SiteMilestoneTracking[[#This Row],[SiteReadyForInstallation_AC]]-Table_SiteMilestoneTracking[[#This Row],[TXReady_AC]],"-")</f>
        <v>8</v>
      </c>
      <c r="BA33" s="64">
        <f>$BA$2</f>
        <v>2500</v>
      </c>
      <c r="BB33" s="82">
        <v>2050</v>
      </c>
      <c r="BC33" s="63">
        <f>Table_SiteMilestoneTracking[[#This Row],[SiteReadyForInstallation_BL]]+t6_InstallationBL</f>
        <v>44042</v>
      </c>
      <c r="BD33" s="84">
        <v>44046</v>
      </c>
      <c r="BE33" s="64">
        <f>IF(ISBLANK(Table_SiteMilestoneTracking[[#This Row],[SiteReadyForIntegration_AC]])=FALSE,Table_SiteMilestoneTracking[[#This Row],[SiteReadyForIntegration_AC]]-Table_SiteMilestoneTracking[[#This Row],[SiteReadyForIntegration_BL]],"-")</f>
        <v>4</v>
      </c>
      <c r="BF33" s="64">
        <f>IF(ISBLANK(Table_SiteMilestoneTracking[[#This Row],[SiteReadyForIntegration_AC]])=FALSE,Table_SiteMilestoneTracking[[#This Row],[SiteReadyForIntegration_AC]]-Table_SiteMilestoneTracking[[#This Row],[SiteReadyForInstallation_AC]],"-")</f>
        <v>5</v>
      </c>
      <c r="BG33" s="64">
        <f>$BG$2</f>
        <v>500</v>
      </c>
      <c r="BH33" s="82">
        <v>450</v>
      </c>
      <c r="BI33" s="63">
        <f>Table_SiteMilestoneTracking[[#This Row],[SiteReadyForIntegration_BL]]+t7_IntegrationBL</f>
        <v>44046</v>
      </c>
      <c r="BJ33" s="84">
        <v>44050</v>
      </c>
      <c r="BK33" s="64">
        <f>IF(ISBLANK(Table_SiteMilestoneTracking[[#This Row],[SiteOnAir_AC]])=FALSE,Table_SiteMilestoneTracking[[#This Row],[SiteOnAir_AC]]-Table_SiteMilestoneTracking[[#This Row],[SiteOnAir_BL]],"-")</f>
        <v>4</v>
      </c>
      <c r="BL33" s="64">
        <f>IF(ISBLANK(Table_SiteMilestoneTracking[[#This Row],[SiteOnAir_AC]])=FALSE,Table_SiteMilestoneTracking[[#This Row],[SiteOnAir_AC]]-Table_SiteMilestoneTracking[[#This Row],[SiteReadyForIntegration_AC]],"-")</f>
        <v>4</v>
      </c>
      <c r="BM33" s="64">
        <f>$BM$2</f>
        <v>250</v>
      </c>
      <c r="BN33" s="82"/>
      <c r="BO33" s="63">
        <f>Table_SiteMilestoneTracking[[#This Row],[SiteOnAir_BL]]+t8_AcceptanceBL</f>
        <v>44050</v>
      </c>
      <c r="BP33" s="84"/>
      <c r="BQ33" s="64" t="str">
        <f>IF(ISBLANK(Table_SiteMilestoneTracking[[#This Row],[SiteAccepted_AC]])=FALSE,Table_SiteMilestoneTracking[[#This Row],[SiteAccepted_AC]]-Table_SiteMilestoneTracking[[#This Row],[SiteAccepted_BL]],"-")</f>
        <v>-</v>
      </c>
      <c r="BR33" s="64" t="str">
        <f>IF(ISBLANK(Table_SiteMilestoneTracking[[#This Row],[SiteAccepted_AC]])=FALSE,Table_SiteMilestoneTracking[[#This Row],[SiteAccepted_AC]]-Table_SiteMilestoneTracking[[#This Row],[SiteOnAir_AC]],"-")</f>
        <v>-</v>
      </c>
      <c r="BS33" s="64">
        <f>$BS$2</f>
        <v>200</v>
      </c>
      <c r="BT33" s="82"/>
      <c r="BU33" s="63">
        <f>Table_SiteMilestoneTracking[[#This Row],[SiteAccepted_BL]]+t9_HandoverBL</f>
        <v>44058</v>
      </c>
      <c r="BV33" s="84"/>
      <c r="BW33" s="64" t="str">
        <f>IF(ISBLANK(Table_SiteMilestoneTracking[[#This Row],[SiteInOperations_AC]])=FALSE,Table_SiteMilestoneTracking[[#This Row],[SiteInOperations_AC]]-Table_SiteMilestoneTracking[[#This Row],[SiteInOperations_BL]],"-")</f>
        <v>-</v>
      </c>
      <c r="BX33" s="66">
        <f>Table_SiteMilestoneTracking[[#This Row],[SiteInOperations_BL]]-Table_SiteMilestoneTracking[[#This Row],[SiteDesignReady_BL]]</f>
        <v>55</v>
      </c>
      <c r="BY33" s="66" t="str">
        <f>IF(Table_SiteMilestoneTracking[[#This Row],[CurrentSiteMilestone]]="SiteInOperations",Table_SiteMilestoneTracking[[#This Row],[SiteInOperations_AC]]-Table_SiteMilestoneTracking[[#This Row],[SiteDesignReady_AC]],"")</f>
        <v/>
      </c>
      <c r="BZ33" s="66" t="str">
        <f>IFERROR(Table_SiteMilestoneTracking[[#This Row],[E2E_Site_AC]]-Table_SiteMilestoneTracking[[#This Row],[E2E_Site_BL]],"")</f>
        <v/>
      </c>
      <c r="CA33" s="66" t="str">
        <f>IF(Table_SiteMilestoneTracking[[#This Row],[CurrentSiteMilestone]]="SiteInOperations",Table_SiteMilestoneTracking[[#This Row],[SiteInOperations_AC]]-Table_SiteMilestoneTracking[[#This Row],[SiteAccepted_AC]],"")</f>
        <v/>
      </c>
      <c r="CB33" s="79"/>
      <c r="CC33" s="89"/>
      <c r="CD33" s="89"/>
      <c r="CE33" s="70"/>
      <c r="CF33" s="70"/>
      <c r="CG33" s="70"/>
      <c r="CH33" s="70"/>
      <c r="CI33" s="70"/>
      <c r="CJ33" s="70"/>
      <c r="CK33" s="70"/>
      <c r="CL33" s="70"/>
      <c r="CM33" s="70"/>
      <c r="CN33" s="70"/>
      <c r="CO33" s="70"/>
      <c r="CP33" s="70"/>
      <c r="CQ33" s="70"/>
      <c r="CR33" s="70"/>
      <c r="CS33" s="70"/>
      <c r="CT33" s="70"/>
      <c r="CU33" s="70"/>
      <c r="CV33" s="70"/>
      <c r="CW33" s="70"/>
      <c r="CX33" s="70"/>
      <c r="CY33" s="70"/>
      <c r="CZ33" s="70"/>
      <c r="DA33" s="70"/>
      <c r="DB33" s="70"/>
      <c r="DC33" s="70"/>
      <c r="DD33" s="70"/>
      <c r="DE33" s="70"/>
      <c r="DF33" s="70"/>
      <c r="DG33" s="70"/>
      <c r="DH33" s="70"/>
      <c r="DI33" s="70"/>
      <c r="DJ33" s="70"/>
      <c r="DK33" s="70"/>
      <c r="DL33" s="70"/>
      <c r="DM33" s="70"/>
      <c r="DN33" s="70"/>
      <c r="DO33" s="70"/>
      <c r="DP33" s="70"/>
      <c r="DQ33" s="70"/>
      <c r="DR33" s="70"/>
      <c r="DS33" s="70"/>
      <c r="DT33" s="70"/>
      <c r="DU33" s="70"/>
      <c r="DV33" s="70"/>
    </row>
    <row r="34" spans="1:126" x14ac:dyDescent="0.3">
      <c r="A34" s="79" t="str">
        <f>'4. Design Tracking Summary'!A35</f>
        <v>AM00040</v>
      </c>
      <c r="B34" s="79" t="str">
        <f>'4. Design Tracking Summary'!B35</f>
        <v>North</v>
      </c>
      <c r="C34" s="79" t="str">
        <f>'4. Design Tracking Summary'!C35</f>
        <v>MTY</v>
      </c>
      <c r="D34" s="79" t="str">
        <f>'4. Design Tracking Summary'!D35</f>
        <v>MINI</v>
      </c>
      <c r="E34" s="79" t="s">
        <v>57</v>
      </c>
      <c r="F34" s="79"/>
      <c r="G34" s="60" t="str">
        <f>IFERROR(INDEX(Table_SiteMilestonesNames[SiteMilestoneName],COUNTA(Table_SiteMilestoneTracking[[#This Row],[SiteDesignStarted_AC]],Table_SiteMilestoneTracking[[#This Row],[SiteDesignReady_AC]],Table_SiteMilestoneTracking[[#This Row],[SiteSurveyCompleted_AC]],Table_SiteMilestoneTracking[[#This Row],[SiteAcquired_AC]],Table_SiteMilestoneTracking[[#This Row],[SiteReadyForCW_AC]],Table_SiteMilestoneTracking[[#This Row],[SiteReadyForPower_AC]],Table_SiteMilestoneTracking[[#This Row],[TXReady_AC]],Table_SiteMilestoneTracking[[#This Row],[SiteReadyForInstallation_AC]],Table_SiteMilestoneTracking[[#This Row],[SiteReadyForIntegration_AC]],Table_SiteMilestoneTracking[[#This Row],[SiteOnAir_AC]],Table_SiteMilestoneTracking[[#This Row],[SiteAccepted_AC]],Table_SiteMilestoneTracking[[#This Row],[SiteInOperations_AC]])+1),"Invalid Milestone")</f>
        <v>SiteReadyForIntegration</v>
      </c>
      <c r="H34" s="61">
        <f>Table_SiteMilestoneTracking[[#This Row],[c0_SiteDesignCostBL]]+Table_SiteMilestoneTracking[[#This Row],[c1_SiteSurveyCostBL]]+Table_SiteMilestoneTracking[[#This Row],[c2_SiteAcquisitionCostBL]]+Table_SiteMilestoneTracking[[#This Row],[c3_CivilWorksCostBL]]+Table_SiteMilestoneTracking[[#This Row],[c4_PowerInstallCostBL]]+Table_SiteMilestoneTracking[[#This Row],[c5_TxintegrationCostBL]]+Table_SiteMilestoneTracking[[#This Row],[c6_InstallationCostBL]]+Table_SiteMilestoneTracking[[#This Row],[c7_IntegrationCostBL]]+Table_SiteMilestoneTracking[[#This Row],[c8_AcceptanceCostBL]]+Table_SiteMilestoneTracking[[#This Row],[c9_HandoverCostBL]]</f>
        <v>7550</v>
      </c>
      <c r="I34" s="62">
        <f>Table_SiteMilestoneTracking[[#This Row],[c0_SiteDesignCostAC]]+Table_SiteMilestoneTracking[[#This Row],[c1_SiteSurveyCostAC]]+Table_SiteMilestoneTracking[[#This Row],[c2_SiteAcquisitionCostAC]]+Table_SiteMilestoneTracking[[#This Row],[c3_CivilWorksCostAC]]+Table_SiteMilestoneTracking[[#This Row],[c4_PowerInstallCostAC]]+Table_SiteMilestoneTracking[[#This Row],[c5_TxintegrationCostAC]]+Table_SiteMilestoneTracking[[#This Row],[c6_InstallationCostAC]]+Table_SiteMilestoneTracking[[#This Row],[c7_IntegrationCostAC]]+Table_SiteMilestoneTracking[[#This Row],[c8_AcceptanceCostAC]]+Table_SiteMilestoneTracking[[#This Row],[c9_HandoverCostAC]]</f>
        <v>6495</v>
      </c>
      <c r="J34" s="84">
        <v>44001</v>
      </c>
      <c r="K34" s="84">
        <v>44003</v>
      </c>
      <c r="L34" s="64">
        <f>IF(ISBLANK(Table_SiteMilestoneTracking[[#This Row],[SiteDesignStarted_AC]])=FALSE,Table_SiteMilestoneTracking[[#This Row],[SiteDesignStarted_AC]]-Table_SiteMilestoneTracking[[#This Row],[SiteDesignStarted_BL]],"")</f>
        <v>2</v>
      </c>
      <c r="M34" s="64">
        <f t="shared" si="0"/>
        <v>500</v>
      </c>
      <c r="N34" s="87">
        <v>400</v>
      </c>
      <c r="O34" s="63">
        <f>Table_SiteMilestoneTracking[[#This Row],[SiteDesignStarted_BL]]+t0_SiteDesignDelayBL</f>
        <v>44003</v>
      </c>
      <c r="P34" s="84">
        <v>44006</v>
      </c>
      <c r="Q34" s="64">
        <f>IF(ISBLANK(Table_SiteMilestoneTracking[[#This Row],[SiteDesignReady_AC]])=FALSE,Table_SiteMilestoneTracking[[#This Row],[SiteDesignReady_AC]]-Table_SiteMilestoneTracking[[#This Row],[SiteDesignReady_BL]],"-")</f>
        <v>3</v>
      </c>
      <c r="R34" s="64">
        <f t="shared" si="5"/>
        <v>500</v>
      </c>
      <c r="S34" s="82">
        <v>775</v>
      </c>
      <c r="T34" s="63">
        <f>Table_SiteMilestoneTracking[[#This Row],[SiteDesignReady_BL]]+t1_SiteSurveyBL</f>
        <v>44005</v>
      </c>
      <c r="U34" s="84">
        <v>44008</v>
      </c>
      <c r="V34" s="64">
        <f>IF(ISBLANK(Table_SiteMilestoneTracking[[#This Row],[SiteSurveyCompleted_AC]])=FALSE,Table_SiteMilestoneTracking[[#This Row],[SiteSurveyCompleted_AC]]-Table_SiteMilestoneTracking[[#This Row],[SiteDesignReady_AC]],"-")</f>
        <v>2</v>
      </c>
      <c r="W34" s="64">
        <f t="shared" si="1"/>
        <v>600</v>
      </c>
      <c r="X34" s="82">
        <v>720</v>
      </c>
      <c r="Y34" s="63">
        <f>Table_SiteMilestoneTracking[[#This Row],[SiteSurveyCompleted_BL]]+t2_SiteAcquisitionBL</f>
        <v>44016</v>
      </c>
      <c r="Z34" s="84">
        <v>44020</v>
      </c>
      <c r="AA34" s="65">
        <f>IF(ISBLANK(Table_SiteMilestoneTracking[[#This Row],[SiteAcquired_AC]])=FALSE,Table_SiteMilestoneTracking[[#This Row],[SiteAcquired_AC]]-Table_SiteMilestoneTracking[[#This Row],[SiteAcquired_BL]],"-")</f>
        <v>4</v>
      </c>
      <c r="AB34" s="65">
        <f>IF(ISBLANK(Table_SiteMilestoneTracking[[#This Row],[SiteAcquired_AC]])=FALSE,Table_SiteMilestoneTracking[[#This Row],[SiteAcquired_AC]]-Table_SiteMilestoneTracking[[#This Row],[SiteSurveyCompleted_AC]],"-")</f>
        <v>12</v>
      </c>
      <c r="AC34" s="64">
        <f t="shared" si="2"/>
        <v>150</v>
      </c>
      <c r="AD34" s="82">
        <v>120</v>
      </c>
      <c r="AE34" s="63">
        <f>Table_SiteMilestoneTracking[[#This Row],[SiteAcquired_BL]]+t2a_SiteCWReadinessBL</f>
        <v>44018</v>
      </c>
      <c r="AF34" s="85">
        <v>44022</v>
      </c>
      <c r="AG34" s="66">
        <f>IF(ISBLANK(Table_SiteMilestoneTracking[[#This Row],[SiteReadyForCW_AC]])=FALSE,Table_SiteMilestoneTracking[[#This Row],[SiteReadyForCW_AC]]-Table_SiteMilestoneTracking[[#This Row],[SiteReadyForCW_BL]],"-")</f>
        <v>4</v>
      </c>
      <c r="AH34" s="66">
        <f>IF(ISBLANK(Table_SiteMilestoneTracking[[#This Row],[SiteReadyForCW_AC]])=FALSE,Table_SiteMilestoneTracking[[#This Row],[SiteReadyForCW_AC]]-Table_SiteMilestoneTracking[[#This Row],[SiteDesignReady_AC]],"-")</f>
        <v>16</v>
      </c>
      <c r="AI34" s="64">
        <f t="shared" si="3"/>
        <v>1500</v>
      </c>
      <c r="AJ34" s="82">
        <v>1950</v>
      </c>
      <c r="AK34" s="63">
        <f>Table_SiteMilestoneTracking[[#This Row],[SiteReadyForCW_BL]]+t3_CivilWorksBL</f>
        <v>44026</v>
      </c>
      <c r="AL34" s="84">
        <v>44030</v>
      </c>
      <c r="AM34" s="64">
        <f>IF(ISBLANK(Table_SiteMilestoneTracking[[#This Row],[SiteReadyForPower_AC]])=FALSE,Table_SiteMilestoneTracking[[#This Row],[SiteReadyForPower_AC]]-Table_SiteMilestoneTracking[[#This Row],[SiteReadyForPower_BL]],"-")</f>
        <v>4</v>
      </c>
      <c r="AN34" s="64">
        <f>IF(ISBLANK(Table_SiteMilestoneTracking[[#This Row],[SiteReadyForPower_AC]])=FALSE,Table_SiteMilestoneTracking[[#This Row],[SiteReadyForPower_AC]]-Table_SiteMilestoneTracking[[#This Row],[SiteReadyForCW_AC]],"-")</f>
        <v>8</v>
      </c>
      <c r="AO34" s="64">
        <f t="shared" si="4"/>
        <v>500</v>
      </c>
      <c r="AP34" s="82">
        <v>350</v>
      </c>
      <c r="AQ34" s="63">
        <f>Table_SiteMilestoneTracking[[#This Row],[SiteReadyForPower_BL]]+t4_PowerInstallBL</f>
        <v>44031</v>
      </c>
      <c r="AR34" s="84">
        <v>44036</v>
      </c>
      <c r="AS34" s="64">
        <f>IF(ISBLANK(Table_SiteMilestoneTracking[[#This Row],[TXReady_AC]])=FALSE,Table_SiteMilestoneTracking[[#This Row],[TXReady_AC]]-Table_SiteMilestoneTracking[[#This Row],[TXReady_BL]],"-")</f>
        <v>5</v>
      </c>
      <c r="AT34" s="64">
        <f>IF(ISBLANK(Table_SiteMilestoneTracking[[#This Row],[TXReady_AC]])=FALSE,Table_SiteMilestoneTracking[[#This Row],[TXReady_AC]]-Table_SiteMilestoneTracking[[#This Row],[SiteReadyForPower_AC]],"-")</f>
        <v>6</v>
      </c>
      <c r="AU34" s="64">
        <f>$AU$2</f>
        <v>500</v>
      </c>
      <c r="AV34" s="82">
        <v>300</v>
      </c>
      <c r="AW34" s="63">
        <f>Table_SiteMilestoneTracking[[#This Row],[TXReady_BL]]+t5_TxintegrationBL</f>
        <v>44038</v>
      </c>
      <c r="AX34" s="84">
        <v>44043</v>
      </c>
      <c r="AY34" s="64">
        <f>IF(ISBLANK(Table_SiteMilestoneTracking[[#This Row],[SiteReadyForInstallation_AC]])=FALSE,Table_SiteMilestoneTracking[[#This Row],[SiteReadyForInstallation_AC]]-Table_SiteMilestoneTracking[[#This Row],[SiteReadyForInstallation_BL]],"-")</f>
        <v>5</v>
      </c>
      <c r="AZ34" s="64">
        <f>IF(ISBLANK(Table_SiteMilestoneTracking[[#This Row],[SiteReadyForInstallation_AC]])=FALSE,Table_SiteMilestoneTracking[[#This Row],[SiteReadyForInstallation_AC]]-Table_SiteMilestoneTracking[[#This Row],[TXReady_AC]],"-")</f>
        <v>7</v>
      </c>
      <c r="BA34" s="64">
        <f>$BA$2</f>
        <v>2500</v>
      </c>
      <c r="BB34" s="82">
        <v>2000</v>
      </c>
      <c r="BC34" s="63">
        <f>Table_SiteMilestoneTracking[[#This Row],[SiteReadyForInstallation_BL]]+t6_InstallationBL</f>
        <v>44042</v>
      </c>
      <c r="BD34" s="84">
        <v>44048</v>
      </c>
      <c r="BE34" s="64">
        <f>IF(ISBLANK(Table_SiteMilestoneTracking[[#This Row],[SiteReadyForIntegration_AC]])=FALSE,Table_SiteMilestoneTracking[[#This Row],[SiteReadyForIntegration_AC]]-Table_SiteMilestoneTracking[[#This Row],[SiteReadyForIntegration_BL]],"-")</f>
        <v>6</v>
      </c>
      <c r="BF34" s="64">
        <f>IF(ISBLANK(Table_SiteMilestoneTracking[[#This Row],[SiteReadyForIntegration_AC]])=FALSE,Table_SiteMilestoneTracking[[#This Row],[SiteReadyForIntegration_AC]]-Table_SiteMilestoneTracking[[#This Row],[SiteReadyForInstallation_AC]],"-")</f>
        <v>5</v>
      </c>
      <c r="BG34" s="64">
        <f>$BG$2</f>
        <v>500</v>
      </c>
      <c r="BH34" s="82"/>
      <c r="BI34" s="63">
        <f>Table_SiteMilestoneTracking[[#This Row],[SiteReadyForIntegration_BL]]+t7_IntegrationBL</f>
        <v>44046</v>
      </c>
      <c r="BJ34" s="84"/>
      <c r="BK34" s="64" t="str">
        <f>IF(ISBLANK(Table_SiteMilestoneTracking[[#This Row],[SiteOnAir_AC]])=FALSE,Table_SiteMilestoneTracking[[#This Row],[SiteOnAir_AC]]-Table_SiteMilestoneTracking[[#This Row],[SiteOnAir_BL]],"-")</f>
        <v>-</v>
      </c>
      <c r="BL34" s="64" t="str">
        <f>IF(ISBLANK(Table_SiteMilestoneTracking[[#This Row],[SiteOnAir_AC]])=FALSE,Table_SiteMilestoneTracking[[#This Row],[SiteOnAir_AC]]-Table_SiteMilestoneTracking[[#This Row],[SiteReadyForIntegration_AC]],"-")</f>
        <v>-</v>
      </c>
      <c r="BM34" s="64">
        <f>$BM$2</f>
        <v>250</v>
      </c>
      <c r="BN34" s="82"/>
      <c r="BO34" s="63">
        <f>Table_SiteMilestoneTracking[[#This Row],[SiteOnAir_BL]]+t8_AcceptanceBL</f>
        <v>44050</v>
      </c>
      <c r="BP34" s="84"/>
      <c r="BQ34" s="64" t="str">
        <f>IF(ISBLANK(Table_SiteMilestoneTracking[[#This Row],[SiteAccepted_AC]])=FALSE,Table_SiteMilestoneTracking[[#This Row],[SiteAccepted_AC]]-Table_SiteMilestoneTracking[[#This Row],[SiteAccepted_BL]],"-")</f>
        <v>-</v>
      </c>
      <c r="BR34" s="64" t="str">
        <f>IF(ISBLANK(Table_SiteMilestoneTracking[[#This Row],[SiteAccepted_AC]])=FALSE,Table_SiteMilestoneTracking[[#This Row],[SiteAccepted_AC]]-Table_SiteMilestoneTracking[[#This Row],[SiteOnAir_AC]],"-")</f>
        <v>-</v>
      </c>
      <c r="BS34" s="64">
        <f>$BS$2</f>
        <v>200</v>
      </c>
      <c r="BT34" s="82"/>
      <c r="BU34" s="63">
        <f>Table_SiteMilestoneTracking[[#This Row],[SiteAccepted_BL]]+t9_HandoverBL</f>
        <v>44058</v>
      </c>
      <c r="BV34" s="84"/>
      <c r="BW34" s="64" t="str">
        <f>IF(ISBLANK(Table_SiteMilestoneTracking[[#This Row],[SiteInOperations_AC]])=FALSE,Table_SiteMilestoneTracking[[#This Row],[SiteInOperations_AC]]-Table_SiteMilestoneTracking[[#This Row],[SiteInOperations_BL]],"-")</f>
        <v>-</v>
      </c>
      <c r="BX34" s="66">
        <f>Table_SiteMilestoneTracking[[#This Row],[SiteInOperations_BL]]-Table_SiteMilestoneTracking[[#This Row],[SiteDesignReady_BL]]</f>
        <v>55</v>
      </c>
      <c r="BY34" s="66" t="str">
        <f>IF(Table_SiteMilestoneTracking[[#This Row],[CurrentSiteMilestone]]="SiteInOperations",Table_SiteMilestoneTracking[[#This Row],[SiteInOperations_AC]]-Table_SiteMilestoneTracking[[#This Row],[SiteDesignReady_AC]],"")</f>
        <v/>
      </c>
      <c r="BZ34" s="66" t="str">
        <f>IFERROR(Table_SiteMilestoneTracking[[#This Row],[E2E_Site_AC]]-Table_SiteMilestoneTracking[[#This Row],[E2E_Site_BL]],"")</f>
        <v/>
      </c>
      <c r="CA34" s="66" t="str">
        <f>IF(Table_SiteMilestoneTracking[[#This Row],[CurrentSiteMilestone]]="SiteInOperations",Table_SiteMilestoneTracking[[#This Row],[SiteInOperations_AC]]-Table_SiteMilestoneTracking[[#This Row],[SiteAccepted_AC]],"")</f>
        <v/>
      </c>
      <c r="CB34" s="79"/>
      <c r="CC34" s="89"/>
      <c r="CD34" s="89"/>
      <c r="CE34" s="70"/>
      <c r="CF34" s="70"/>
      <c r="CG34" s="70"/>
      <c r="CH34" s="70"/>
      <c r="CI34" s="70"/>
      <c r="CJ34" s="70"/>
      <c r="CK34" s="70"/>
      <c r="CL34" s="70"/>
      <c r="CM34" s="70"/>
      <c r="CN34" s="70"/>
      <c r="CO34" s="70"/>
      <c r="CP34" s="70"/>
      <c r="CQ34" s="70"/>
      <c r="CR34" s="70"/>
      <c r="CS34" s="70"/>
      <c r="CT34" s="70"/>
      <c r="CU34" s="70"/>
      <c r="CV34" s="70"/>
      <c r="CW34" s="70"/>
      <c r="CX34" s="70"/>
      <c r="CY34" s="70"/>
      <c r="CZ34" s="70"/>
      <c r="DA34" s="70"/>
      <c r="DB34" s="70"/>
      <c r="DC34" s="70"/>
      <c r="DD34" s="70"/>
      <c r="DE34" s="70"/>
      <c r="DF34" s="70"/>
      <c r="DG34" s="70"/>
      <c r="DH34" s="70"/>
      <c r="DI34" s="70"/>
      <c r="DJ34" s="70"/>
      <c r="DK34" s="70"/>
      <c r="DL34" s="70"/>
      <c r="DM34" s="70"/>
      <c r="DN34" s="70"/>
      <c r="DO34" s="70"/>
      <c r="DP34" s="70"/>
      <c r="DQ34" s="70"/>
      <c r="DR34" s="70"/>
      <c r="DS34" s="70"/>
      <c r="DT34" s="70"/>
      <c r="DU34" s="70"/>
      <c r="DV34" s="70"/>
    </row>
    <row r="35" spans="1:126" x14ac:dyDescent="0.3">
      <c r="A35" s="79" t="str">
        <f>'4. Design Tracking Summary'!A36</f>
        <v>AM00041</v>
      </c>
      <c r="B35" s="79" t="str">
        <f>'4. Design Tracking Summary'!B36</f>
        <v>North</v>
      </c>
      <c r="C35" s="79" t="str">
        <f>'4. Design Tracking Summary'!C36</f>
        <v>ZAC</v>
      </c>
      <c r="D35" s="79" t="str">
        <f>'4. Design Tracking Summary'!D36</f>
        <v>SMALL</v>
      </c>
      <c r="E35" s="79" t="s">
        <v>58</v>
      </c>
      <c r="F35" s="79"/>
      <c r="G35" s="60" t="str">
        <f>IFERROR(INDEX(Table_SiteMilestonesNames[SiteMilestoneName],COUNTA(Table_SiteMilestoneTracking[[#This Row],[SiteDesignStarted_AC]],Table_SiteMilestoneTracking[[#This Row],[SiteDesignReady_AC]],Table_SiteMilestoneTracking[[#This Row],[SiteSurveyCompleted_AC]],Table_SiteMilestoneTracking[[#This Row],[SiteAcquired_AC]],Table_SiteMilestoneTracking[[#This Row],[SiteReadyForCW_AC]],Table_SiteMilestoneTracking[[#This Row],[SiteReadyForPower_AC]],Table_SiteMilestoneTracking[[#This Row],[TXReady_AC]],Table_SiteMilestoneTracking[[#This Row],[SiteReadyForInstallation_AC]],Table_SiteMilestoneTracking[[#This Row],[SiteReadyForIntegration_AC]],Table_SiteMilestoneTracking[[#This Row],[SiteOnAir_AC]],Table_SiteMilestoneTracking[[#This Row],[SiteAccepted_AC]],Table_SiteMilestoneTracking[[#This Row],[SiteInOperations_AC]])+1),"Invalid Milestone")</f>
        <v>SiteReadyForIntegration</v>
      </c>
      <c r="H35" s="61">
        <f>Table_SiteMilestoneTracking[[#This Row],[c0_SiteDesignCostBL]]+Table_SiteMilestoneTracking[[#This Row],[c1_SiteSurveyCostBL]]+Table_SiteMilestoneTracking[[#This Row],[c2_SiteAcquisitionCostBL]]+Table_SiteMilestoneTracking[[#This Row],[c3_CivilWorksCostBL]]+Table_SiteMilestoneTracking[[#This Row],[c4_PowerInstallCostBL]]+Table_SiteMilestoneTracking[[#This Row],[c5_TxintegrationCostBL]]+Table_SiteMilestoneTracking[[#This Row],[c6_InstallationCostBL]]+Table_SiteMilestoneTracking[[#This Row],[c7_IntegrationCostBL]]+Table_SiteMilestoneTracking[[#This Row],[c8_AcceptanceCostBL]]+Table_SiteMilestoneTracking[[#This Row],[c9_HandoverCostBL]]</f>
        <v>7550</v>
      </c>
      <c r="I35" s="62">
        <f>Table_SiteMilestoneTracking[[#This Row],[c0_SiteDesignCostAC]]+Table_SiteMilestoneTracking[[#This Row],[c1_SiteSurveyCostAC]]+Table_SiteMilestoneTracking[[#This Row],[c2_SiteAcquisitionCostAC]]+Table_SiteMilestoneTracking[[#This Row],[c3_CivilWorksCostAC]]+Table_SiteMilestoneTracking[[#This Row],[c4_PowerInstallCostAC]]+Table_SiteMilestoneTracking[[#This Row],[c5_TxintegrationCostAC]]+Table_SiteMilestoneTracking[[#This Row],[c6_InstallationCostAC]]+Table_SiteMilestoneTracking[[#This Row],[c7_IntegrationCostAC]]+Table_SiteMilestoneTracking[[#This Row],[c8_AcceptanceCostAC]]+Table_SiteMilestoneTracking[[#This Row],[c9_HandoverCostAC]]</f>
        <v>6375</v>
      </c>
      <c r="J35" s="84">
        <v>44001</v>
      </c>
      <c r="K35" s="84">
        <v>44002</v>
      </c>
      <c r="L35" s="64">
        <f>IF(ISBLANK(Table_SiteMilestoneTracking[[#This Row],[SiteDesignStarted_AC]])=FALSE,Table_SiteMilestoneTracking[[#This Row],[SiteDesignStarted_AC]]-Table_SiteMilestoneTracking[[#This Row],[SiteDesignStarted_BL]],"")</f>
        <v>1</v>
      </c>
      <c r="M35" s="64">
        <f t="shared" si="0"/>
        <v>500</v>
      </c>
      <c r="N35" s="87">
        <v>520</v>
      </c>
      <c r="O35" s="63">
        <f>Table_SiteMilestoneTracking[[#This Row],[SiteDesignStarted_BL]]+t0_SiteDesignDelayBL</f>
        <v>44003</v>
      </c>
      <c r="P35" s="84">
        <v>44004</v>
      </c>
      <c r="Q35" s="64">
        <f>IF(ISBLANK(Table_SiteMilestoneTracking[[#This Row],[SiteDesignReady_AC]])=FALSE,Table_SiteMilestoneTracking[[#This Row],[SiteDesignReady_AC]]-Table_SiteMilestoneTracking[[#This Row],[SiteDesignReady_BL]],"-")</f>
        <v>1</v>
      </c>
      <c r="R35" s="64">
        <f t="shared" si="5"/>
        <v>500</v>
      </c>
      <c r="S35" s="82">
        <v>525</v>
      </c>
      <c r="T35" s="63">
        <f>Table_SiteMilestoneTracking[[#This Row],[SiteDesignReady_BL]]+t1_SiteSurveyBL</f>
        <v>44005</v>
      </c>
      <c r="U35" s="84">
        <v>44007</v>
      </c>
      <c r="V35" s="64">
        <f>IF(ISBLANK(Table_SiteMilestoneTracking[[#This Row],[SiteSurveyCompleted_AC]])=FALSE,Table_SiteMilestoneTracking[[#This Row],[SiteSurveyCompleted_AC]]-Table_SiteMilestoneTracking[[#This Row],[SiteDesignReady_AC]],"-")</f>
        <v>3</v>
      </c>
      <c r="W35" s="64">
        <f t="shared" si="1"/>
        <v>600</v>
      </c>
      <c r="X35" s="82">
        <v>480</v>
      </c>
      <c r="Y35" s="63">
        <f>Table_SiteMilestoneTracking[[#This Row],[SiteSurveyCompleted_BL]]+t2_SiteAcquisitionBL</f>
        <v>44016</v>
      </c>
      <c r="Z35" s="84">
        <v>44018</v>
      </c>
      <c r="AA35" s="65">
        <f>IF(ISBLANK(Table_SiteMilestoneTracking[[#This Row],[SiteAcquired_AC]])=FALSE,Table_SiteMilestoneTracking[[#This Row],[SiteAcquired_AC]]-Table_SiteMilestoneTracking[[#This Row],[SiteAcquired_BL]],"-")</f>
        <v>2</v>
      </c>
      <c r="AB35" s="65">
        <f>IF(ISBLANK(Table_SiteMilestoneTracking[[#This Row],[SiteAcquired_AC]])=FALSE,Table_SiteMilestoneTracking[[#This Row],[SiteAcquired_AC]]-Table_SiteMilestoneTracking[[#This Row],[SiteSurveyCompleted_AC]],"-")</f>
        <v>11</v>
      </c>
      <c r="AC35" s="64">
        <f t="shared" si="2"/>
        <v>150</v>
      </c>
      <c r="AD35" s="82">
        <v>135</v>
      </c>
      <c r="AE35" s="63">
        <f>Table_SiteMilestoneTracking[[#This Row],[SiteAcquired_BL]]+t2a_SiteCWReadinessBL</f>
        <v>44018</v>
      </c>
      <c r="AF35" s="85">
        <v>44020</v>
      </c>
      <c r="AG35" s="66">
        <f>IF(ISBLANK(Table_SiteMilestoneTracking[[#This Row],[SiteReadyForCW_AC]])=FALSE,Table_SiteMilestoneTracking[[#This Row],[SiteReadyForCW_AC]]-Table_SiteMilestoneTracking[[#This Row],[SiteReadyForCW_BL]],"-")</f>
        <v>2</v>
      </c>
      <c r="AH35" s="66">
        <f>IF(ISBLANK(Table_SiteMilestoneTracking[[#This Row],[SiteReadyForCW_AC]])=FALSE,Table_SiteMilestoneTracking[[#This Row],[SiteReadyForCW_AC]]-Table_SiteMilestoneTracking[[#This Row],[SiteDesignReady_AC]],"-")</f>
        <v>16</v>
      </c>
      <c r="AI35" s="64">
        <f t="shared" si="3"/>
        <v>1500</v>
      </c>
      <c r="AJ35" s="82">
        <v>1950</v>
      </c>
      <c r="AK35" s="63">
        <f>Table_SiteMilestoneTracking[[#This Row],[SiteReadyForCW_BL]]+t3_CivilWorksBL</f>
        <v>44026</v>
      </c>
      <c r="AL35" s="84">
        <v>44028</v>
      </c>
      <c r="AM35" s="64">
        <f>IF(ISBLANK(Table_SiteMilestoneTracking[[#This Row],[SiteReadyForPower_AC]])=FALSE,Table_SiteMilestoneTracking[[#This Row],[SiteReadyForPower_AC]]-Table_SiteMilestoneTracking[[#This Row],[SiteReadyForPower_BL]],"-")</f>
        <v>2</v>
      </c>
      <c r="AN35" s="64">
        <f>IF(ISBLANK(Table_SiteMilestoneTracking[[#This Row],[SiteReadyForPower_AC]])=FALSE,Table_SiteMilestoneTracking[[#This Row],[SiteReadyForPower_AC]]-Table_SiteMilestoneTracking[[#This Row],[SiteReadyForCW_AC]],"-")</f>
        <v>8</v>
      </c>
      <c r="AO35" s="64">
        <f t="shared" si="4"/>
        <v>500</v>
      </c>
      <c r="AP35" s="82">
        <v>300</v>
      </c>
      <c r="AQ35" s="63">
        <f>Table_SiteMilestoneTracking[[#This Row],[SiteReadyForPower_BL]]+t4_PowerInstallBL</f>
        <v>44031</v>
      </c>
      <c r="AR35" s="84">
        <v>44034</v>
      </c>
      <c r="AS35" s="64">
        <f>IF(ISBLANK(Table_SiteMilestoneTracking[[#This Row],[TXReady_AC]])=FALSE,Table_SiteMilestoneTracking[[#This Row],[TXReady_AC]]-Table_SiteMilestoneTracking[[#This Row],[TXReady_BL]],"-")</f>
        <v>3</v>
      </c>
      <c r="AT35" s="64">
        <f>IF(ISBLANK(Table_SiteMilestoneTracking[[#This Row],[TXReady_AC]])=FALSE,Table_SiteMilestoneTracking[[#This Row],[TXReady_AC]]-Table_SiteMilestoneTracking[[#This Row],[SiteReadyForPower_AC]],"-")</f>
        <v>6</v>
      </c>
      <c r="AU35" s="64">
        <f>$AU$2</f>
        <v>500</v>
      </c>
      <c r="AV35" s="82">
        <v>300</v>
      </c>
      <c r="AW35" s="63">
        <f>Table_SiteMilestoneTracking[[#This Row],[TXReady_BL]]+t5_TxintegrationBL</f>
        <v>44038</v>
      </c>
      <c r="AX35" s="84">
        <v>44042</v>
      </c>
      <c r="AY35" s="64">
        <f>IF(ISBLANK(Table_SiteMilestoneTracking[[#This Row],[SiteReadyForInstallation_AC]])=FALSE,Table_SiteMilestoneTracking[[#This Row],[SiteReadyForInstallation_AC]]-Table_SiteMilestoneTracking[[#This Row],[SiteReadyForInstallation_BL]],"-")</f>
        <v>4</v>
      </c>
      <c r="AZ35" s="64">
        <f>IF(ISBLANK(Table_SiteMilestoneTracking[[#This Row],[SiteReadyForInstallation_AC]])=FALSE,Table_SiteMilestoneTracking[[#This Row],[SiteReadyForInstallation_AC]]-Table_SiteMilestoneTracking[[#This Row],[TXReady_AC]],"-")</f>
        <v>8</v>
      </c>
      <c r="BA35" s="64">
        <f>$BA$2</f>
        <v>2500</v>
      </c>
      <c r="BB35" s="82">
        <v>2300</v>
      </c>
      <c r="BC35" s="63">
        <f>Table_SiteMilestoneTracking[[#This Row],[SiteReadyForInstallation_BL]]+t6_InstallationBL</f>
        <v>44042</v>
      </c>
      <c r="BD35" s="84">
        <v>44042</v>
      </c>
      <c r="BE35" s="64">
        <f>IF(ISBLANK(Table_SiteMilestoneTracking[[#This Row],[SiteReadyForIntegration_AC]])=FALSE,Table_SiteMilestoneTracking[[#This Row],[SiteReadyForIntegration_AC]]-Table_SiteMilestoneTracking[[#This Row],[SiteReadyForIntegration_BL]],"-")</f>
        <v>0</v>
      </c>
      <c r="BF35" s="64">
        <f>IF(ISBLANK(Table_SiteMilestoneTracking[[#This Row],[SiteReadyForIntegration_AC]])=FALSE,Table_SiteMilestoneTracking[[#This Row],[SiteReadyForIntegration_AC]]-Table_SiteMilestoneTracking[[#This Row],[SiteReadyForInstallation_AC]],"-")</f>
        <v>0</v>
      </c>
      <c r="BG35" s="64">
        <f>$BG$2</f>
        <v>500</v>
      </c>
      <c r="BH35" s="82"/>
      <c r="BI35" s="63">
        <f>Table_SiteMilestoneTracking[[#This Row],[SiteReadyForIntegration_BL]]+t7_IntegrationBL</f>
        <v>44046</v>
      </c>
      <c r="BJ35" s="84"/>
      <c r="BK35" s="64" t="str">
        <f>IF(ISBLANK(Table_SiteMilestoneTracking[[#This Row],[SiteOnAir_AC]])=FALSE,Table_SiteMilestoneTracking[[#This Row],[SiteOnAir_AC]]-Table_SiteMilestoneTracking[[#This Row],[SiteOnAir_BL]],"-")</f>
        <v>-</v>
      </c>
      <c r="BL35" s="64" t="str">
        <f>IF(ISBLANK(Table_SiteMilestoneTracking[[#This Row],[SiteOnAir_AC]])=FALSE,Table_SiteMilestoneTracking[[#This Row],[SiteOnAir_AC]]-Table_SiteMilestoneTracking[[#This Row],[SiteReadyForIntegration_AC]],"-")</f>
        <v>-</v>
      </c>
      <c r="BM35" s="64">
        <f>$BM$2</f>
        <v>250</v>
      </c>
      <c r="BN35" s="82"/>
      <c r="BO35" s="63">
        <f>Table_SiteMilestoneTracking[[#This Row],[SiteOnAir_BL]]+t8_AcceptanceBL</f>
        <v>44050</v>
      </c>
      <c r="BP35" s="84"/>
      <c r="BQ35" s="64" t="str">
        <f>IF(ISBLANK(Table_SiteMilestoneTracking[[#This Row],[SiteAccepted_AC]])=FALSE,Table_SiteMilestoneTracking[[#This Row],[SiteAccepted_AC]]-Table_SiteMilestoneTracking[[#This Row],[SiteAccepted_BL]],"-")</f>
        <v>-</v>
      </c>
      <c r="BR35" s="64" t="str">
        <f>IF(ISBLANK(Table_SiteMilestoneTracking[[#This Row],[SiteAccepted_AC]])=FALSE,Table_SiteMilestoneTracking[[#This Row],[SiteAccepted_AC]]-Table_SiteMilestoneTracking[[#This Row],[SiteOnAir_AC]],"-")</f>
        <v>-</v>
      </c>
      <c r="BS35" s="64">
        <f>$BS$2</f>
        <v>200</v>
      </c>
      <c r="BT35" s="82"/>
      <c r="BU35" s="63">
        <f>Table_SiteMilestoneTracking[[#This Row],[SiteAccepted_BL]]+t9_HandoverBL</f>
        <v>44058</v>
      </c>
      <c r="BV35" s="84"/>
      <c r="BW35" s="64" t="str">
        <f>IF(ISBLANK(Table_SiteMilestoneTracking[[#This Row],[SiteInOperations_AC]])=FALSE,Table_SiteMilestoneTracking[[#This Row],[SiteInOperations_AC]]-Table_SiteMilestoneTracking[[#This Row],[SiteInOperations_BL]],"-")</f>
        <v>-</v>
      </c>
      <c r="BX35" s="66">
        <f>Table_SiteMilestoneTracking[[#This Row],[SiteInOperations_BL]]-Table_SiteMilestoneTracking[[#This Row],[SiteDesignReady_BL]]</f>
        <v>55</v>
      </c>
      <c r="BY35" s="66" t="str">
        <f>IF(Table_SiteMilestoneTracking[[#This Row],[CurrentSiteMilestone]]="SiteInOperations",Table_SiteMilestoneTracking[[#This Row],[SiteInOperations_AC]]-Table_SiteMilestoneTracking[[#This Row],[SiteDesignReady_AC]],"")</f>
        <v/>
      </c>
      <c r="BZ35" s="66" t="str">
        <f>IFERROR(Table_SiteMilestoneTracking[[#This Row],[E2E_Site_AC]]-Table_SiteMilestoneTracking[[#This Row],[E2E_Site_BL]],"")</f>
        <v/>
      </c>
      <c r="CA35" s="66" t="str">
        <f>IF(Table_SiteMilestoneTracking[[#This Row],[CurrentSiteMilestone]]="SiteInOperations",Table_SiteMilestoneTracking[[#This Row],[SiteInOperations_AC]]-Table_SiteMilestoneTracking[[#This Row],[SiteAccepted_AC]],"")</f>
        <v/>
      </c>
      <c r="CB35" s="79"/>
      <c r="CC35" s="89"/>
      <c r="CD35" s="89"/>
      <c r="CE35" s="70"/>
      <c r="CF35" s="70"/>
      <c r="CG35" s="70"/>
      <c r="CH35" s="70"/>
      <c r="CI35" s="70"/>
      <c r="CJ35" s="70"/>
      <c r="CK35" s="70"/>
      <c r="CL35" s="70"/>
      <c r="CM35" s="70"/>
      <c r="CN35" s="70"/>
      <c r="CO35" s="70"/>
      <c r="CP35" s="70"/>
      <c r="CQ35" s="70"/>
      <c r="CR35" s="70"/>
      <c r="CS35" s="70"/>
      <c r="CT35" s="70"/>
      <c r="CU35" s="70"/>
      <c r="CV35" s="70"/>
      <c r="CW35" s="70"/>
      <c r="CX35" s="70"/>
      <c r="CY35" s="70"/>
      <c r="CZ35" s="70"/>
      <c r="DA35" s="70"/>
      <c r="DB35" s="70"/>
      <c r="DC35" s="70"/>
      <c r="DD35" s="70"/>
      <c r="DE35" s="70"/>
      <c r="DF35" s="70"/>
      <c r="DG35" s="70"/>
      <c r="DH35" s="70"/>
      <c r="DI35" s="70"/>
      <c r="DJ35" s="70"/>
      <c r="DK35" s="70"/>
      <c r="DL35" s="70"/>
      <c r="DM35" s="70"/>
      <c r="DN35" s="70"/>
      <c r="DO35" s="70"/>
      <c r="DP35" s="70"/>
      <c r="DQ35" s="70"/>
      <c r="DR35" s="70"/>
      <c r="DS35" s="70"/>
      <c r="DT35" s="70"/>
      <c r="DU35" s="70"/>
      <c r="DV35" s="70"/>
    </row>
    <row r="36" spans="1:126" x14ac:dyDescent="0.3">
      <c r="A36" s="79" t="str">
        <f>'4. Design Tracking Summary'!A37</f>
        <v>AM00067</v>
      </c>
      <c r="B36" s="79" t="str">
        <f>'4. Design Tracking Summary'!B37</f>
        <v>Center</v>
      </c>
      <c r="C36" s="79" t="str">
        <f>'4. Design Tracking Summary'!C37</f>
        <v>GTO</v>
      </c>
      <c r="D36" s="79" t="str">
        <f>'4. Design Tracking Summary'!D37</f>
        <v>MACRO</v>
      </c>
      <c r="E36" s="79" t="s">
        <v>58</v>
      </c>
      <c r="F36" s="79"/>
      <c r="G36" s="60" t="str">
        <f>IFERROR(INDEX(Table_SiteMilestonesNames[SiteMilestoneName],COUNTA(Table_SiteMilestoneTracking[[#This Row],[SiteDesignStarted_AC]],Table_SiteMilestoneTracking[[#This Row],[SiteDesignReady_AC]],Table_SiteMilestoneTracking[[#This Row],[SiteSurveyCompleted_AC]],Table_SiteMilestoneTracking[[#This Row],[SiteAcquired_AC]],Table_SiteMilestoneTracking[[#This Row],[SiteReadyForCW_AC]],Table_SiteMilestoneTracking[[#This Row],[SiteReadyForPower_AC]],Table_SiteMilestoneTracking[[#This Row],[TXReady_AC]],Table_SiteMilestoneTracking[[#This Row],[SiteReadyForInstallation_AC]],Table_SiteMilestoneTracking[[#This Row],[SiteReadyForIntegration_AC]],Table_SiteMilestoneTracking[[#This Row],[SiteOnAir_AC]],Table_SiteMilestoneTracking[[#This Row],[SiteAccepted_AC]],Table_SiteMilestoneTracking[[#This Row],[SiteInOperations_AC]])+1),"Invalid Milestone")</f>
        <v>SiteReadyForIntegration</v>
      </c>
      <c r="H36" s="61">
        <f>Table_SiteMilestoneTracking[[#This Row],[c0_SiteDesignCostBL]]+Table_SiteMilestoneTracking[[#This Row],[c1_SiteSurveyCostBL]]+Table_SiteMilestoneTracking[[#This Row],[c2_SiteAcquisitionCostBL]]+Table_SiteMilestoneTracking[[#This Row],[c3_CivilWorksCostBL]]+Table_SiteMilestoneTracking[[#This Row],[c4_PowerInstallCostBL]]+Table_SiteMilestoneTracking[[#This Row],[c5_TxintegrationCostBL]]+Table_SiteMilestoneTracking[[#This Row],[c6_InstallationCostBL]]+Table_SiteMilestoneTracking[[#This Row],[c7_IntegrationCostBL]]+Table_SiteMilestoneTracking[[#This Row],[c8_AcceptanceCostBL]]+Table_SiteMilestoneTracking[[#This Row],[c9_HandoverCostBL]]</f>
        <v>7550</v>
      </c>
      <c r="I36" s="62">
        <f>Table_SiteMilestoneTracking[[#This Row],[c0_SiteDesignCostAC]]+Table_SiteMilestoneTracking[[#This Row],[c1_SiteSurveyCostAC]]+Table_SiteMilestoneTracking[[#This Row],[c2_SiteAcquisitionCostAC]]+Table_SiteMilestoneTracking[[#This Row],[c3_CivilWorksCostAC]]+Table_SiteMilestoneTracking[[#This Row],[c4_PowerInstallCostAC]]+Table_SiteMilestoneTracking[[#This Row],[c5_TxintegrationCostAC]]+Table_SiteMilestoneTracking[[#This Row],[c6_InstallationCostAC]]+Table_SiteMilestoneTracking[[#This Row],[c7_IntegrationCostAC]]+Table_SiteMilestoneTracking[[#This Row],[c8_AcceptanceCostAC]]+Table_SiteMilestoneTracking[[#This Row],[c9_HandoverCostAC]]</f>
        <v>6465</v>
      </c>
      <c r="J36" s="84">
        <v>44001</v>
      </c>
      <c r="K36" s="84">
        <v>44002</v>
      </c>
      <c r="L36" s="64">
        <f>IF(ISBLANK(Table_SiteMilestoneTracking[[#This Row],[SiteDesignStarted_AC]])=FALSE,Table_SiteMilestoneTracking[[#This Row],[SiteDesignStarted_AC]]-Table_SiteMilestoneTracking[[#This Row],[SiteDesignStarted_BL]],"")</f>
        <v>1</v>
      </c>
      <c r="M36" s="64">
        <f t="shared" ref="M36:M67" si="6">$M$2</f>
        <v>500</v>
      </c>
      <c r="N36" s="87">
        <v>440</v>
      </c>
      <c r="O36" s="63">
        <f>Table_SiteMilestoneTracking[[#This Row],[SiteDesignStarted_BL]]+t0_SiteDesignDelayBL</f>
        <v>44003</v>
      </c>
      <c r="P36" s="84">
        <v>44006</v>
      </c>
      <c r="Q36" s="64">
        <f>IF(ISBLANK(Table_SiteMilestoneTracking[[#This Row],[SiteDesignReady_AC]])=FALSE,Table_SiteMilestoneTracking[[#This Row],[SiteDesignReady_AC]]-Table_SiteMilestoneTracking[[#This Row],[SiteDesignReady_BL]],"-")</f>
        <v>3</v>
      </c>
      <c r="R36" s="64">
        <f t="shared" si="5"/>
        <v>500</v>
      </c>
      <c r="S36" s="82">
        <v>525</v>
      </c>
      <c r="T36" s="63">
        <f>Table_SiteMilestoneTracking[[#This Row],[SiteDesignReady_BL]]+t1_SiteSurveyBL</f>
        <v>44005</v>
      </c>
      <c r="U36" s="84">
        <v>44009</v>
      </c>
      <c r="V36" s="64">
        <f>IF(ISBLANK(Table_SiteMilestoneTracking[[#This Row],[SiteSurveyCompleted_AC]])=FALSE,Table_SiteMilestoneTracking[[#This Row],[SiteSurveyCompleted_AC]]-Table_SiteMilestoneTracking[[#This Row],[SiteDesignReady_AC]],"-")</f>
        <v>3</v>
      </c>
      <c r="W36" s="64">
        <f t="shared" ref="W36:W67" si="7">$W$2</f>
        <v>600</v>
      </c>
      <c r="X36" s="82">
        <v>900</v>
      </c>
      <c r="Y36" s="63">
        <f>Table_SiteMilestoneTracking[[#This Row],[SiteSurveyCompleted_BL]]+t2_SiteAcquisitionBL</f>
        <v>44016</v>
      </c>
      <c r="Z36" s="84">
        <v>44020</v>
      </c>
      <c r="AA36" s="65">
        <f>IF(ISBLANK(Table_SiteMilestoneTracking[[#This Row],[SiteAcquired_AC]])=FALSE,Table_SiteMilestoneTracking[[#This Row],[SiteAcquired_AC]]-Table_SiteMilestoneTracking[[#This Row],[SiteAcquired_BL]],"-")</f>
        <v>4</v>
      </c>
      <c r="AB36" s="65">
        <f>IF(ISBLANK(Table_SiteMilestoneTracking[[#This Row],[SiteAcquired_AC]])=FALSE,Table_SiteMilestoneTracking[[#This Row],[SiteAcquired_AC]]-Table_SiteMilestoneTracking[[#This Row],[SiteSurveyCompleted_AC]],"-")</f>
        <v>11</v>
      </c>
      <c r="AC36" s="64">
        <f t="shared" ref="AC36:AC67" si="8">$AC$2</f>
        <v>150</v>
      </c>
      <c r="AD36" s="82">
        <v>135</v>
      </c>
      <c r="AE36" s="63">
        <f>Table_SiteMilestoneTracking[[#This Row],[SiteAcquired_BL]]+t2a_SiteCWReadinessBL</f>
        <v>44018</v>
      </c>
      <c r="AF36" s="85">
        <v>44022</v>
      </c>
      <c r="AG36" s="66">
        <f>IF(ISBLANK(Table_SiteMilestoneTracking[[#This Row],[SiteReadyForCW_AC]])=FALSE,Table_SiteMilestoneTracking[[#This Row],[SiteReadyForCW_AC]]-Table_SiteMilestoneTracking[[#This Row],[SiteReadyForCW_BL]],"-")</f>
        <v>4</v>
      </c>
      <c r="AH36" s="66">
        <f>IF(ISBLANK(Table_SiteMilestoneTracking[[#This Row],[SiteReadyForCW_AC]])=FALSE,Table_SiteMilestoneTracking[[#This Row],[SiteReadyForCW_AC]]-Table_SiteMilestoneTracking[[#This Row],[SiteDesignReady_AC]],"-")</f>
        <v>16</v>
      </c>
      <c r="AI36" s="64">
        <f t="shared" ref="AI36:AI67" si="9">$AI$2</f>
        <v>1500</v>
      </c>
      <c r="AJ36" s="82">
        <v>1650</v>
      </c>
      <c r="AK36" s="63">
        <f>Table_SiteMilestoneTracking[[#This Row],[SiteReadyForCW_BL]]+t3_CivilWorksBL</f>
        <v>44026</v>
      </c>
      <c r="AL36" s="84">
        <v>44031</v>
      </c>
      <c r="AM36" s="64">
        <f>IF(ISBLANK(Table_SiteMilestoneTracking[[#This Row],[SiteReadyForPower_AC]])=FALSE,Table_SiteMilestoneTracking[[#This Row],[SiteReadyForPower_AC]]-Table_SiteMilestoneTracking[[#This Row],[SiteReadyForPower_BL]],"-")</f>
        <v>5</v>
      </c>
      <c r="AN36" s="64">
        <f>IF(ISBLANK(Table_SiteMilestoneTracking[[#This Row],[SiteReadyForPower_AC]])=FALSE,Table_SiteMilestoneTracking[[#This Row],[SiteReadyForPower_AC]]-Table_SiteMilestoneTracking[[#This Row],[SiteReadyForCW_AC]],"-")</f>
        <v>9</v>
      </c>
      <c r="AO36" s="64">
        <f t="shared" ref="AO36:AO67" si="10">$AO$2</f>
        <v>500</v>
      </c>
      <c r="AP36" s="82">
        <v>250</v>
      </c>
      <c r="AQ36" s="63">
        <f>Table_SiteMilestoneTracking[[#This Row],[SiteReadyForPower_BL]]+t4_PowerInstallBL</f>
        <v>44031</v>
      </c>
      <c r="AR36" s="84">
        <v>44037</v>
      </c>
      <c r="AS36" s="64">
        <f>IF(ISBLANK(Table_SiteMilestoneTracking[[#This Row],[TXReady_AC]])=FALSE,Table_SiteMilestoneTracking[[#This Row],[TXReady_AC]]-Table_SiteMilestoneTracking[[#This Row],[TXReady_BL]],"-")</f>
        <v>6</v>
      </c>
      <c r="AT36" s="64">
        <f>IF(ISBLANK(Table_SiteMilestoneTracking[[#This Row],[TXReady_AC]])=FALSE,Table_SiteMilestoneTracking[[#This Row],[TXReady_AC]]-Table_SiteMilestoneTracking[[#This Row],[SiteReadyForPower_AC]],"-")</f>
        <v>6</v>
      </c>
      <c r="AU36" s="64">
        <f>$AU$2</f>
        <v>500</v>
      </c>
      <c r="AV36" s="82">
        <v>550</v>
      </c>
      <c r="AW36" s="63">
        <f>Table_SiteMilestoneTracking[[#This Row],[TXReady_BL]]+t5_TxintegrationBL</f>
        <v>44038</v>
      </c>
      <c r="AX36" s="84">
        <v>44044</v>
      </c>
      <c r="AY36" s="64">
        <f>IF(ISBLANK(Table_SiteMilestoneTracking[[#This Row],[SiteReadyForInstallation_AC]])=FALSE,Table_SiteMilestoneTracking[[#This Row],[SiteReadyForInstallation_AC]]-Table_SiteMilestoneTracking[[#This Row],[SiteReadyForInstallation_BL]],"-")</f>
        <v>6</v>
      </c>
      <c r="AZ36" s="64">
        <f>IF(ISBLANK(Table_SiteMilestoneTracking[[#This Row],[SiteReadyForInstallation_AC]])=FALSE,Table_SiteMilestoneTracking[[#This Row],[SiteReadyForInstallation_AC]]-Table_SiteMilestoneTracking[[#This Row],[TXReady_AC]],"-")</f>
        <v>7</v>
      </c>
      <c r="BA36" s="64">
        <f>$BA$2</f>
        <v>2500</v>
      </c>
      <c r="BB36" s="82">
        <v>2150.0000000000005</v>
      </c>
      <c r="BC36" s="63">
        <f>Table_SiteMilestoneTracking[[#This Row],[SiteReadyForInstallation_BL]]+t6_InstallationBL</f>
        <v>44042</v>
      </c>
      <c r="BD36" s="84">
        <v>44048</v>
      </c>
      <c r="BE36" s="64">
        <f>IF(ISBLANK(Table_SiteMilestoneTracking[[#This Row],[SiteReadyForIntegration_AC]])=FALSE,Table_SiteMilestoneTracking[[#This Row],[SiteReadyForIntegration_AC]]-Table_SiteMilestoneTracking[[#This Row],[SiteReadyForIntegration_BL]],"-")</f>
        <v>6</v>
      </c>
      <c r="BF36" s="64">
        <f>IF(ISBLANK(Table_SiteMilestoneTracking[[#This Row],[SiteReadyForIntegration_AC]])=FALSE,Table_SiteMilestoneTracking[[#This Row],[SiteReadyForIntegration_AC]]-Table_SiteMilestoneTracking[[#This Row],[SiteReadyForInstallation_AC]],"-")</f>
        <v>4</v>
      </c>
      <c r="BG36" s="64">
        <f>$BG$2</f>
        <v>500</v>
      </c>
      <c r="BH36" s="82"/>
      <c r="BI36" s="63">
        <f>Table_SiteMilestoneTracking[[#This Row],[SiteReadyForIntegration_BL]]+t7_IntegrationBL</f>
        <v>44046</v>
      </c>
      <c r="BJ36" s="84"/>
      <c r="BK36" s="64" t="str">
        <f>IF(ISBLANK(Table_SiteMilestoneTracking[[#This Row],[SiteOnAir_AC]])=FALSE,Table_SiteMilestoneTracking[[#This Row],[SiteOnAir_AC]]-Table_SiteMilestoneTracking[[#This Row],[SiteOnAir_BL]],"-")</f>
        <v>-</v>
      </c>
      <c r="BL36" s="64" t="str">
        <f>IF(ISBLANK(Table_SiteMilestoneTracking[[#This Row],[SiteOnAir_AC]])=FALSE,Table_SiteMilestoneTracking[[#This Row],[SiteOnAir_AC]]-Table_SiteMilestoneTracking[[#This Row],[SiteReadyForIntegration_AC]],"-")</f>
        <v>-</v>
      </c>
      <c r="BM36" s="64">
        <f>$BM$2</f>
        <v>250</v>
      </c>
      <c r="BN36" s="82"/>
      <c r="BO36" s="63">
        <f>Table_SiteMilestoneTracking[[#This Row],[SiteOnAir_BL]]+t8_AcceptanceBL</f>
        <v>44050</v>
      </c>
      <c r="BP36" s="84"/>
      <c r="BQ36" s="64" t="str">
        <f>IF(ISBLANK(Table_SiteMilestoneTracking[[#This Row],[SiteAccepted_AC]])=FALSE,Table_SiteMilestoneTracking[[#This Row],[SiteAccepted_AC]]-Table_SiteMilestoneTracking[[#This Row],[SiteAccepted_BL]],"-")</f>
        <v>-</v>
      </c>
      <c r="BR36" s="64" t="str">
        <f>IF(ISBLANK(Table_SiteMilestoneTracking[[#This Row],[SiteAccepted_AC]])=FALSE,Table_SiteMilestoneTracking[[#This Row],[SiteAccepted_AC]]-Table_SiteMilestoneTracking[[#This Row],[SiteOnAir_AC]],"-")</f>
        <v>-</v>
      </c>
      <c r="BS36" s="64">
        <f>$BS$2</f>
        <v>200</v>
      </c>
      <c r="BT36" s="82"/>
      <c r="BU36" s="63">
        <f>Table_SiteMilestoneTracking[[#This Row],[SiteAccepted_BL]]+t9_HandoverBL</f>
        <v>44058</v>
      </c>
      <c r="BV36" s="84"/>
      <c r="BW36" s="64" t="str">
        <f>IF(ISBLANK(Table_SiteMilestoneTracking[[#This Row],[SiteInOperations_AC]])=FALSE,Table_SiteMilestoneTracking[[#This Row],[SiteInOperations_AC]]-Table_SiteMilestoneTracking[[#This Row],[SiteInOperations_BL]],"-")</f>
        <v>-</v>
      </c>
      <c r="BX36" s="66">
        <f>Table_SiteMilestoneTracking[[#This Row],[SiteInOperations_BL]]-Table_SiteMilestoneTracking[[#This Row],[SiteDesignReady_BL]]</f>
        <v>55</v>
      </c>
      <c r="BY36" s="66" t="str">
        <f>IF(Table_SiteMilestoneTracking[[#This Row],[CurrentSiteMilestone]]="SiteInOperations",Table_SiteMilestoneTracking[[#This Row],[SiteInOperations_AC]]-Table_SiteMilestoneTracking[[#This Row],[SiteDesignReady_AC]],"")</f>
        <v/>
      </c>
      <c r="BZ36" s="66" t="str">
        <f>IFERROR(Table_SiteMilestoneTracking[[#This Row],[E2E_Site_AC]]-Table_SiteMilestoneTracking[[#This Row],[E2E_Site_BL]],"")</f>
        <v/>
      </c>
      <c r="CA36" s="66" t="str">
        <f>IF(Table_SiteMilestoneTracking[[#This Row],[CurrentSiteMilestone]]="SiteInOperations",Table_SiteMilestoneTracking[[#This Row],[SiteInOperations_AC]]-Table_SiteMilestoneTracking[[#This Row],[SiteAccepted_AC]],"")</f>
        <v/>
      </c>
      <c r="CB36" s="79"/>
      <c r="CC36" s="89"/>
      <c r="CD36" s="89"/>
      <c r="CE36" s="70"/>
      <c r="CF36" s="70"/>
      <c r="CG36" s="70"/>
      <c r="CH36" s="70"/>
      <c r="CI36" s="70"/>
      <c r="CJ36" s="70"/>
      <c r="CK36" s="70"/>
      <c r="CL36" s="70"/>
      <c r="CM36" s="70"/>
      <c r="CN36" s="70"/>
      <c r="CO36" s="70"/>
      <c r="CP36" s="70"/>
      <c r="CQ36" s="70"/>
      <c r="CR36" s="70"/>
      <c r="CS36" s="70"/>
      <c r="CT36" s="70"/>
      <c r="CU36" s="70"/>
      <c r="CV36" s="70"/>
      <c r="CW36" s="70"/>
      <c r="CX36" s="70"/>
      <c r="CY36" s="70"/>
      <c r="CZ36" s="70"/>
      <c r="DA36" s="70"/>
      <c r="DB36" s="70"/>
      <c r="DC36" s="70"/>
      <c r="DD36" s="70"/>
      <c r="DE36" s="70"/>
      <c r="DF36" s="70"/>
      <c r="DG36" s="70"/>
      <c r="DH36" s="70"/>
      <c r="DI36" s="70"/>
      <c r="DJ36" s="70"/>
      <c r="DK36" s="70"/>
      <c r="DL36" s="70"/>
      <c r="DM36" s="70"/>
      <c r="DN36" s="70"/>
      <c r="DO36" s="70"/>
      <c r="DP36" s="70"/>
      <c r="DQ36" s="70"/>
      <c r="DR36" s="70"/>
      <c r="DS36" s="70"/>
      <c r="DT36" s="70"/>
      <c r="DU36" s="70"/>
      <c r="DV36" s="70"/>
    </row>
    <row r="37" spans="1:126" x14ac:dyDescent="0.3">
      <c r="A37" s="79" t="str">
        <f>'4. Design Tracking Summary'!A38</f>
        <v>AM00100</v>
      </c>
      <c r="B37" s="79" t="str">
        <f>'4. Design Tracking Summary'!B38</f>
        <v>Center</v>
      </c>
      <c r="C37" s="79" t="str">
        <f>'4. Design Tracking Summary'!C38</f>
        <v>QRO</v>
      </c>
      <c r="D37" s="79" t="str">
        <f>'4. Design Tracking Summary'!D38</f>
        <v>MINI</v>
      </c>
      <c r="E37" s="79" t="s">
        <v>59</v>
      </c>
      <c r="F37" s="79"/>
      <c r="G37" s="60" t="str">
        <f>IFERROR(INDEX(Table_SiteMilestonesNames[SiteMilestoneName],COUNTA(Table_SiteMilestoneTracking[[#This Row],[SiteDesignStarted_AC]],Table_SiteMilestoneTracking[[#This Row],[SiteDesignReady_AC]],Table_SiteMilestoneTracking[[#This Row],[SiteSurveyCompleted_AC]],Table_SiteMilestoneTracking[[#This Row],[SiteAcquired_AC]],Table_SiteMilestoneTracking[[#This Row],[SiteReadyForCW_AC]],Table_SiteMilestoneTracking[[#This Row],[SiteReadyForPower_AC]],Table_SiteMilestoneTracking[[#This Row],[TXReady_AC]],Table_SiteMilestoneTracking[[#This Row],[SiteReadyForInstallation_AC]],Table_SiteMilestoneTracking[[#This Row],[SiteReadyForIntegration_AC]],Table_SiteMilestoneTracking[[#This Row],[SiteOnAir_AC]],Table_SiteMilestoneTracking[[#This Row],[SiteAccepted_AC]],Table_SiteMilestoneTracking[[#This Row],[SiteInOperations_AC]])+1),"Invalid Milestone")</f>
        <v>SiteReadyForIntegration</v>
      </c>
      <c r="H37" s="61">
        <f>Table_SiteMilestoneTracking[[#This Row],[c0_SiteDesignCostBL]]+Table_SiteMilestoneTracking[[#This Row],[c1_SiteSurveyCostBL]]+Table_SiteMilestoneTracking[[#This Row],[c2_SiteAcquisitionCostBL]]+Table_SiteMilestoneTracking[[#This Row],[c3_CivilWorksCostBL]]+Table_SiteMilestoneTracking[[#This Row],[c4_PowerInstallCostBL]]+Table_SiteMilestoneTracking[[#This Row],[c5_TxintegrationCostBL]]+Table_SiteMilestoneTracking[[#This Row],[c6_InstallationCostBL]]+Table_SiteMilestoneTracking[[#This Row],[c7_IntegrationCostBL]]+Table_SiteMilestoneTracking[[#This Row],[c8_AcceptanceCostBL]]+Table_SiteMilestoneTracking[[#This Row],[c9_HandoverCostBL]]</f>
        <v>7550</v>
      </c>
      <c r="I37" s="62">
        <f>Table_SiteMilestoneTracking[[#This Row],[c0_SiteDesignCostAC]]+Table_SiteMilestoneTracking[[#This Row],[c1_SiteSurveyCostAC]]+Table_SiteMilestoneTracking[[#This Row],[c2_SiteAcquisitionCostAC]]+Table_SiteMilestoneTracking[[#This Row],[c3_CivilWorksCostAC]]+Table_SiteMilestoneTracking[[#This Row],[c4_PowerInstallCostAC]]+Table_SiteMilestoneTracking[[#This Row],[c5_TxintegrationCostAC]]+Table_SiteMilestoneTracking[[#This Row],[c6_InstallationCostAC]]+Table_SiteMilestoneTracking[[#This Row],[c7_IntegrationCostAC]]+Table_SiteMilestoneTracking[[#This Row],[c8_AcceptanceCostAC]]+Table_SiteMilestoneTracking[[#This Row],[c9_HandoverCostAC]]</f>
        <v>5995</v>
      </c>
      <c r="J37" s="84">
        <v>44001</v>
      </c>
      <c r="K37" s="84">
        <v>44003</v>
      </c>
      <c r="L37" s="64">
        <f>IF(ISBLANK(Table_SiteMilestoneTracking[[#This Row],[SiteDesignStarted_AC]])=FALSE,Table_SiteMilestoneTracking[[#This Row],[SiteDesignStarted_AC]]-Table_SiteMilestoneTracking[[#This Row],[SiteDesignStarted_BL]],"")</f>
        <v>2</v>
      </c>
      <c r="M37" s="64">
        <f t="shared" si="6"/>
        <v>500</v>
      </c>
      <c r="N37" s="87">
        <v>460</v>
      </c>
      <c r="O37" s="63">
        <f>Table_SiteMilestoneTracking[[#This Row],[SiteDesignStarted_BL]]+t0_SiteDesignDelayBL</f>
        <v>44003</v>
      </c>
      <c r="P37" s="84">
        <v>44006</v>
      </c>
      <c r="Q37" s="64">
        <f>IF(ISBLANK(Table_SiteMilestoneTracking[[#This Row],[SiteDesignReady_AC]])=FALSE,Table_SiteMilestoneTracking[[#This Row],[SiteDesignReady_AC]]-Table_SiteMilestoneTracking[[#This Row],[SiteDesignReady_BL]],"-")</f>
        <v>3</v>
      </c>
      <c r="R37" s="64">
        <f t="shared" si="5"/>
        <v>500</v>
      </c>
      <c r="S37" s="82">
        <v>425</v>
      </c>
      <c r="T37" s="63">
        <f>Table_SiteMilestoneTracking[[#This Row],[SiteDesignReady_BL]]+t1_SiteSurveyBL</f>
        <v>44005</v>
      </c>
      <c r="U37" s="84">
        <v>44008</v>
      </c>
      <c r="V37" s="64">
        <f>IF(ISBLANK(Table_SiteMilestoneTracking[[#This Row],[SiteSurveyCompleted_AC]])=FALSE,Table_SiteMilestoneTracking[[#This Row],[SiteSurveyCompleted_AC]]-Table_SiteMilestoneTracking[[#This Row],[SiteDesignReady_AC]],"-")</f>
        <v>2</v>
      </c>
      <c r="W37" s="64">
        <f t="shared" si="7"/>
        <v>600</v>
      </c>
      <c r="X37" s="82">
        <v>360</v>
      </c>
      <c r="Y37" s="63">
        <f>Table_SiteMilestoneTracking[[#This Row],[SiteSurveyCompleted_BL]]+t2_SiteAcquisitionBL</f>
        <v>44016</v>
      </c>
      <c r="Z37" s="84">
        <v>44019</v>
      </c>
      <c r="AA37" s="65">
        <f>IF(ISBLANK(Table_SiteMilestoneTracking[[#This Row],[SiteAcquired_AC]])=FALSE,Table_SiteMilestoneTracking[[#This Row],[SiteAcquired_AC]]-Table_SiteMilestoneTracking[[#This Row],[SiteAcquired_BL]],"-")</f>
        <v>3</v>
      </c>
      <c r="AB37" s="65">
        <f>IF(ISBLANK(Table_SiteMilestoneTracking[[#This Row],[SiteAcquired_AC]])=FALSE,Table_SiteMilestoneTracking[[#This Row],[SiteAcquired_AC]]-Table_SiteMilestoneTracking[[#This Row],[SiteSurveyCompleted_AC]],"-")</f>
        <v>11</v>
      </c>
      <c r="AC37" s="64">
        <f t="shared" si="8"/>
        <v>150</v>
      </c>
      <c r="AD37" s="82">
        <v>150</v>
      </c>
      <c r="AE37" s="63">
        <f>Table_SiteMilestoneTracking[[#This Row],[SiteAcquired_BL]]+t2a_SiteCWReadinessBL</f>
        <v>44018</v>
      </c>
      <c r="AF37" s="85">
        <v>44022</v>
      </c>
      <c r="AG37" s="66">
        <f>IF(ISBLANK(Table_SiteMilestoneTracking[[#This Row],[SiteReadyForCW_AC]])=FALSE,Table_SiteMilestoneTracking[[#This Row],[SiteReadyForCW_AC]]-Table_SiteMilestoneTracking[[#This Row],[SiteReadyForCW_BL]],"-")</f>
        <v>4</v>
      </c>
      <c r="AH37" s="66">
        <f>IF(ISBLANK(Table_SiteMilestoneTracking[[#This Row],[SiteReadyForCW_AC]])=FALSE,Table_SiteMilestoneTracking[[#This Row],[SiteReadyForCW_AC]]-Table_SiteMilestoneTracking[[#This Row],[SiteDesignReady_AC]],"-")</f>
        <v>16</v>
      </c>
      <c r="AI37" s="64">
        <f t="shared" si="9"/>
        <v>1500</v>
      </c>
      <c r="AJ37" s="82">
        <v>1650</v>
      </c>
      <c r="AK37" s="63">
        <f>Table_SiteMilestoneTracking[[#This Row],[SiteReadyForCW_BL]]+t3_CivilWorksBL</f>
        <v>44026</v>
      </c>
      <c r="AL37" s="84">
        <v>44031</v>
      </c>
      <c r="AM37" s="64">
        <f>IF(ISBLANK(Table_SiteMilestoneTracking[[#This Row],[SiteReadyForPower_AC]])=FALSE,Table_SiteMilestoneTracking[[#This Row],[SiteReadyForPower_AC]]-Table_SiteMilestoneTracking[[#This Row],[SiteReadyForPower_BL]],"-")</f>
        <v>5</v>
      </c>
      <c r="AN37" s="64">
        <f>IF(ISBLANK(Table_SiteMilestoneTracking[[#This Row],[SiteReadyForPower_AC]])=FALSE,Table_SiteMilestoneTracking[[#This Row],[SiteReadyForPower_AC]]-Table_SiteMilestoneTracking[[#This Row],[SiteReadyForCW_AC]],"-")</f>
        <v>9</v>
      </c>
      <c r="AO37" s="64">
        <f t="shared" si="10"/>
        <v>500</v>
      </c>
      <c r="AP37" s="82">
        <v>550</v>
      </c>
      <c r="AQ37" s="63">
        <f>Table_SiteMilestoneTracking[[#This Row],[SiteReadyForPower_BL]]+t4_PowerInstallBL</f>
        <v>44031</v>
      </c>
      <c r="AR37" s="84">
        <v>44036</v>
      </c>
      <c r="AS37" s="64">
        <f>IF(ISBLANK(Table_SiteMilestoneTracking[[#This Row],[TXReady_AC]])=FALSE,Table_SiteMilestoneTracking[[#This Row],[TXReady_AC]]-Table_SiteMilestoneTracking[[#This Row],[TXReady_BL]],"-")</f>
        <v>5</v>
      </c>
      <c r="AT37" s="64">
        <f>IF(ISBLANK(Table_SiteMilestoneTracking[[#This Row],[TXReady_AC]])=FALSE,Table_SiteMilestoneTracking[[#This Row],[TXReady_AC]]-Table_SiteMilestoneTracking[[#This Row],[SiteReadyForPower_AC]],"-")</f>
        <v>5</v>
      </c>
      <c r="AU37" s="64">
        <f>$AU$2</f>
        <v>500</v>
      </c>
      <c r="AV37" s="82">
        <v>450</v>
      </c>
      <c r="AW37" s="63">
        <f>Table_SiteMilestoneTracking[[#This Row],[TXReady_BL]]+t5_TxintegrationBL</f>
        <v>44038</v>
      </c>
      <c r="AX37" s="84">
        <v>44043</v>
      </c>
      <c r="AY37" s="64">
        <f>IF(ISBLANK(Table_SiteMilestoneTracking[[#This Row],[SiteReadyForInstallation_AC]])=FALSE,Table_SiteMilestoneTracking[[#This Row],[SiteReadyForInstallation_AC]]-Table_SiteMilestoneTracking[[#This Row],[SiteReadyForInstallation_BL]],"-")</f>
        <v>5</v>
      </c>
      <c r="AZ37" s="64">
        <f>IF(ISBLANK(Table_SiteMilestoneTracking[[#This Row],[SiteReadyForInstallation_AC]])=FALSE,Table_SiteMilestoneTracking[[#This Row],[SiteReadyForInstallation_AC]]-Table_SiteMilestoneTracking[[#This Row],[TXReady_AC]],"-")</f>
        <v>7</v>
      </c>
      <c r="BA37" s="64">
        <f>$BA$2</f>
        <v>2500</v>
      </c>
      <c r="BB37" s="82">
        <v>2100</v>
      </c>
      <c r="BC37" s="63">
        <f>Table_SiteMilestoneTracking[[#This Row],[SiteReadyForInstallation_BL]]+t6_InstallationBL</f>
        <v>44042</v>
      </c>
      <c r="BD37" s="84">
        <v>44047</v>
      </c>
      <c r="BE37" s="64">
        <f>IF(ISBLANK(Table_SiteMilestoneTracking[[#This Row],[SiteReadyForIntegration_AC]])=FALSE,Table_SiteMilestoneTracking[[#This Row],[SiteReadyForIntegration_AC]]-Table_SiteMilestoneTracking[[#This Row],[SiteReadyForIntegration_BL]],"-")</f>
        <v>5</v>
      </c>
      <c r="BF37" s="64">
        <f>IF(ISBLANK(Table_SiteMilestoneTracking[[#This Row],[SiteReadyForIntegration_AC]])=FALSE,Table_SiteMilestoneTracking[[#This Row],[SiteReadyForIntegration_AC]]-Table_SiteMilestoneTracking[[#This Row],[SiteReadyForInstallation_AC]],"-")</f>
        <v>4</v>
      </c>
      <c r="BG37" s="64">
        <f>$BG$2</f>
        <v>500</v>
      </c>
      <c r="BH37" s="82"/>
      <c r="BI37" s="63">
        <f>Table_SiteMilestoneTracking[[#This Row],[SiteReadyForIntegration_BL]]+t7_IntegrationBL</f>
        <v>44046</v>
      </c>
      <c r="BJ37" s="84"/>
      <c r="BK37" s="64" t="str">
        <f>IF(ISBLANK(Table_SiteMilestoneTracking[[#This Row],[SiteOnAir_AC]])=FALSE,Table_SiteMilestoneTracking[[#This Row],[SiteOnAir_AC]]-Table_SiteMilestoneTracking[[#This Row],[SiteOnAir_BL]],"-")</f>
        <v>-</v>
      </c>
      <c r="BL37" s="64" t="str">
        <f>IF(ISBLANK(Table_SiteMilestoneTracking[[#This Row],[SiteOnAir_AC]])=FALSE,Table_SiteMilestoneTracking[[#This Row],[SiteOnAir_AC]]-Table_SiteMilestoneTracking[[#This Row],[SiteReadyForIntegration_AC]],"-")</f>
        <v>-</v>
      </c>
      <c r="BM37" s="64">
        <f>$BM$2</f>
        <v>250</v>
      </c>
      <c r="BN37" s="82"/>
      <c r="BO37" s="63">
        <f>Table_SiteMilestoneTracking[[#This Row],[SiteOnAir_BL]]+t8_AcceptanceBL</f>
        <v>44050</v>
      </c>
      <c r="BP37" s="84"/>
      <c r="BQ37" s="64" t="str">
        <f>IF(ISBLANK(Table_SiteMilestoneTracking[[#This Row],[SiteAccepted_AC]])=FALSE,Table_SiteMilestoneTracking[[#This Row],[SiteAccepted_AC]]-Table_SiteMilestoneTracking[[#This Row],[SiteAccepted_BL]],"-")</f>
        <v>-</v>
      </c>
      <c r="BR37" s="64" t="str">
        <f>IF(ISBLANK(Table_SiteMilestoneTracking[[#This Row],[SiteAccepted_AC]])=FALSE,Table_SiteMilestoneTracking[[#This Row],[SiteAccepted_AC]]-Table_SiteMilestoneTracking[[#This Row],[SiteOnAir_AC]],"-")</f>
        <v>-</v>
      </c>
      <c r="BS37" s="64">
        <f>$BS$2</f>
        <v>200</v>
      </c>
      <c r="BT37" s="82"/>
      <c r="BU37" s="63">
        <f>Table_SiteMilestoneTracking[[#This Row],[SiteAccepted_BL]]+t9_HandoverBL</f>
        <v>44058</v>
      </c>
      <c r="BV37" s="84"/>
      <c r="BW37" s="64" t="str">
        <f>IF(ISBLANK(Table_SiteMilestoneTracking[[#This Row],[SiteInOperations_AC]])=FALSE,Table_SiteMilestoneTracking[[#This Row],[SiteInOperations_AC]]-Table_SiteMilestoneTracking[[#This Row],[SiteInOperations_BL]],"-")</f>
        <v>-</v>
      </c>
      <c r="BX37" s="66">
        <f>Table_SiteMilestoneTracking[[#This Row],[SiteInOperations_BL]]-Table_SiteMilestoneTracking[[#This Row],[SiteDesignReady_BL]]</f>
        <v>55</v>
      </c>
      <c r="BY37" s="66" t="str">
        <f>IF(Table_SiteMilestoneTracking[[#This Row],[CurrentSiteMilestone]]="SiteInOperations",Table_SiteMilestoneTracking[[#This Row],[SiteInOperations_AC]]-Table_SiteMilestoneTracking[[#This Row],[SiteDesignReady_AC]],"")</f>
        <v/>
      </c>
      <c r="BZ37" s="66" t="str">
        <f>IFERROR(Table_SiteMilestoneTracking[[#This Row],[E2E_Site_AC]]-Table_SiteMilestoneTracking[[#This Row],[E2E_Site_BL]],"")</f>
        <v/>
      </c>
      <c r="CA37" s="66" t="str">
        <f>IF(Table_SiteMilestoneTracking[[#This Row],[CurrentSiteMilestone]]="SiteInOperations",Table_SiteMilestoneTracking[[#This Row],[SiteInOperations_AC]]-Table_SiteMilestoneTracking[[#This Row],[SiteAccepted_AC]],"")</f>
        <v/>
      </c>
      <c r="CB37" s="79"/>
      <c r="CC37" s="89"/>
      <c r="CD37" s="89"/>
      <c r="CE37" s="70"/>
      <c r="CF37" s="70"/>
      <c r="CG37" s="70"/>
      <c r="CH37" s="70"/>
      <c r="CI37" s="70"/>
      <c r="CJ37" s="70"/>
      <c r="CK37" s="70"/>
      <c r="CL37" s="70"/>
      <c r="CM37" s="70"/>
      <c r="CN37" s="70"/>
      <c r="CO37" s="70"/>
      <c r="CP37" s="70"/>
      <c r="CQ37" s="70"/>
      <c r="CR37" s="70"/>
      <c r="CS37" s="70"/>
      <c r="CT37" s="70"/>
      <c r="CU37" s="70"/>
      <c r="CV37" s="70"/>
      <c r="CW37" s="70"/>
      <c r="CX37" s="70"/>
      <c r="CY37" s="70"/>
      <c r="CZ37" s="70"/>
      <c r="DA37" s="70"/>
      <c r="DB37" s="70"/>
      <c r="DC37" s="70"/>
      <c r="DD37" s="70"/>
      <c r="DE37" s="70"/>
      <c r="DF37" s="70"/>
      <c r="DG37" s="70"/>
      <c r="DH37" s="70"/>
      <c r="DI37" s="70"/>
      <c r="DJ37" s="70"/>
      <c r="DK37" s="70"/>
      <c r="DL37" s="70"/>
      <c r="DM37" s="70"/>
      <c r="DN37" s="70"/>
      <c r="DO37" s="70"/>
      <c r="DP37" s="70"/>
      <c r="DQ37" s="70"/>
      <c r="DR37" s="70"/>
      <c r="DS37" s="70"/>
      <c r="DT37" s="70"/>
      <c r="DU37" s="70"/>
      <c r="DV37" s="70"/>
    </row>
    <row r="38" spans="1:126" x14ac:dyDescent="0.3">
      <c r="A38" s="79" t="str">
        <f>'4. Design Tracking Summary'!A39</f>
        <v>AM00118</v>
      </c>
      <c r="B38" s="79" t="str">
        <f>'4. Design Tracking Summary'!B39</f>
        <v>South</v>
      </c>
      <c r="C38" s="79" t="str">
        <f>'4. Design Tracking Summary'!C39</f>
        <v>VER</v>
      </c>
      <c r="D38" s="79" t="str">
        <f>'4. Design Tracking Summary'!D39</f>
        <v>SMALL</v>
      </c>
      <c r="E38" s="79" t="s">
        <v>59</v>
      </c>
      <c r="F38" s="79"/>
      <c r="G38" s="60" t="str">
        <f>IFERROR(INDEX(Table_SiteMilestonesNames[SiteMilestoneName],COUNTA(Table_SiteMilestoneTracking[[#This Row],[SiteDesignStarted_AC]],Table_SiteMilestoneTracking[[#This Row],[SiteDesignReady_AC]],Table_SiteMilestoneTracking[[#This Row],[SiteSurveyCompleted_AC]],Table_SiteMilestoneTracking[[#This Row],[SiteAcquired_AC]],Table_SiteMilestoneTracking[[#This Row],[SiteReadyForCW_AC]],Table_SiteMilestoneTracking[[#This Row],[SiteReadyForPower_AC]],Table_SiteMilestoneTracking[[#This Row],[TXReady_AC]],Table_SiteMilestoneTracking[[#This Row],[SiteReadyForInstallation_AC]],Table_SiteMilestoneTracking[[#This Row],[SiteReadyForIntegration_AC]],Table_SiteMilestoneTracking[[#This Row],[SiteOnAir_AC]],Table_SiteMilestoneTracking[[#This Row],[SiteAccepted_AC]],Table_SiteMilestoneTracking[[#This Row],[SiteInOperations_AC]])+1),"Invalid Milestone")</f>
        <v>SiteReadyForIntegration</v>
      </c>
      <c r="H38" s="61">
        <f>Table_SiteMilestoneTracking[[#This Row],[c0_SiteDesignCostBL]]+Table_SiteMilestoneTracking[[#This Row],[c1_SiteSurveyCostBL]]+Table_SiteMilestoneTracking[[#This Row],[c2_SiteAcquisitionCostBL]]+Table_SiteMilestoneTracking[[#This Row],[c3_CivilWorksCostBL]]+Table_SiteMilestoneTracking[[#This Row],[c4_PowerInstallCostBL]]+Table_SiteMilestoneTracking[[#This Row],[c5_TxintegrationCostBL]]+Table_SiteMilestoneTracking[[#This Row],[c6_InstallationCostBL]]+Table_SiteMilestoneTracking[[#This Row],[c7_IntegrationCostBL]]+Table_SiteMilestoneTracking[[#This Row],[c8_AcceptanceCostBL]]+Table_SiteMilestoneTracking[[#This Row],[c9_HandoverCostBL]]</f>
        <v>7550</v>
      </c>
      <c r="I38" s="62">
        <f>Table_SiteMilestoneTracking[[#This Row],[c0_SiteDesignCostAC]]+Table_SiteMilestoneTracking[[#This Row],[c1_SiteSurveyCostAC]]+Table_SiteMilestoneTracking[[#This Row],[c2_SiteAcquisitionCostAC]]+Table_SiteMilestoneTracking[[#This Row],[c3_CivilWorksCostAC]]+Table_SiteMilestoneTracking[[#This Row],[c4_PowerInstallCostAC]]+Table_SiteMilestoneTracking[[#This Row],[c5_TxintegrationCostAC]]+Table_SiteMilestoneTracking[[#This Row],[c6_InstallationCostAC]]+Table_SiteMilestoneTracking[[#This Row],[c7_IntegrationCostAC]]+Table_SiteMilestoneTracking[[#This Row],[c8_AcceptanceCostAC]]+Table_SiteMilestoneTracking[[#This Row],[c9_HandoverCostAC]]</f>
        <v>6095</v>
      </c>
      <c r="J38" s="84">
        <v>44001</v>
      </c>
      <c r="K38" s="84">
        <v>44002</v>
      </c>
      <c r="L38" s="64">
        <f>IF(ISBLANK(Table_SiteMilestoneTracking[[#This Row],[SiteDesignStarted_AC]])=FALSE,Table_SiteMilestoneTracking[[#This Row],[SiteDesignStarted_AC]]-Table_SiteMilestoneTracking[[#This Row],[SiteDesignStarted_BL]],"")</f>
        <v>1</v>
      </c>
      <c r="M38" s="64">
        <f t="shared" si="6"/>
        <v>500</v>
      </c>
      <c r="N38" s="87">
        <v>400</v>
      </c>
      <c r="O38" s="63">
        <f>Table_SiteMilestoneTracking[[#This Row],[SiteDesignStarted_BL]]+t0_SiteDesignDelayBL</f>
        <v>44003</v>
      </c>
      <c r="P38" s="84">
        <v>44005</v>
      </c>
      <c r="Q38" s="64">
        <f>IF(ISBLANK(Table_SiteMilestoneTracking[[#This Row],[SiteDesignReady_AC]])=FALSE,Table_SiteMilestoneTracking[[#This Row],[SiteDesignReady_AC]]-Table_SiteMilestoneTracking[[#This Row],[SiteDesignReady_BL]],"-")</f>
        <v>2</v>
      </c>
      <c r="R38" s="64">
        <f t="shared" si="5"/>
        <v>500</v>
      </c>
      <c r="S38" s="82">
        <v>675</v>
      </c>
      <c r="T38" s="63">
        <f>Table_SiteMilestoneTracking[[#This Row],[SiteDesignReady_BL]]+t1_SiteSurveyBL</f>
        <v>44005</v>
      </c>
      <c r="U38" s="84">
        <v>44008</v>
      </c>
      <c r="V38" s="64">
        <f>IF(ISBLANK(Table_SiteMilestoneTracking[[#This Row],[SiteSurveyCompleted_AC]])=FALSE,Table_SiteMilestoneTracking[[#This Row],[SiteSurveyCompleted_AC]]-Table_SiteMilestoneTracking[[#This Row],[SiteDesignReady_AC]],"-")</f>
        <v>3</v>
      </c>
      <c r="W38" s="64">
        <f t="shared" si="7"/>
        <v>600</v>
      </c>
      <c r="X38" s="82">
        <v>420</v>
      </c>
      <c r="Y38" s="63">
        <f>Table_SiteMilestoneTracking[[#This Row],[SiteSurveyCompleted_BL]]+t2_SiteAcquisitionBL</f>
        <v>44016</v>
      </c>
      <c r="Z38" s="84">
        <v>44020</v>
      </c>
      <c r="AA38" s="65">
        <f>IF(ISBLANK(Table_SiteMilestoneTracking[[#This Row],[SiteAcquired_AC]])=FALSE,Table_SiteMilestoneTracking[[#This Row],[SiteAcquired_AC]]-Table_SiteMilestoneTracking[[#This Row],[SiteAcquired_BL]],"-")</f>
        <v>4</v>
      </c>
      <c r="AB38" s="65">
        <f>IF(ISBLANK(Table_SiteMilestoneTracking[[#This Row],[SiteAcquired_AC]])=FALSE,Table_SiteMilestoneTracking[[#This Row],[SiteAcquired_AC]]-Table_SiteMilestoneTracking[[#This Row],[SiteSurveyCompleted_AC]],"-")</f>
        <v>12</v>
      </c>
      <c r="AC38" s="64">
        <f t="shared" si="8"/>
        <v>150</v>
      </c>
      <c r="AD38" s="82">
        <v>150</v>
      </c>
      <c r="AE38" s="63">
        <f>Table_SiteMilestoneTracking[[#This Row],[SiteAcquired_BL]]+t2a_SiteCWReadinessBL</f>
        <v>44018</v>
      </c>
      <c r="AF38" s="85">
        <v>44023</v>
      </c>
      <c r="AG38" s="66">
        <f>IF(ISBLANK(Table_SiteMilestoneTracking[[#This Row],[SiteReadyForCW_AC]])=FALSE,Table_SiteMilestoneTracking[[#This Row],[SiteReadyForCW_AC]]-Table_SiteMilestoneTracking[[#This Row],[SiteReadyForCW_BL]],"-")</f>
        <v>5</v>
      </c>
      <c r="AH38" s="66">
        <f>IF(ISBLANK(Table_SiteMilestoneTracking[[#This Row],[SiteReadyForCW_AC]])=FALSE,Table_SiteMilestoneTracking[[#This Row],[SiteReadyForCW_AC]]-Table_SiteMilestoneTracking[[#This Row],[SiteDesignReady_AC]],"-")</f>
        <v>18</v>
      </c>
      <c r="AI38" s="64">
        <f t="shared" si="9"/>
        <v>1500</v>
      </c>
      <c r="AJ38" s="82">
        <v>1500</v>
      </c>
      <c r="AK38" s="63">
        <f>Table_SiteMilestoneTracking[[#This Row],[SiteReadyForCW_BL]]+t3_CivilWorksBL</f>
        <v>44026</v>
      </c>
      <c r="AL38" s="84">
        <v>44032</v>
      </c>
      <c r="AM38" s="64">
        <f>IF(ISBLANK(Table_SiteMilestoneTracking[[#This Row],[SiteReadyForPower_AC]])=FALSE,Table_SiteMilestoneTracking[[#This Row],[SiteReadyForPower_AC]]-Table_SiteMilestoneTracking[[#This Row],[SiteReadyForPower_BL]],"-")</f>
        <v>6</v>
      </c>
      <c r="AN38" s="64">
        <f>IF(ISBLANK(Table_SiteMilestoneTracking[[#This Row],[SiteReadyForPower_AC]])=FALSE,Table_SiteMilestoneTracking[[#This Row],[SiteReadyForPower_AC]]-Table_SiteMilestoneTracking[[#This Row],[SiteReadyForCW_AC]],"-")</f>
        <v>9</v>
      </c>
      <c r="AO38" s="64">
        <f t="shared" si="10"/>
        <v>500</v>
      </c>
      <c r="AP38" s="82">
        <v>600</v>
      </c>
      <c r="AQ38" s="63">
        <f>Table_SiteMilestoneTracking[[#This Row],[SiteReadyForPower_BL]]+t4_PowerInstallBL</f>
        <v>44031</v>
      </c>
      <c r="AR38" s="84">
        <v>44038</v>
      </c>
      <c r="AS38" s="64">
        <f>IF(ISBLANK(Table_SiteMilestoneTracking[[#This Row],[TXReady_AC]])=FALSE,Table_SiteMilestoneTracking[[#This Row],[TXReady_AC]]-Table_SiteMilestoneTracking[[#This Row],[TXReady_BL]],"-")</f>
        <v>7</v>
      </c>
      <c r="AT38" s="64">
        <f>IF(ISBLANK(Table_SiteMilestoneTracking[[#This Row],[TXReady_AC]])=FALSE,Table_SiteMilestoneTracking[[#This Row],[TXReady_AC]]-Table_SiteMilestoneTracking[[#This Row],[SiteReadyForPower_AC]],"-")</f>
        <v>6</v>
      </c>
      <c r="AU38" s="64">
        <f>$AU$2</f>
        <v>500</v>
      </c>
      <c r="AV38" s="82">
        <v>300</v>
      </c>
      <c r="AW38" s="63">
        <f>Table_SiteMilestoneTracking[[#This Row],[TXReady_BL]]+t5_TxintegrationBL</f>
        <v>44038</v>
      </c>
      <c r="AX38" s="84">
        <v>44045</v>
      </c>
      <c r="AY38" s="64">
        <f>IF(ISBLANK(Table_SiteMilestoneTracking[[#This Row],[SiteReadyForInstallation_AC]])=FALSE,Table_SiteMilestoneTracking[[#This Row],[SiteReadyForInstallation_AC]]-Table_SiteMilestoneTracking[[#This Row],[SiteReadyForInstallation_BL]],"-")</f>
        <v>7</v>
      </c>
      <c r="AZ38" s="64">
        <f>IF(ISBLANK(Table_SiteMilestoneTracking[[#This Row],[SiteReadyForInstallation_AC]])=FALSE,Table_SiteMilestoneTracking[[#This Row],[SiteReadyForInstallation_AC]]-Table_SiteMilestoneTracking[[#This Row],[TXReady_AC]],"-")</f>
        <v>7</v>
      </c>
      <c r="BA38" s="64">
        <f>$BA$2</f>
        <v>2500</v>
      </c>
      <c r="BB38" s="82">
        <v>2200.0000000000005</v>
      </c>
      <c r="BC38" s="63">
        <f>Table_SiteMilestoneTracking[[#This Row],[SiteReadyForInstallation_BL]]+t6_InstallationBL</f>
        <v>44042</v>
      </c>
      <c r="BD38" s="84">
        <v>44050</v>
      </c>
      <c r="BE38" s="64">
        <f>IF(ISBLANK(Table_SiteMilestoneTracking[[#This Row],[SiteReadyForIntegration_AC]])=FALSE,Table_SiteMilestoneTracking[[#This Row],[SiteReadyForIntegration_AC]]-Table_SiteMilestoneTracking[[#This Row],[SiteReadyForIntegration_BL]],"-")</f>
        <v>8</v>
      </c>
      <c r="BF38" s="64">
        <f>IF(ISBLANK(Table_SiteMilestoneTracking[[#This Row],[SiteReadyForIntegration_AC]])=FALSE,Table_SiteMilestoneTracking[[#This Row],[SiteReadyForIntegration_AC]]-Table_SiteMilestoneTracking[[#This Row],[SiteReadyForInstallation_AC]],"-")</f>
        <v>5</v>
      </c>
      <c r="BG38" s="64">
        <f>$BG$2</f>
        <v>500</v>
      </c>
      <c r="BH38" s="82"/>
      <c r="BI38" s="63">
        <f>Table_SiteMilestoneTracking[[#This Row],[SiteReadyForIntegration_BL]]+t7_IntegrationBL</f>
        <v>44046</v>
      </c>
      <c r="BJ38" s="84"/>
      <c r="BK38" s="64" t="str">
        <f>IF(ISBLANK(Table_SiteMilestoneTracking[[#This Row],[SiteOnAir_AC]])=FALSE,Table_SiteMilestoneTracking[[#This Row],[SiteOnAir_AC]]-Table_SiteMilestoneTracking[[#This Row],[SiteOnAir_BL]],"-")</f>
        <v>-</v>
      </c>
      <c r="BL38" s="64" t="str">
        <f>IF(ISBLANK(Table_SiteMilestoneTracking[[#This Row],[SiteOnAir_AC]])=FALSE,Table_SiteMilestoneTracking[[#This Row],[SiteOnAir_AC]]-Table_SiteMilestoneTracking[[#This Row],[SiteReadyForIntegration_AC]],"-")</f>
        <v>-</v>
      </c>
      <c r="BM38" s="64">
        <f>$BM$2</f>
        <v>250</v>
      </c>
      <c r="BN38" s="82"/>
      <c r="BO38" s="63">
        <f>Table_SiteMilestoneTracking[[#This Row],[SiteOnAir_BL]]+t8_AcceptanceBL</f>
        <v>44050</v>
      </c>
      <c r="BP38" s="84"/>
      <c r="BQ38" s="64" t="str">
        <f>IF(ISBLANK(Table_SiteMilestoneTracking[[#This Row],[SiteAccepted_AC]])=FALSE,Table_SiteMilestoneTracking[[#This Row],[SiteAccepted_AC]]-Table_SiteMilestoneTracking[[#This Row],[SiteAccepted_BL]],"-")</f>
        <v>-</v>
      </c>
      <c r="BR38" s="64" t="str">
        <f>IF(ISBLANK(Table_SiteMilestoneTracking[[#This Row],[SiteAccepted_AC]])=FALSE,Table_SiteMilestoneTracking[[#This Row],[SiteAccepted_AC]]-Table_SiteMilestoneTracking[[#This Row],[SiteOnAir_AC]],"-")</f>
        <v>-</v>
      </c>
      <c r="BS38" s="64">
        <f>$BS$2</f>
        <v>200</v>
      </c>
      <c r="BT38" s="82"/>
      <c r="BU38" s="63">
        <f>Table_SiteMilestoneTracking[[#This Row],[SiteAccepted_BL]]+t9_HandoverBL</f>
        <v>44058</v>
      </c>
      <c r="BV38" s="84"/>
      <c r="BW38" s="64" t="str">
        <f>IF(ISBLANK(Table_SiteMilestoneTracking[[#This Row],[SiteInOperations_AC]])=FALSE,Table_SiteMilestoneTracking[[#This Row],[SiteInOperations_AC]]-Table_SiteMilestoneTracking[[#This Row],[SiteInOperations_BL]],"-")</f>
        <v>-</v>
      </c>
      <c r="BX38" s="66">
        <f>Table_SiteMilestoneTracking[[#This Row],[SiteInOperations_BL]]-Table_SiteMilestoneTracking[[#This Row],[SiteDesignReady_BL]]</f>
        <v>55</v>
      </c>
      <c r="BY38" s="66" t="str">
        <f>IF(Table_SiteMilestoneTracking[[#This Row],[CurrentSiteMilestone]]="SiteInOperations",Table_SiteMilestoneTracking[[#This Row],[SiteInOperations_AC]]-Table_SiteMilestoneTracking[[#This Row],[SiteDesignReady_AC]],"")</f>
        <v/>
      </c>
      <c r="BZ38" s="66" t="str">
        <f>IFERROR(Table_SiteMilestoneTracking[[#This Row],[E2E_Site_AC]]-Table_SiteMilestoneTracking[[#This Row],[E2E_Site_BL]],"")</f>
        <v/>
      </c>
      <c r="CA38" s="66" t="str">
        <f>IF(Table_SiteMilestoneTracking[[#This Row],[CurrentSiteMilestone]]="SiteInOperations",Table_SiteMilestoneTracking[[#This Row],[SiteInOperations_AC]]-Table_SiteMilestoneTracking[[#This Row],[SiteAccepted_AC]],"")</f>
        <v/>
      </c>
      <c r="CB38" s="79"/>
      <c r="CC38" s="89"/>
      <c r="CD38" s="89"/>
      <c r="CE38" s="70"/>
      <c r="CF38" s="70"/>
      <c r="CG38" s="70"/>
      <c r="CH38" s="70"/>
      <c r="CI38" s="70"/>
      <c r="CJ38" s="70"/>
      <c r="CK38" s="70"/>
      <c r="CL38" s="70"/>
      <c r="CM38" s="70"/>
      <c r="CN38" s="70"/>
      <c r="CO38" s="70"/>
      <c r="CP38" s="70"/>
      <c r="CQ38" s="70"/>
      <c r="CR38" s="70"/>
      <c r="CS38" s="70"/>
      <c r="CT38" s="70"/>
      <c r="CU38" s="70"/>
      <c r="CV38" s="70"/>
      <c r="CW38" s="70"/>
      <c r="CX38" s="70"/>
      <c r="CY38" s="70"/>
      <c r="CZ38" s="70"/>
      <c r="DA38" s="70"/>
      <c r="DB38" s="70"/>
      <c r="DC38" s="70"/>
      <c r="DD38" s="70"/>
      <c r="DE38" s="70"/>
      <c r="DF38" s="70"/>
      <c r="DG38" s="70"/>
      <c r="DH38" s="70"/>
      <c r="DI38" s="70"/>
      <c r="DJ38" s="70"/>
      <c r="DK38" s="70"/>
      <c r="DL38" s="70"/>
      <c r="DM38" s="70"/>
      <c r="DN38" s="70"/>
      <c r="DO38" s="70"/>
      <c r="DP38" s="70"/>
      <c r="DQ38" s="70"/>
      <c r="DR38" s="70"/>
      <c r="DS38" s="70"/>
      <c r="DT38" s="70"/>
      <c r="DU38" s="70"/>
      <c r="DV38" s="70"/>
    </row>
    <row r="39" spans="1:126" x14ac:dyDescent="0.3">
      <c r="A39" s="79" t="str">
        <f>'4. Design Tracking Summary'!A40</f>
        <v>AM00147</v>
      </c>
      <c r="B39" s="79" t="str">
        <f>'4. Design Tracking Summary'!B40</f>
        <v>South</v>
      </c>
      <c r="C39" s="79" t="str">
        <f>'4. Design Tracking Summary'!C40</f>
        <v>CHI</v>
      </c>
      <c r="D39" s="79" t="str">
        <f>'4. Design Tracking Summary'!D40</f>
        <v>MACRO</v>
      </c>
      <c r="E39" s="79" t="s">
        <v>56</v>
      </c>
      <c r="F39" s="79"/>
      <c r="G39" s="60" t="str">
        <f>IFERROR(INDEX(Table_SiteMilestonesNames[SiteMilestoneName],COUNTA(Table_SiteMilestoneTracking[[#This Row],[SiteDesignStarted_AC]],Table_SiteMilestoneTracking[[#This Row],[SiteDesignReady_AC]],Table_SiteMilestoneTracking[[#This Row],[SiteSurveyCompleted_AC]],Table_SiteMilestoneTracking[[#This Row],[SiteAcquired_AC]],Table_SiteMilestoneTracking[[#This Row],[SiteReadyForCW_AC]],Table_SiteMilestoneTracking[[#This Row],[SiteReadyForPower_AC]],Table_SiteMilestoneTracking[[#This Row],[TXReady_AC]],Table_SiteMilestoneTracking[[#This Row],[SiteReadyForInstallation_AC]],Table_SiteMilestoneTracking[[#This Row],[SiteReadyForIntegration_AC]],Table_SiteMilestoneTracking[[#This Row],[SiteOnAir_AC]],Table_SiteMilestoneTracking[[#This Row],[SiteAccepted_AC]],Table_SiteMilestoneTracking[[#This Row],[SiteInOperations_AC]])+1),"Invalid Milestone")</f>
        <v>SiteReadyForIntegration</v>
      </c>
      <c r="H39" s="61">
        <f>Table_SiteMilestoneTracking[[#This Row],[c0_SiteDesignCostBL]]+Table_SiteMilestoneTracking[[#This Row],[c1_SiteSurveyCostBL]]+Table_SiteMilestoneTracking[[#This Row],[c2_SiteAcquisitionCostBL]]+Table_SiteMilestoneTracking[[#This Row],[c3_CivilWorksCostBL]]+Table_SiteMilestoneTracking[[#This Row],[c4_PowerInstallCostBL]]+Table_SiteMilestoneTracking[[#This Row],[c5_TxintegrationCostBL]]+Table_SiteMilestoneTracking[[#This Row],[c6_InstallationCostBL]]+Table_SiteMilestoneTracking[[#This Row],[c7_IntegrationCostBL]]+Table_SiteMilestoneTracking[[#This Row],[c8_AcceptanceCostBL]]+Table_SiteMilestoneTracking[[#This Row],[c9_HandoverCostBL]]</f>
        <v>7550</v>
      </c>
      <c r="I39" s="62">
        <f>Table_SiteMilestoneTracking[[#This Row],[c0_SiteDesignCostAC]]+Table_SiteMilestoneTracking[[#This Row],[c1_SiteSurveyCostAC]]+Table_SiteMilestoneTracking[[#This Row],[c2_SiteAcquisitionCostAC]]+Table_SiteMilestoneTracking[[#This Row],[c3_CivilWorksCostAC]]+Table_SiteMilestoneTracking[[#This Row],[c4_PowerInstallCostAC]]+Table_SiteMilestoneTracking[[#This Row],[c5_TxintegrationCostAC]]+Table_SiteMilestoneTracking[[#This Row],[c6_InstallationCostAC]]+Table_SiteMilestoneTracking[[#This Row],[c7_IntegrationCostAC]]+Table_SiteMilestoneTracking[[#This Row],[c8_AcceptanceCostAC]]+Table_SiteMilestoneTracking[[#This Row],[c9_HandoverCostAC]]</f>
        <v>6415</v>
      </c>
      <c r="J39" s="84">
        <v>44001</v>
      </c>
      <c r="K39" s="84">
        <v>44002</v>
      </c>
      <c r="L39" s="64">
        <f>IF(ISBLANK(Table_SiteMilestoneTracking[[#This Row],[SiteDesignStarted_AC]])=FALSE,Table_SiteMilestoneTracking[[#This Row],[SiteDesignStarted_AC]]-Table_SiteMilestoneTracking[[#This Row],[SiteDesignStarted_BL]],"")</f>
        <v>1</v>
      </c>
      <c r="M39" s="64">
        <f t="shared" si="6"/>
        <v>500</v>
      </c>
      <c r="N39" s="87">
        <v>420</v>
      </c>
      <c r="O39" s="63">
        <f>Table_SiteMilestoneTracking[[#This Row],[SiteDesignStarted_BL]]+t0_SiteDesignDelayBL</f>
        <v>44003</v>
      </c>
      <c r="P39" s="84">
        <v>44008</v>
      </c>
      <c r="Q39" s="64">
        <f>IF(ISBLANK(Table_SiteMilestoneTracking[[#This Row],[SiteDesignReady_AC]])=FALSE,Table_SiteMilestoneTracking[[#This Row],[SiteDesignReady_AC]]-Table_SiteMilestoneTracking[[#This Row],[SiteDesignReady_BL]],"-")</f>
        <v>5</v>
      </c>
      <c r="R39" s="64">
        <f t="shared" si="5"/>
        <v>500</v>
      </c>
      <c r="S39" s="82">
        <v>725</v>
      </c>
      <c r="T39" s="63">
        <f>Table_SiteMilestoneTracking[[#This Row],[SiteDesignReady_BL]]+t1_SiteSurveyBL</f>
        <v>44005</v>
      </c>
      <c r="U39" s="84">
        <v>44011</v>
      </c>
      <c r="V39" s="64">
        <f>IF(ISBLANK(Table_SiteMilestoneTracking[[#This Row],[SiteSurveyCompleted_AC]])=FALSE,Table_SiteMilestoneTracking[[#This Row],[SiteSurveyCompleted_AC]]-Table_SiteMilestoneTracking[[#This Row],[SiteDesignReady_AC]],"-")</f>
        <v>3</v>
      </c>
      <c r="W39" s="64">
        <f t="shared" si="7"/>
        <v>600</v>
      </c>
      <c r="X39" s="82">
        <v>420</v>
      </c>
      <c r="Y39" s="63">
        <f>Table_SiteMilestoneTracking[[#This Row],[SiteSurveyCompleted_BL]]+t2_SiteAcquisitionBL</f>
        <v>44016</v>
      </c>
      <c r="Z39" s="84">
        <v>44022</v>
      </c>
      <c r="AA39" s="65">
        <f>IF(ISBLANK(Table_SiteMilestoneTracking[[#This Row],[SiteAcquired_AC]])=FALSE,Table_SiteMilestoneTracking[[#This Row],[SiteAcquired_AC]]-Table_SiteMilestoneTracking[[#This Row],[SiteAcquired_BL]],"-")</f>
        <v>6</v>
      </c>
      <c r="AB39" s="65">
        <f>IF(ISBLANK(Table_SiteMilestoneTracking[[#This Row],[SiteAcquired_AC]])=FALSE,Table_SiteMilestoneTracking[[#This Row],[SiteAcquired_AC]]-Table_SiteMilestoneTracking[[#This Row],[SiteSurveyCompleted_AC]],"-")</f>
        <v>11</v>
      </c>
      <c r="AC39" s="64">
        <f t="shared" si="8"/>
        <v>150</v>
      </c>
      <c r="AD39" s="82">
        <v>180.00000000000003</v>
      </c>
      <c r="AE39" s="63">
        <f>Table_SiteMilestoneTracking[[#This Row],[SiteAcquired_BL]]+t2a_SiteCWReadinessBL</f>
        <v>44018</v>
      </c>
      <c r="AF39" s="85">
        <v>44024</v>
      </c>
      <c r="AG39" s="66">
        <f>IF(ISBLANK(Table_SiteMilestoneTracking[[#This Row],[SiteReadyForCW_AC]])=FALSE,Table_SiteMilestoneTracking[[#This Row],[SiteReadyForCW_AC]]-Table_SiteMilestoneTracking[[#This Row],[SiteReadyForCW_BL]],"-")</f>
        <v>6</v>
      </c>
      <c r="AH39" s="66">
        <f>IF(ISBLANK(Table_SiteMilestoneTracking[[#This Row],[SiteReadyForCW_AC]])=FALSE,Table_SiteMilestoneTracking[[#This Row],[SiteReadyForCW_AC]]-Table_SiteMilestoneTracking[[#This Row],[SiteDesignReady_AC]],"-")</f>
        <v>16</v>
      </c>
      <c r="AI39" s="64">
        <f t="shared" si="9"/>
        <v>1500</v>
      </c>
      <c r="AJ39" s="82">
        <v>1650</v>
      </c>
      <c r="AK39" s="63">
        <f>Table_SiteMilestoneTracking[[#This Row],[SiteReadyForCW_BL]]+t3_CivilWorksBL</f>
        <v>44026</v>
      </c>
      <c r="AL39" s="84">
        <v>44032</v>
      </c>
      <c r="AM39" s="64">
        <f>IF(ISBLANK(Table_SiteMilestoneTracking[[#This Row],[SiteReadyForPower_AC]])=FALSE,Table_SiteMilestoneTracking[[#This Row],[SiteReadyForPower_AC]]-Table_SiteMilestoneTracking[[#This Row],[SiteReadyForPower_BL]],"-")</f>
        <v>6</v>
      </c>
      <c r="AN39" s="64">
        <f>IF(ISBLANK(Table_SiteMilestoneTracking[[#This Row],[SiteReadyForPower_AC]])=FALSE,Table_SiteMilestoneTracking[[#This Row],[SiteReadyForPower_AC]]-Table_SiteMilestoneTracking[[#This Row],[SiteReadyForCW_AC]],"-")</f>
        <v>8</v>
      </c>
      <c r="AO39" s="64">
        <f t="shared" si="10"/>
        <v>500</v>
      </c>
      <c r="AP39" s="82">
        <v>300</v>
      </c>
      <c r="AQ39" s="63">
        <f>Table_SiteMilestoneTracking[[#This Row],[SiteReadyForPower_BL]]+t4_PowerInstallBL</f>
        <v>44031</v>
      </c>
      <c r="AR39" s="84">
        <v>44038</v>
      </c>
      <c r="AS39" s="64">
        <f>IF(ISBLANK(Table_SiteMilestoneTracking[[#This Row],[TXReady_AC]])=FALSE,Table_SiteMilestoneTracking[[#This Row],[TXReady_AC]]-Table_SiteMilestoneTracking[[#This Row],[TXReady_BL]],"-")</f>
        <v>7</v>
      </c>
      <c r="AT39" s="64">
        <f>IF(ISBLANK(Table_SiteMilestoneTracking[[#This Row],[TXReady_AC]])=FALSE,Table_SiteMilestoneTracking[[#This Row],[TXReady_AC]]-Table_SiteMilestoneTracking[[#This Row],[SiteReadyForPower_AC]],"-")</f>
        <v>6</v>
      </c>
      <c r="AU39" s="64">
        <f>$AU$2</f>
        <v>500</v>
      </c>
      <c r="AV39" s="82">
        <v>700</v>
      </c>
      <c r="AW39" s="63">
        <f>Table_SiteMilestoneTracking[[#This Row],[TXReady_BL]]+t5_TxintegrationBL</f>
        <v>44038</v>
      </c>
      <c r="AX39" s="84">
        <v>44046</v>
      </c>
      <c r="AY39" s="64">
        <f>IF(ISBLANK(Table_SiteMilestoneTracking[[#This Row],[SiteReadyForInstallation_AC]])=FALSE,Table_SiteMilestoneTracking[[#This Row],[SiteReadyForInstallation_AC]]-Table_SiteMilestoneTracking[[#This Row],[SiteReadyForInstallation_BL]],"-")</f>
        <v>8</v>
      </c>
      <c r="AZ39" s="64">
        <f>IF(ISBLANK(Table_SiteMilestoneTracking[[#This Row],[SiteReadyForInstallation_AC]])=FALSE,Table_SiteMilestoneTracking[[#This Row],[SiteReadyForInstallation_AC]]-Table_SiteMilestoneTracking[[#This Row],[TXReady_AC]],"-")</f>
        <v>8</v>
      </c>
      <c r="BA39" s="64">
        <f>$BA$2</f>
        <v>2500</v>
      </c>
      <c r="BB39" s="82">
        <v>2200.0000000000005</v>
      </c>
      <c r="BC39" s="63">
        <f>Table_SiteMilestoneTracking[[#This Row],[SiteReadyForInstallation_BL]]+t6_InstallationBL</f>
        <v>44042</v>
      </c>
      <c r="BD39" s="84">
        <v>44050</v>
      </c>
      <c r="BE39" s="64">
        <f>IF(ISBLANK(Table_SiteMilestoneTracking[[#This Row],[SiteReadyForIntegration_AC]])=FALSE,Table_SiteMilestoneTracking[[#This Row],[SiteReadyForIntegration_AC]]-Table_SiteMilestoneTracking[[#This Row],[SiteReadyForIntegration_BL]],"-")</f>
        <v>8</v>
      </c>
      <c r="BF39" s="64">
        <f>IF(ISBLANK(Table_SiteMilestoneTracking[[#This Row],[SiteReadyForIntegration_AC]])=FALSE,Table_SiteMilestoneTracking[[#This Row],[SiteReadyForIntegration_AC]]-Table_SiteMilestoneTracking[[#This Row],[SiteReadyForInstallation_AC]],"-")</f>
        <v>4</v>
      </c>
      <c r="BG39" s="64">
        <f>$BG$2</f>
        <v>500</v>
      </c>
      <c r="BH39" s="82"/>
      <c r="BI39" s="63">
        <f>Table_SiteMilestoneTracking[[#This Row],[SiteReadyForIntegration_BL]]+t7_IntegrationBL</f>
        <v>44046</v>
      </c>
      <c r="BJ39" s="84"/>
      <c r="BK39" s="64" t="str">
        <f>IF(ISBLANK(Table_SiteMilestoneTracking[[#This Row],[SiteOnAir_AC]])=FALSE,Table_SiteMilestoneTracking[[#This Row],[SiteOnAir_AC]]-Table_SiteMilestoneTracking[[#This Row],[SiteOnAir_BL]],"-")</f>
        <v>-</v>
      </c>
      <c r="BL39" s="64" t="str">
        <f>IF(ISBLANK(Table_SiteMilestoneTracking[[#This Row],[SiteOnAir_AC]])=FALSE,Table_SiteMilestoneTracking[[#This Row],[SiteOnAir_AC]]-Table_SiteMilestoneTracking[[#This Row],[SiteReadyForIntegration_AC]],"-")</f>
        <v>-</v>
      </c>
      <c r="BM39" s="64">
        <f>$BM$2</f>
        <v>250</v>
      </c>
      <c r="BN39" s="82"/>
      <c r="BO39" s="63">
        <f>Table_SiteMilestoneTracking[[#This Row],[SiteOnAir_BL]]+t8_AcceptanceBL</f>
        <v>44050</v>
      </c>
      <c r="BP39" s="84"/>
      <c r="BQ39" s="64" t="str">
        <f>IF(ISBLANK(Table_SiteMilestoneTracking[[#This Row],[SiteAccepted_AC]])=FALSE,Table_SiteMilestoneTracking[[#This Row],[SiteAccepted_AC]]-Table_SiteMilestoneTracking[[#This Row],[SiteAccepted_BL]],"-")</f>
        <v>-</v>
      </c>
      <c r="BR39" s="64" t="str">
        <f>IF(ISBLANK(Table_SiteMilestoneTracking[[#This Row],[SiteAccepted_AC]])=FALSE,Table_SiteMilestoneTracking[[#This Row],[SiteAccepted_AC]]-Table_SiteMilestoneTracking[[#This Row],[SiteOnAir_AC]],"-")</f>
        <v>-</v>
      </c>
      <c r="BS39" s="64">
        <f>$BS$2</f>
        <v>200</v>
      </c>
      <c r="BT39" s="82"/>
      <c r="BU39" s="63">
        <f>Table_SiteMilestoneTracking[[#This Row],[SiteAccepted_BL]]+t9_HandoverBL</f>
        <v>44058</v>
      </c>
      <c r="BV39" s="84"/>
      <c r="BW39" s="64" t="str">
        <f>IF(ISBLANK(Table_SiteMilestoneTracking[[#This Row],[SiteInOperations_AC]])=FALSE,Table_SiteMilestoneTracking[[#This Row],[SiteInOperations_AC]]-Table_SiteMilestoneTracking[[#This Row],[SiteInOperations_BL]],"-")</f>
        <v>-</v>
      </c>
      <c r="BX39" s="66">
        <f>Table_SiteMilestoneTracking[[#This Row],[SiteInOperations_BL]]-Table_SiteMilestoneTracking[[#This Row],[SiteDesignReady_BL]]</f>
        <v>55</v>
      </c>
      <c r="BY39" s="66" t="str">
        <f>IF(Table_SiteMilestoneTracking[[#This Row],[CurrentSiteMilestone]]="SiteInOperations",Table_SiteMilestoneTracking[[#This Row],[SiteInOperations_AC]]-Table_SiteMilestoneTracking[[#This Row],[SiteDesignReady_AC]],"")</f>
        <v/>
      </c>
      <c r="BZ39" s="66" t="str">
        <f>IFERROR(Table_SiteMilestoneTracking[[#This Row],[E2E_Site_AC]]-Table_SiteMilestoneTracking[[#This Row],[E2E_Site_BL]],"")</f>
        <v/>
      </c>
      <c r="CA39" s="66" t="str">
        <f>IF(Table_SiteMilestoneTracking[[#This Row],[CurrentSiteMilestone]]="SiteInOperations",Table_SiteMilestoneTracking[[#This Row],[SiteInOperations_AC]]-Table_SiteMilestoneTracking[[#This Row],[SiteAccepted_AC]],"")</f>
        <v/>
      </c>
      <c r="CB39" s="79"/>
      <c r="CC39" s="89"/>
      <c r="CD39" s="89"/>
      <c r="CE39" s="70"/>
      <c r="CF39" s="70"/>
      <c r="CG39" s="70"/>
      <c r="CH39" s="70"/>
      <c r="CI39" s="70"/>
      <c r="CJ39" s="70"/>
      <c r="CK39" s="70"/>
      <c r="CL39" s="70"/>
      <c r="CM39" s="70"/>
      <c r="CN39" s="70"/>
      <c r="CO39" s="70"/>
      <c r="CP39" s="70"/>
      <c r="CQ39" s="70"/>
      <c r="CR39" s="70"/>
      <c r="CS39" s="70"/>
      <c r="CT39" s="70"/>
      <c r="CU39" s="70"/>
      <c r="CV39" s="70"/>
      <c r="CW39" s="70"/>
      <c r="CX39" s="70"/>
      <c r="CY39" s="70"/>
      <c r="CZ39" s="70"/>
      <c r="DA39" s="70"/>
      <c r="DB39" s="70"/>
      <c r="DC39" s="70"/>
      <c r="DD39" s="70"/>
      <c r="DE39" s="70"/>
      <c r="DF39" s="70"/>
      <c r="DG39" s="70"/>
      <c r="DH39" s="70"/>
      <c r="DI39" s="70"/>
      <c r="DJ39" s="70"/>
      <c r="DK39" s="70"/>
      <c r="DL39" s="70"/>
      <c r="DM39" s="70"/>
      <c r="DN39" s="70"/>
      <c r="DO39" s="70"/>
      <c r="DP39" s="70"/>
      <c r="DQ39" s="70"/>
      <c r="DR39" s="70"/>
      <c r="DS39" s="70"/>
      <c r="DT39" s="70"/>
      <c r="DU39" s="70"/>
      <c r="DV39" s="70"/>
    </row>
    <row r="40" spans="1:126" x14ac:dyDescent="0.3">
      <c r="A40" s="79" t="str">
        <f>'4. Design Tracking Summary'!A41</f>
        <v>AM00230</v>
      </c>
      <c r="B40" s="79" t="str">
        <f>'4. Design Tracking Summary'!B41</f>
        <v>North</v>
      </c>
      <c r="C40" s="79" t="str">
        <f>'4. Design Tracking Summary'!C41</f>
        <v>MTY</v>
      </c>
      <c r="D40" s="79" t="str">
        <f>'4. Design Tracking Summary'!D41</f>
        <v>MINI</v>
      </c>
      <c r="E40" s="79" t="s">
        <v>57</v>
      </c>
      <c r="F40" s="79"/>
      <c r="G40" s="60" t="str">
        <f>IFERROR(INDEX(Table_SiteMilestonesNames[SiteMilestoneName],COUNTA(Table_SiteMilestoneTracking[[#This Row],[SiteDesignStarted_AC]],Table_SiteMilestoneTracking[[#This Row],[SiteDesignReady_AC]],Table_SiteMilestoneTracking[[#This Row],[SiteSurveyCompleted_AC]],Table_SiteMilestoneTracking[[#This Row],[SiteAcquired_AC]],Table_SiteMilestoneTracking[[#This Row],[SiteReadyForCW_AC]],Table_SiteMilestoneTracking[[#This Row],[SiteReadyForPower_AC]],Table_SiteMilestoneTracking[[#This Row],[TXReady_AC]],Table_SiteMilestoneTracking[[#This Row],[SiteReadyForInstallation_AC]],Table_SiteMilestoneTracking[[#This Row],[SiteReadyForIntegration_AC]],Table_SiteMilestoneTracking[[#This Row],[SiteOnAir_AC]],Table_SiteMilestoneTracking[[#This Row],[SiteAccepted_AC]],Table_SiteMilestoneTracking[[#This Row],[SiteInOperations_AC]])+1),"Invalid Milestone")</f>
        <v>SiteReadyForIntegration</v>
      </c>
      <c r="H40" s="61">
        <f>Table_SiteMilestoneTracking[[#This Row],[c0_SiteDesignCostBL]]+Table_SiteMilestoneTracking[[#This Row],[c1_SiteSurveyCostBL]]+Table_SiteMilestoneTracking[[#This Row],[c2_SiteAcquisitionCostBL]]+Table_SiteMilestoneTracking[[#This Row],[c3_CivilWorksCostBL]]+Table_SiteMilestoneTracking[[#This Row],[c4_PowerInstallCostBL]]+Table_SiteMilestoneTracking[[#This Row],[c5_TxintegrationCostBL]]+Table_SiteMilestoneTracking[[#This Row],[c6_InstallationCostBL]]+Table_SiteMilestoneTracking[[#This Row],[c7_IntegrationCostBL]]+Table_SiteMilestoneTracking[[#This Row],[c8_AcceptanceCostBL]]+Table_SiteMilestoneTracking[[#This Row],[c9_HandoverCostBL]]</f>
        <v>7550</v>
      </c>
      <c r="I40" s="62">
        <f>Table_SiteMilestoneTracking[[#This Row],[c0_SiteDesignCostAC]]+Table_SiteMilestoneTracking[[#This Row],[c1_SiteSurveyCostAC]]+Table_SiteMilestoneTracking[[#This Row],[c2_SiteAcquisitionCostAC]]+Table_SiteMilestoneTracking[[#This Row],[c3_CivilWorksCostAC]]+Table_SiteMilestoneTracking[[#This Row],[c4_PowerInstallCostAC]]+Table_SiteMilestoneTracking[[#This Row],[c5_TxintegrationCostAC]]+Table_SiteMilestoneTracking[[#This Row],[c6_InstallationCostAC]]+Table_SiteMilestoneTracking[[#This Row],[c7_IntegrationCostAC]]+Table_SiteMilestoneTracking[[#This Row],[c8_AcceptanceCostAC]]+Table_SiteMilestoneTracking[[#This Row],[c9_HandoverCostAC]]</f>
        <v>6795</v>
      </c>
      <c r="J40" s="84">
        <v>44001</v>
      </c>
      <c r="K40" s="84">
        <v>44003</v>
      </c>
      <c r="L40" s="64">
        <f>IF(ISBLANK(Table_SiteMilestoneTracking[[#This Row],[SiteDesignStarted_AC]])=FALSE,Table_SiteMilestoneTracking[[#This Row],[SiteDesignStarted_AC]]-Table_SiteMilestoneTracking[[#This Row],[SiteDesignStarted_BL]],"")</f>
        <v>2</v>
      </c>
      <c r="M40" s="64">
        <f t="shared" si="6"/>
        <v>500</v>
      </c>
      <c r="N40" s="87">
        <v>500</v>
      </c>
      <c r="O40" s="63">
        <f>Table_SiteMilestoneTracking[[#This Row],[SiteDesignStarted_BL]]+t0_SiteDesignDelayBL</f>
        <v>44003</v>
      </c>
      <c r="P40" s="84">
        <v>44007</v>
      </c>
      <c r="Q40" s="64">
        <f>IF(ISBLANK(Table_SiteMilestoneTracking[[#This Row],[SiteDesignReady_AC]])=FALSE,Table_SiteMilestoneTracking[[#This Row],[SiteDesignReady_AC]]-Table_SiteMilestoneTracking[[#This Row],[SiteDesignReady_BL]],"-")</f>
        <v>4</v>
      </c>
      <c r="R40" s="64">
        <f t="shared" si="5"/>
        <v>500</v>
      </c>
      <c r="S40" s="82">
        <v>475</v>
      </c>
      <c r="T40" s="63">
        <f>Table_SiteMilestoneTracking[[#This Row],[SiteDesignReady_BL]]+t1_SiteSurveyBL</f>
        <v>44005</v>
      </c>
      <c r="U40" s="84">
        <v>44009</v>
      </c>
      <c r="V40" s="64">
        <f>IF(ISBLANK(Table_SiteMilestoneTracking[[#This Row],[SiteSurveyCompleted_AC]])=FALSE,Table_SiteMilestoneTracking[[#This Row],[SiteSurveyCompleted_AC]]-Table_SiteMilestoneTracking[[#This Row],[SiteDesignReady_AC]],"-")</f>
        <v>2</v>
      </c>
      <c r="W40" s="64">
        <f t="shared" si="7"/>
        <v>600</v>
      </c>
      <c r="X40" s="82">
        <v>720</v>
      </c>
      <c r="Y40" s="63">
        <f>Table_SiteMilestoneTracking[[#This Row],[SiteSurveyCompleted_BL]]+t2_SiteAcquisitionBL</f>
        <v>44016</v>
      </c>
      <c r="Z40" s="84">
        <v>44020</v>
      </c>
      <c r="AA40" s="65">
        <f>IF(ISBLANK(Table_SiteMilestoneTracking[[#This Row],[SiteAcquired_AC]])=FALSE,Table_SiteMilestoneTracking[[#This Row],[SiteAcquired_AC]]-Table_SiteMilestoneTracking[[#This Row],[SiteAcquired_BL]],"-")</f>
        <v>4</v>
      </c>
      <c r="AB40" s="65">
        <f>IF(ISBLANK(Table_SiteMilestoneTracking[[#This Row],[SiteAcquired_AC]])=FALSE,Table_SiteMilestoneTracking[[#This Row],[SiteAcquired_AC]]-Table_SiteMilestoneTracking[[#This Row],[SiteSurveyCompleted_AC]],"-")</f>
        <v>11</v>
      </c>
      <c r="AC40" s="64">
        <f t="shared" si="8"/>
        <v>150</v>
      </c>
      <c r="AD40" s="82">
        <v>165</v>
      </c>
      <c r="AE40" s="63">
        <f>Table_SiteMilestoneTracking[[#This Row],[SiteAcquired_BL]]+t2a_SiteCWReadinessBL</f>
        <v>44018</v>
      </c>
      <c r="AF40" s="85">
        <v>44023</v>
      </c>
      <c r="AG40" s="66">
        <f>IF(ISBLANK(Table_SiteMilestoneTracking[[#This Row],[SiteReadyForCW_AC]])=FALSE,Table_SiteMilestoneTracking[[#This Row],[SiteReadyForCW_AC]]-Table_SiteMilestoneTracking[[#This Row],[SiteReadyForCW_BL]],"-")</f>
        <v>5</v>
      </c>
      <c r="AH40" s="66">
        <f>IF(ISBLANK(Table_SiteMilestoneTracking[[#This Row],[SiteReadyForCW_AC]])=FALSE,Table_SiteMilestoneTracking[[#This Row],[SiteReadyForCW_AC]]-Table_SiteMilestoneTracking[[#This Row],[SiteDesignReady_AC]],"-")</f>
        <v>16</v>
      </c>
      <c r="AI40" s="64">
        <f t="shared" si="9"/>
        <v>1500</v>
      </c>
      <c r="AJ40" s="82">
        <v>1800</v>
      </c>
      <c r="AK40" s="63">
        <f>Table_SiteMilestoneTracking[[#This Row],[SiteReadyForCW_BL]]+t3_CivilWorksBL</f>
        <v>44026</v>
      </c>
      <c r="AL40" s="84">
        <v>44031</v>
      </c>
      <c r="AM40" s="64">
        <f>IF(ISBLANK(Table_SiteMilestoneTracking[[#This Row],[SiteReadyForPower_AC]])=FALSE,Table_SiteMilestoneTracking[[#This Row],[SiteReadyForPower_AC]]-Table_SiteMilestoneTracking[[#This Row],[SiteReadyForPower_BL]],"-")</f>
        <v>5</v>
      </c>
      <c r="AN40" s="64">
        <f>IF(ISBLANK(Table_SiteMilestoneTracking[[#This Row],[SiteReadyForPower_AC]])=FALSE,Table_SiteMilestoneTracking[[#This Row],[SiteReadyForPower_AC]]-Table_SiteMilestoneTracking[[#This Row],[SiteReadyForCW_AC]],"-")</f>
        <v>8</v>
      </c>
      <c r="AO40" s="64">
        <f t="shared" si="10"/>
        <v>500</v>
      </c>
      <c r="AP40" s="82">
        <v>400</v>
      </c>
      <c r="AQ40" s="63">
        <f>Table_SiteMilestoneTracking[[#This Row],[SiteReadyForPower_BL]]+t4_PowerInstallBL</f>
        <v>44031</v>
      </c>
      <c r="AR40" s="84">
        <v>44037</v>
      </c>
      <c r="AS40" s="64">
        <f>IF(ISBLANK(Table_SiteMilestoneTracking[[#This Row],[TXReady_AC]])=FALSE,Table_SiteMilestoneTracking[[#This Row],[TXReady_AC]]-Table_SiteMilestoneTracking[[#This Row],[TXReady_BL]],"-")</f>
        <v>6</v>
      </c>
      <c r="AT40" s="64">
        <f>IF(ISBLANK(Table_SiteMilestoneTracking[[#This Row],[TXReady_AC]])=FALSE,Table_SiteMilestoneTracking[[#This Row],[TXReady_AC]]-Table_SiteMilestoneTracking[[#This Row],[SiteReadyForPower_AC]],"-")</f>
        <v>6</v>
      </c>
      <c r="AU40" s="64">
        <f>$AU$2</f>
        <v>500</v>
      </c>
      <c r="AV40" s="82">
        <v>450</v>
      </c>
      <c r="AW40" s="63">
        <f>Table_SiteMilestoneTracking[[#This Row],[TXReady_BL]]+t5_TxintegrationBL</f>
        <v>44038</v>
      </c>
      <c r="AX40" s="84">
        <v>44044</v>
      </c>
      <c r="AY40" s="64">
        <f>IF(ISBLANK(Table_SiteMilestoneTracking[[#This Row],[SiteReadyForInstallation_AC]])=FALSE,Table_SiteMilestoneTracking[[#This Row],[SiteReadyForInstallation_AC]]-Table_SiteMilestoneTracking[[#This Row],[SiteReadyForInstallation_BL]],"-")</f>
        <v>6</v>
      </c>
      <c r="AZ40" s="64">
        <f>IF(ISBLANK(Table_SiteMilestoneTracking[[#This Row],[SiteReadyForInstallation_AC]])=FALSE,Table_SiteMilestoneTracking[[#This Row],[SiteReadyForInstallation_AC]]-Table_SiteMilestoneTracking[[#This Row],[TXReady_AC]],"-")</f>
        <v>7</v>
      </c>
      <c r="BA40" s="64">
        <f>$BA$2</f>
        <v>2500</v>
      </c>
      <c r="BB40" s="82">
        <v>2450.0000000000005</v>
      </c>
      <c r="BC40" s="63">
        <f>Table_SiteMilestoneTracking[[#This Row],[SiteReadyForInstallation_BL]]+t6_InstallationBL</f>
        <v>44042</v>
      </c>
      <c r="BD40" s="84">
        <v>44048</v>
      </c>
      <c r="BE40" s="64">
        <f>IF(ISBLANK(Table_SiteMilestoneTracking[[#This Row],[SiteReadyForIntegration_AC]])=FALSE,Table_SiteMilestoneTracking[[#This Row],[SiteReadyForIntegration_AC]]-Table_SiteMilestoneTracking[[#This Row],[SiteReadyForIntegration_BL]],"-")</f>
        <v>6</v>
      </c>
      <c r="BF40" s="64">
        <f>IF(ISBLANK(Table_SiteMilestoneTracking[[#This Row],[SiteReadyForIntegration_AC]])=FALSE,Table_SiteMilestoneTracking[[#This Row],[SiteReadyForIntegration_AC]]-Table_SiteMilestoneTracking[[#This Row],[SiteReadyForInstallation_AC]],"-")</f>
        <v>4</v>
      </c>
      <c r="BG40" s="64">
        <f>$BG$2</f>
        <v>500</v>
      </c>
      <c r="BH40" s="82"/>
      <c r="BI40" s="63">
        <f>Table_SiteMilestoneTracking[[#This Row],[SiteReadyForIntegration_BL]]+t7_IntegrationBL</f>
        <v>44046</v>
      </c>
      <c r="BJ40" s="84"/>
      <c r="BK40" s="64" t="str">
        <f>IF(ISBLANK(Table_SiteMilestoneTracking[[#This Row],[SiteOnAir_AC]])=FALSE,Table_SiteMilestoneTracking[[#This Row],[SiteOnAir_AC]]-Table_SiteMilestoneTracking[[#This Row],[SiteOnAir_BL]],"-")</f>
        <v>-</v>
      </c>
      <c r="BL40" s="64" t="str">
        <f>IF(ISBLANK(Table_SiteMilestoneTracking[[#This Row],[SiteOnAir_AC]])=FALSE,Table_SiteMilestoneTracking[[#This Row],[SiteOnAir_AC]]-Table_SiteMilestoneTracking[[#This Row],[SiteReadyForIntegration_AC]],"-")</f>
        <v>-</v>
      </c>
      <c r="BM40" s="64">
        <f>$BM$2</f>
        <v>250</v>
      </c>
      <c r="BN40" s="82"/>
      <c r="BO40" s="63">
        <f>Table_SiteMilestoneTracking[[#This Row],[SiteOnAir_BL]]+t8_AcceptanceBL</f>
        <v>44050</v>
      </c>
      <c r="BP40" s="84"/>
      <c r="BQ40" s="64" t="str">
        <f>IF(ISBLANK(Table_SiteMilestoneTracking[[#This Row],[SiteAccepted_AC]])=FALSE,Table_SiteMilestoneTracking[[#This Row],[SiteAccepted_AC]]-Table_SiteMilestoneTracking[[#This Row],[SiteAccepted_BL]],"-")</f>
        <v>-</v>
      </c>
      <c r="BR40" s="64" t="str">
        <f>IF(ISBLANK(Table_SiteMilestoneTracking[[#This Row],[SiteAccepted_AC]])=FALSE,Table_SiteMilestoneTracking[[#This Row],[SiteAccepted_AC]]-Table_SiteMilestoneTracking[[#This Row],[SiteOnAir_AC]],"-")</f>
        <v>-</v>
      </c>
      <c r="BS40" s="64">
        <f>$BS$2</f>
        <v>200</v>
      </c>
      <c r="BT40" s="82"/>
      <c r="BU40" s="63">
        <f>Table_SiteMilestoneTracking[[#This Row],[SiteAccepted_BL]]+t9_HandoverBL</f>
        <v>44058</v>
      </c>
      <c r="BV40" s="84"/>
      <c r="BW40" s="64" t="str">
        <f>IF(ISBLANK(Table_SiteMilestoneTracking[[#This Row],[SiteInOperations_AC]])=FALSE,Table_SiteMilestoneTracking[[#This Row],[SiteInOperations_AC]]-Table_SiteMilestoneTracking[[#This Row],[SiteInOperations_BL]],"-")</f>
        <v>-</v>
      </c>
      <c r="BX40" s="66">
        <f>Table_SiteMilestoneTracking[[#This Row],[SiteInOperations_BL]]-Table_SiteMilestoneTracking[[#This Row],[SiteDesignReady_BL]]</f>
        <v>55</v>
      </c>
      <c r="BY40" s="66" t="str">
        <f>IF(Table_SiteMilestoneTracking[[#This Row],[CurrentSiteMilestone]]="SiteInOperations",Table_SiteMilestoneTracking[[#This Row],[SiteInOperations_AC]]-Table_SiteMilestoneTracking[[#This Row],[SiteDesignReady_AC]],"")</f>
        <v/>
      </c>
      <c r="BZ40" s="66" t="str">
        <f>IFERROR(Table_SiteMilestoneTracking[[#This Row],[E2E_Site_AC]]-Table_SiteMilestoneTracking[[#This Row],[E2E_Site_BL]],"")</f>
        <v/>
      </c>
      <c r="CA40" s="66" t="str">
        <f>IF(Table_SiteMilestoneTracking[[#This Row],[CurrentSiteMilestone]]="SiteInOperations",Table_SiteMilestoneTracking[[#This Row],[SiteInOperations_AC]]-Table_SiteMilestoneTracking[[#This Row],[SiteAccepted_AC]],"")</f>
        <v/>
      </c>
      <c r="CB40" s="79"/>
      <c r="CC40" s="89"/>
      <c r="CD40" s="89"/>
      <c r="CE40" s="70"/>
      <c r="CF40" s="70"/>
      <c r="CG40" s="70"/>
      <c r="CH40" s="70"/>
      <c r="CI40" s="70"/>
      <c r="CJ40" s="70"/>
      <c r="CK40" s="70"/>
      <c r="CL40" s="70"/>
      <c r="CM40" s="70"/>
      <c r="CN40" s="70"/>
      <c r="CO40" s="70"/>
      <c r="CP40" s="70"/>
      <c r="CQ40" s="70"/>
      <c r="CR40" s="70"/>
      <c r="CS40" s="70"/>
      <c r="CT40" s="70"/>
      <c r="CU40" s="70"/>
      <c r="CV40" s="70"/>
      <c r="CW40" s="70"/>
      <c r="CX40" s="70"/>
      <c r="CY40" s="70"/>
      <c r="CZ40" s="70"/>
      <c r="DA40" s="70"/>
      <c r="DB40" s="70"/>
      <c r="DC40" s="70"/>
      <c r="DD40" s="70"/>
      <c r="DE40" s="70"/>
      <c r="DF40" s="70"/>
      <c r="DG40" s="70"/>
      <c r="DH40" s="70"/>
      <c r="DI40" s="70"/>
      <c r="DJ40" s="70"/>
      <c r="DK40" s="70"/>
      <c r="DL40" s="70"/>
      <c r="DM40" s="70"/>
      <c r="DN40" s="70"/>
      <c r="DO40" s="70"/>
      <c r="DP40" s="70"/>
      <c r="DQ40" s="70"/>
      <c r="DR40" s="70"/>
      <c r="DS40" s="70"/>
      <c r="DT40" s="70"/>
      <c r="DU40" s="70"/>
      <c r="DV40" s="70"/>
    </row>
    <row r="41" spans="1:126" x14ac:dyDescent="0.3">
      <c r="A41" s="79" t="str">
        <f>'4. Design Tracking Summary'!A42</f>
        <v>AY00031</v>
      </c>
      <c r="B41" s="79" t="str">
        <f>'4. Design Tracking Summary'!B42</f>
        <v>North</v>
      </c>
      <c r="C41" s="79" t="str">
        <f>'4. Design Tracking Summary'!C42</f>
        <v>ZAC</v>
      </c>
      <c r="D41" s="79" t="str">
        <f>'4. Design Tracking Summary'!D42</f>
        <v>SMALL</v>
      </c>
      <c r="E41" s="79" t="s">
        <v>58</v>
      </c>
      <c r="F41" s="79"/>
      <c r="G41" s="60" t="str">
        <f>IFERROR(INDEX(Table_SiteMilestonesNames[SiteMilestoneName],COUNTA(Table_SiteMilestoneTracking[[#This Row],[SiteDesignStarted_AC]],Table_SiteMilestoneTracking[[#This Row],[SiteDesignReady_AC]],Table_SiteMilestoneTracking[[#This Row],[SiteSurveyCompleted_AC]],Table_SiteMilestoneTracking[[#This Row],[SiteAcquired_AC]],Table_SiteMilestoneTracking[[#This Row],[SiteReadyForCW_AC]],Table_SiteMilestoneTracking[[#This Row],[SiteReadyForPower_AC]],Table_SiteMilestoneTracking[[#This Row],[TXReady_AC]],Table_SiteMilestoneTracking[[#This Row],[SiteReadyForInstallation_AC]],Table_SiteMilestoneTracking[[#This Row],[SiteReadyForIntegration_AC]],Table_SiteMilestoneTracking[[#This Row],[SiteOnAir_AC]],Table_SiteMilestoneTracking[[#This Row],[SiteAccepted_AC]],Table_SiteMilestoneTracking[[#This Row],[SiteInOperations_AC]])+1),"Invalid Milestone")</f>
        <v>SiteReadyForIntegration</v>
      </c>
      <c r="H41" s="61">
        <f>Table_SiteMilestoneTracking[[#This Row],[c0_SiteDesignCostBL]]+Table_SiteMilestoneTracking[[#This Row],[c1_SiteSurveyCostBL]]+Table_SiteMilestoneTracking[[#This Row],[c2_SiteAcquisitionCostBL]]+Table_SiteMilestoneTracking[[#This Row],[c3_CivilWorksCostBL]]+Table_SiteMilestoneTracking[[#This Row],[c4_PowerInstallCostBL]]+Table_SiteMilestoneTracking[[#This Row],[c5_TxintegrationCostBL]]+Table_SiteMilestoneTracking[[#This Row],[c6_InstallationCostBL]]+Table_SiteMilestoneTracking[[#This Row],[c7_IntegrationCostBL]]+Table_SiteMilestoneTracking[[#This Row],[c8_AcceptanceCostBL]]+Table_SiteMilestoneTracking[[#This Row],[c9_HandoverCostBL]]</f>
        <v>7550</v>
      </c>
      <c r="I41" s="62">
        <f>Table_SiteMilestoneTracking[[#This Row],[c0_SiteDesignCostAC]]+Table_SiteMilestoneTracking[[#This Row],[c1_SiteSurveyCostAC]]+Table_SiteMilestoneTracking[[#This Row],[c2_SiteAcquisitionCostAC]]+Table_SiteMilestoneTracking[[#This Row],[c3_CivilWorksCostAC]]+Table_SiteMilestoneTracking[[#This Row],[c4_PowerInstallCostAC]]+Table_SiteMilestoneTracking[[#This Row],[c5_TxintegrationCostAC]]+Table_SiteMilestoneTracking[[#This Row],[c6_InstallationCostAC]]+Table_SiteMilestoneTracking[[#This Row],[c7_IntegrationCostAC]]+Table_SiteMilestoneTracking[[#This Row],[c8_AcceptanceCostAC]]+Table_SiteMilestoneTracking[[#This Row],[c9_HandoverCostAC]]</f>
        <v>5845</v>
      </c>
      <c r="J41" s="84">
        <v>44001</v>
      </c>
      <c r="K41" s="84">
        <v>44003</v>
      </c>
      <c r="L41" s="64">
        <f>IF(ISBLANK(Table_SiteMilestoneTracking[[#This Row],[SiteDesignStarted_AC]])=FALSE,Table_SiteMilestoneTracking[[#This Row],[SiteDesignStarted_AC]]-Table_SiteMilestoneTracking[[#This Row],[SiteDesignStarted_BL]],"")</f>
        <v>2</v>
      </c>
      <c r="M41" s="64">
        <f t="shared" si="6"/>
        <v>500</v>
      </c>
      <c r="N41" s="87">
        <v>500</v>
      </c>
      <c r="O41" s="63">
        <f>Table_SiteMilestoneTracking[[#This Row],[SiteDesignStarted_BL]]+t0_SiteDesignDelayBL</f>
        <v>44003</v>
      </c>
      <c r="P41" s="84">
        <v>44005</v>
      </c>
      <c r="Q41" s="64">
        <f>IF(ISBLANK(Table_SiteMilestoneTracking[[#This Row],[SiteDesignReady_AC]])=FALSE,Table_SiteMilestoneTracking[[#This Row],[SiteDesignReady_AC]]-Table_SiteMilestoneTracking[[#This Row],[SiteDesignReady_BL]],"-")</f>
        <v>2</v>
      </c>
      <c r="R41" s="64">
        <f t="shared" si="5"/>
        <v>500</v>
      </c>
      <c r="S41" s="82">
        <v>525</v>
      </c>
      <c r="T41" s="63">
        <f>Table_SiteMilestoneTracking[[#This Row],[SiteDesignReady_BL]]+t1_SiteSurveyBL</f>
        <v>44005</v>
      </c>
      <c r="U41" s="84">
        <v>44008</v>
      </c>
      <c r="V41" s="64">
        <f>IF(ISBLANK(Table_SiteMilestoneTracking[[#This Row],[SiteSurveyCompleted_AC]])=FALSE,Table_SiteMilestoneTracking[[#This Row],[SiteSurveyCompleted_AC]]-Table_SiteMilestoneTracking[[#This Row],[SiteDesignReady_AC]],"-")</f>
        <v>3</v>
      </c>
      <c r="W41" s="64">
        <f t="shared" si="7"/>
        <v>600</v>
      </c>
      <c r="X41" s="82">
        <v>420</v>
      </c>
      <c r="Y41" s="63">
        <f>Table_SiteMilestoneTracking[[#This Row],[SiteSurveyCompleted_BL]]+t2_SiteAcquisitionBL</f>
        <v>44016</v>
      </c>
      <c r="Z41" s="84">
        <v>44020</v>
      </c>
      <c r="AA41" s="65">
        <f>IF(ISBLANK(Table_SiteMilestoneTracking[[#This Row],[SiteAcquired_AC]])=FALSE,Table_SiteMilestoneTracking[[#This Row],[SiteAcquired_AC]]-Table_SiteMilestoneTracking[[#This Row],[SiteAcquired_BL]],"-")</f>
        <v>4</v>
      </c>
      <c r="AB41" s="65">
        <f>IF(ISBLANK(Table_SiteMilestoneTracking[[#This Row],[SiteAcquired_AC]])=FALSE,Table_SiteMilestoneTracking[[#This Row],[SiteAcquired_AC]]-Table_SiteMilestoneTracking[[#This Row],[SiteSurveyCompleted_AC]],"-")</f>
        <v>12</v>
      </c>
      <c r="AC41" s="64">
        <f t="shared" si="8"/>
        <v>150</v>
      </c>
      <c r="AD41" s="82">
        <v>135</v>
      </c>
      <c r="AE41" s="63">
        <f>Table_SiteMilestoneTracking[[#This Row],[SiteAcquired_BL]]+t2a_SiteCWReadinessBL</f>
        <v>44018</v>
      </c>
      <c r="AF41" s="85">
        <v>44022</v>
      </c>
      <c r="AG41" s="66">
        <f>IF(ISBLANK(Table_SiteMilestoneTracking[[#This Row],[SiteReadyForCW_AC]])=FALSE,Table_SiteMilestoneTracking[[#This Row],[SiteReadyForCW_AC]]-Table_SiteMilestoneTracking[[#This Row],[SiteReadyForCW_BL]],"-")</f>
        <v>4</v>
      </c>
      <c r="AH41" s="66">
        <f>IF(ISBLANK(Table_SiteMilestoneTracking[[#This Row],[SiteReadyForCW_AC]])=FALSE,Table_SiteMilestoneTracking[[#This Row],[SiteReadyForCW_AC]]-Table_SiteMilestoneTracking[[#This Row],[SiteDesignReady_AC]],"-")</f>
        <v>17</v>
      </c>
      <c r="AI41" s="64">
        <f t="shared" si="9"/>
        <v>1500</v>
      </c>
      <c r="AJ41" s="82">
        <v>1050</v>
      </c>
      <c r="AK41" s="63">
        <f>Table_SiteMilestoneTracking[[#This Row],[SiteReadyForCW_BL]]+t3_CivilWorksBL</f>
        <v>44026</v>
      </c>
      <c r="AL41" s="84">
        <v>44031</v>
      </c>
      <c r="AM41" s="64">
        <f>IF(ISBLANK(Table_SiteMilestoneTracking[[#This Row],[SiteReadyForPower_AC]])=FALSE,Table_SiteMilestoneTracking[[#This Row],[SiteReadyForPower_AC]]-Table_SiteMilestoneTracking[[#This Row],[SiteReadyForPower_BL]],"-")</f>
        <v>5</v>
      </c>
      <c r="AN41" s="64">
        <f>IF(ISBLANK(Table_SiteMilestoneTracking[[#This Row],[SiteReadyForPower_AC]])=FALSE,Table_SiteMilestoneTracking[[#This Row],[SiteReadyForPower_AC]]-Table_SiteMilestoneTracking[[#This Row],[SiteReadyForCW_AC]],"-")</f>
        <v>9</v>
      </c>
      <c r="AO41" s="64">
        <f t="shared" si="10"/>
        <v>500</v>
      </c>
      <c r="AP41" s="82">
        <v>700</v>
      </c>
      <c r="AQ41" s="63">
        <f>Table_SiteMilestoneTracking[[#This Row],[SiteReadyForPower_BL]]+t4_PowerInstallBL</f>
        <v>44031</v>
      </c>
      <c r="AR41" s="84">
        <v>44037</v>
      </c>
      <c r="AS41" s="64">
        <f>IF(ISBLANK(Table_SiteMilestoneTracking[[#This Row],[TXReady_AC]])=FALSE,Table_SiteMilestoneTracking[[#This Row],[TXReady_AC]]-Table_SiteMilestoneTracking[[#This Row],[TXReady_BL]],"-")</f>
        <v>6</v>
      </c>
      <c r="AT41" s="64">
        <f>IF(ISBLANK(Table_SiteMilestoneTracking[[#This Row],[TXReady_AC]])=FALSE,Table_SiteMilestoneTracking[[#This Row],[TXReady_AC]]-Table_SiteMilestoneTracking[[#This Row],[SiteReadyForPower_AC]],"-")</f>
        <v>6</v>
      </c>
      <c r="AU41" s="64">
        <f>$AU$2</f>
        <v>500</v>
      </c>
      <c r="AV41" s="82">
        <v>600</v>
      </c>
      <c r="AW41" s="63">
        <f>Table_SiteMilestoneTracking[[#This Row],[TXReady_BL]]+t5_TxintegrationBL</f>
        <v>44038</v>
      </c>
      <c r="AX41" s="84">
        <v>44045</v>
      </c>
      <c r="AY41" s="64">
        <f>IF(ISBLANK(Table_SiteMilestoneTracking[[#This Row],[SiteReadyForInstallation_AC]])=FALSE,Table_SiteMilestoneTracking[[#This Row],[SiteReadyForInstallation_AC]]-Table_SiteMilestoneTracking[[#This Row],[SiteReadyForInstallation_BL]],"-")</f>
        <v>7</v>
      </c>
      <c r="AZ41" s="64">
        <f>IF(ISBLANK(Table_SiteMilestoneTracking[[#This Row],[SiteReadyForInstallation_AC]])=FALSE,Table_SiteMilestoneTracking[[#This Row],[SiteReadyForInstallation_AC]]-Table_SiteMilestoneTracking[[#This Row],[TXReady_AC]],"-")</f>
        <v>8</v>
      </c>
      <c r="BA41" s="64">
        <f>$BA$2</f>
        <v>2500</v>
      </c>
      <c r="BB41" s="82">
        <v>2050</v>
      </c>
      <c r="BC41" s="63">
        <f>Table_SiteMilestoneTracking[[#This Row],[SiteReadyForInstallation_BL]]+t6_InstallationBL</f>
        <v>44042</v>
      </c>
      <c r="BD41" s="84">
        <v>44050</v>
      </c>
      <c r="BE41" s="64">
        <f>IF(ISBLANK(Table_SiteMilestoneTracking[[#This Row],[SiteReadyForIntegration_AC]])=FALSE,Table_SiteMilestoneTracking[[#This Row],[SiteReadyForIntegration_AC]]-Table_SiteMilestoneTracking[[#This Row],[SiteReadyForIntegration_BL]],"-")</f>
        <v>8</v>
      </c>
      <c r="BF41" s="64">
        <f>IF(ISBLANK(Table_SiteMilestoneTracking[[#This Row],[SiteReadyForIntegration_AC]])=FALSE,Table_SiteMilestoneTracking[[#This Row],[SiteReadyForIntegration_AC]]-Table_SiteMilestoneTracking[[#This Row],[SiteReadyForInstallation_AC]],"-")</f>
        <v>5</v>
      </c>
      <c r="BG41" s="64">
        <f>$BG$2</f>
        <v>500</v>
      </c>
      <c r="BH41" s="82"/>
      <c r="BI41" s="63">
        <f>Table_SiteMilestoneTracking[[#This Row],[SiteReadyForIntegration_BL]]+t7_IntegrationBL</f>
        <v>44046</v>
      </c>
      <c r="BJ41" s="84"/>
      <c r="BK41" s="64" t="str">
        <f>IF(ISBLANK(Table_SiteMilestoneTracking[[#This Row],[SiteOnAir_AC]])=FALSE,Table_SiteMilestoneTracking[[#This Row],[SiteOnAir_AC]]-Table_SiteMilestoneTracking[[#This Row],[SiteOnAir_BL]],"-")</f>
        <v>-</v>
      </c>
      <c r="BL41" s="64" t="str">
        <f>IF(ISBLANK(Table_SiteMilestoneTracking[[#This Row],[SiteOnAir_AC]])=FALSE,Table_SiteMilestoneTracking[[#This Row],[SiteOnAir_AC]]-Table_SiteMilestoneTracking[[#This Row],[SiteReadyForIntegration_AC]],"-")</f>
        <v>-</v>
      </c>
      <c r="BM41" s="64">
        <f>$BM$2</f>
        <v>250</v>
      </c>
      <c r="BN41" s="82"/>
      <c r="BO41" s="63">
        <f>Table_SiteMilestoneTracking[[#This Row],[SiteOnAir_BL]]+t8_AcceptanceBL</f>
        <v>44050</v>
      </c>
      <c r="BP41" s="84"/>
      <c r="BQ41" s="64" t="str">
        <f>IF(ISBLANK(Table_SiteMilestoneTracking[[#This Row],[SiteAccepted_AC]])=FALSE,Table_SiteMilestoneTracking[[#This Row],[SiteAccepted_AC]]-Table_SiteMilestoneTracking[[#This Row],[SiteAccepted_BL]],"-")</f>
        <v>-</v>
      </c>
      <c r="BR41" s="64" t="str">
        <f>IF(ISBLANK(Table_SiteMilestoneTracking[[#This Row],[SiteAccepted_AC]])=FALSE,Table_SiteMilestoneTracking[[#This Row],[SiteAccepted_AC]]-Table_SiteMilestoneTracking[[#This Row],[SiteOnAir_AC]],"-")</f>
        <v>-</v>
      </c>
      <c r="BS41" s="64">
        <f>$BS$2</f>
        <v>200</v>
      </c>
      <c r="BT41" s="82"/>
      <c r="BU41" s="63">
        <f>Table_SiteMilestoneTracking[[#This Row],[SiteAccepted_BL]]+t9_HandoverBL</f>
        <v>44058</v>
      </c>
      <c r="BV41" s="84"/>
      <c r="BW41" s="64" t="str">
        <f>IF(ISBLANK(Table_SiteMilestoneTracking[[#This Row],[SiteInOperations_AC]])=FALSE,Table_SiteMilestoneTracking[[#This Row],[SiteInOperations_AC]]-Table_SiteMilestoneTracking[[#This Row],[SiteInOperations_BL]],"-")</f>
        <v>-</v>
      </c>
      <c r="BX41" s="66">
        <f>Table_SiteMilestoneTracking[[#This Row],[SiteInOperations_BL]]-Table_SiteMilestoneTracking[[#This Row],[SiteDesignReady_BL]]</f>
        <v>55</v>
      </c>
      <c r="BY41" s="66" t="str">
        <f>IF(Table_SiteMilestoneTracking[[#This Row],[CurrentSiteMilestone]]="SiteInOperations",Table_SiteMilestoneTracking[[#This Row],[SiteInOperations_AC]]-Table_SiteMilestoneTracking[[#This Row],[SiteDesignReady_AC]],"")</f>
        <v/>
      </c>
      <c r="BZ41" s="66" t="str">
        <f>IFERROR(Table_SiteMilestoneTracking[[#This Row],[E2E_Site_AC]]-Table_SiteMilestoneTracking[[#This Row],[E2E_Site_BL]],"")</f>
        <v/>
      </c>
      <c r="CA41" s="66" t="str">
        <f>IF(Table_SiteMilestoneTracking[[#This Row],[CurrentSiteMilestone]]="SiteInOperations",Table_SiteMilestoneTracking[[#This Row],[SiteInOperations_AC]]-Table_SiteMilestoneTracking[[#This Row],[SiteAccepted_AC]],"")</f>
        <v/>
      </c>
      <c r="CB41" s="79"/>
      <c r="CC41" s="89"/>
      <c r="CD41" s="89"/>
      <c r="CE41" s="70"/>
      <c r="CF41" s="70"/>
      <c r="CG41" s="70"/>
      <c r="CH41" s="70"/>
      <c r="CI41" s="70"/>
      <c r="CJ41" s="70"/>
      <c r="CK41" s="70"/>
      <c r="CL41" s="70"/>
      <c r="CM41" s="70"/>
      <c r="CN41" s="70"/>
      <c r="CO41" s="70"/>
      <c r="CP41" s="70"/>
      <c r="CQ41" s="70"/>
      <c r="CR41" s="70"/>
      <c r="CS41" s="70"/>
      <c r="CT41" s="70"/>
      <c r="CU41" s="70"/>
      <c r="CV41" s="70"/>
      <c r="CW41" s="70"/>
      <c r="CX41" s="70"/>
      <c r="CY41" s="70"/>
      <c r="CZ41" s="70"/>
      <c r="DA41" s="70"/>
      <c r="DB41" s="70"/>
      <c r="DC41" s="70"/>
      <c r="DD41" s="70"/>
      <c r="DE41" s="70"/>
      <c r="DF41" s="70"/>
      <c r="DG41" s="70"/>
      <c r="DH41" s="70"/>
      <c r="DI41" s="70"/>
      <c r="DJ41" s="70"/>
      <c r="DK41" s="70"/>
      <c r="DL41" s="70"/>
      <c r="DM41" s="70"/>
      <c r="DN41" s="70"/>
      <c r="DO41" s="70"/>
      <c r="DP41" s="70"/>
      <c r="DQ41" s="70"/>
      <c r="DR41" s="70"/>
      <c r="DS41" s="70"/>
      <c r="DT41" s="70"/>
      <c r="DU41" s="70"/>
      <c r="DV41" s="70"/>
    </row>
    <row r="42" spans="1:126" x14ac:dyDescent="0.3">
      <c r="A42" s="79" t="str">
        <f>'4. Design Tracking Summary'!A43</f>
        <v>AY00210</v>
      </c>
      <c r="B42" s="79" t="str">
        <f>'4. Design Tracking Summary'!B43</f>
        <v>Center</v>
      </c>
      <c r="C42" s="79" t="str">
        <f>'4. Design Tracking Summary'!C43</f>
        <v>GTO</v>
      </c>
      <c r="D42" s="79" t="str">
        <f>'4. Design Tracking Summary'!D43</f>
        <v>MACRO</v>
      </c>
      <c r="E42" s="79" t="s">
        <v>58</v>
      </c>
      <c r="F42" s="79"/>
      <c r="G42" s="60" t="str">
        <f>IFERROR(INDEX(Table_SiteMilestonesNames[SiteMilestoneName],COUNTA(Table_SiteMilestoneTracking[[#This Row],[SiteDesignStarted_AC]],Table_SiteMilestoneTracking[[#This Row],[SiteDesignReady_AC]],Table_SiteMilestoneTracking[[#This Row],[SiteSurveyCompleted_AC]],Table_SiteMilestoneTracking[[#This Row],[SiteAcquired_AC]],Table_SiteMilestoneTracking[[#This Row],[SiteReadyForCW_AC]],Table_SiteMilestoneTracking[[#This Row],[SiteReadyForPower_AC]],Table_SiteMilestoneTracking[[#This Row],[TXReady_AC]],Table_SiteMilestoneTracking[[#This Row],[SiteReadyForInstallation_AC]],Table_SiteMilestoneTracking[[#This Row],[SiteReadyForIntegration_AC]],Table_SiteMilestoneTracking[[#This Row],[SiteOnAir_AC]],Table_SiteMilestoneTracking[[#This Row],[SiteAccepted_AC]],Table_SiteMilestoneTracking[[#This Row],[SiteInOperations_AC]])+1),"Invalid Milestone")</f>
        <v>SiteReadyForIntegration</v>
      </c>
      <c r="H42" s="61">
        <f>Table_SiteMilestoneTracking[[#This Row],[c0_SiteDesignCostBL]]+Table_SiteMilestoneTracking[[#This Row],[c1_SiteSurveyCostBL]]+Table_SiteMilestoneTracking[[#This Row],[c2_SiteAcquisitionCostBL]]+Table_SiteMilestoneTracking[[#This Row],[c3_CivilWorksCostBL]]+Table_SiteMilestoneTracking[[#This Row],[c4_PowerInstallCostBL]]+Table_SiteMilestoneTracking[[#This Row],[c5_TxintegrationCostBL]]+Table_SiteMilestoneTracking[[#This Row],[c6_InstallationCostBL]]+Table_SiteMilestoneTracking[[#This Row],[c7_IntegrationCostBL]]+Table_SiteMilestoneTracking[[#This Row],[c8_AcceptanceCostBL]]+Table_SiteMilestoneTracking[[#This Row],[c9_HandoverCostBL]]</f>
        <v>7550</v>
      </c>
      <c r="I42" s="62">
        <f>Table_SiteMilestoneTracking[[#This Row],[c0_SiteDesignCostAC]]+Table_SiteMilestoneTracking[[#This Row],[c1_SiteSurveyCostAC]]+Table_SiteMilestoneTracking[[#This Row],[c2_SiteAcquisitionCostAC]]+Table_SiteMilestoneTracking[[#This Row],[c3_CivilWorksCostAC]]+Table_SiteMilestoneTracking[[#This Row],[c4_PowerInstallCostAC]]+Table_SiteMilestoneTracking[[#This Row],[c5_TxintegrationCostAC]]+Table_SiteMilestoneTracking[[#This Row],[c6_InstallationCostAC]]+Table_SiteMilestoneTracking[[#This Row],[c7_IntegrationCostAC]]+Table_SiteMilestoneTracking[[#This Row],[c8_AcceptanceCostAC]]+Table_SiteMilestoneTracking[[#This Row],[c9_HandoverCostAC]]</f>
        <v>6295</v>
      </c>
      <c r="J42" s="84">
        <v>44008</v>
      </c>
      <c r="K42" s="84">
        <v>44009</v>
      </c>
      <c r="L42" s="64">
        <f>IF(ISBLANK(Table_SiteMilestoneTracking[[#This Row],[SiteDesignStarted_AC]])=FALSE,Table_SiteMilestoneTracking[[#This Row],[SiteDesignStarted_AC]]-Table_SiteMilestoneTracking[[#This Row],[SiteDesignStarted_BL]],"")</f>
        <v>1</v>
      </c>
      <c r="M42" s="64">
        <f t="shared" si="6"/>
        <v>500</v>
      </c>
      <c r="N42" s="87">
        <v>580</v>
      </c>
      <c r="O42" s="63">
        <f>Table_SiteMilestoneTracking[[#This Row],[SiteDesignStarted_BL]]+t0_SiteDesignDelayBL</f>
        <v>44010</v>
      </c>
      <c r="P42" s="84">
        <v>44014</v>
      </c>
      <c r="Q42" s="64">
        <f>IF(ISBLANK(Table_SiteMilestoneTracking[[#This Row],[SiteDesignReady_AC]])=FALSE,Table_SiteMilestoneTracking[[#This Row],[SiteDesignReady_AC]]-Table_SiteMilestoneTracking[[#This Row],[SiteDesignReady_BL]],"-")</f>
        <v>4</v>
      </c>
      <c r="R42" s="64">
        <f t="shared" si="5"/>
        <v>500</v>
      </c>
      <c r="S42" s="82">
        <v>375</v>
      </c>
      <c r="T42" s="63">
        <f>Table_SiteMilestoneTracking[[#This Row],[SiteDesignReady_BL]]+t1_SiteSurveyBL</f>
        <v>44012</v>
      </c>
      <c r="U42" s="84">
        <v>44016</v>
      </c>
      <c r="V42" s="64">
        <f>IF(ISBLANK(Table_SiteMilestoneTracking[[#This Row],[SiteSurveyCompleted_AC]])=FALSE,Table_SiteMilestoneTracking[[#This Row],[SiteSurveyCompleted_AC]]-Table_SiteMilestoneTracking[[#This Row],[SiteDesignReady_AC]],"-")</f>
        <v>2</v>
      </c>
      <c r="W42" s="64">
        <f t="shared" si="7"/>
        <v>600</v>
      </c>
      <c r="X42" s="82">
        <v>840</v>
      </c>
      <c r="Y42" s="63">
        <f>Table_SiteMilestoneTracking[[#This Row],[SiteSurveyCompleted_BL]]+t2_SiteAcquisitionBL</f>
        <v>44023</v>
      </c>
      <c r="Z42" s="84">
        <v>44028</v>
      </c>
      <c r="AA42" s="65">
        <f>IF(ISBLANK(Table_SiteMilestoneTracking[[#This Row],[SiteAcquired_AC]])=FALSE,Table_SiteMilestoneTracking[[#This Row],[SiteAcquired_AC]]-Table_SiteMilestoneTracking[[#This Row],[SiteAcquired_BL]],"-")</f>
        <v>5</v>
      </c>
      <c r="AB42" s="65">
        <f>IF(ISBLANK(Table_SiteMilestoneTracking[[#This Row],[SiteAcquired_AC]])=FALSE,Table_SiteMilestoneTracking[[#This Row],[SiteAcquired_AC]]-Table_SiteMilestoneTracking[[#This Row],[SiteSurveyCompleted_AC]],"-")</f>
        <v>12</v>
      </c>
      <c r="AC42" s="64">
        <f t="shared" si="8"/>
        <v>150</v>
      </c>
      <c r="AD42" s="82">
        <v>135</v>
      </c>
      <c r="AE42" s="63">
        <f>Table_SiteMilestoneTracking[[#This Row],[SiteAcquired_BL]]+t2a_SiteCWReadinessBL</f>
        <v>44025</v>
      </c>
      <c r="AF42" s="85">
        <v>44031</v>
      </c>
      <c r="AG42" s="66">
        <f>IF(ISBLANK(Table_SiteMilestoneTracking[[#This Row],[SiteReadyForCW_AC]])=FALSE,Table_SiteMilestoneTracking[[#This Row],[SiteReadyForCW_AC]]-Table_SiteMilestoneTracking[[#This Row],[SiteReadyForCW_BL]],"-")</f>
        <v>6</v>
      </c>
      <c r="AH42" s="66">
        <f>IF(ISBLANK(Table_SiteMilestoneTracking[[#This Row],[SiteReadyForCW_AC]])=FALSE,Table_SiteMilestoneTracking[[#This Row],[SiteReadyForCW_AC]]-Table_SiteMilestoneTracking[[#This Row],[SiteDesignReady_AC]],"-")</f>
        <v>17</v>
      </c>
      <c r="AI42" s="64">
        <f t="shared" si="9"/>
        <v>1500</v>
      </c>
      <c r="AJ42" s="82">
        <v>1650</v>
      </c>
      <c r="AK42" s="63">
        <f>Table_SiteMilestoneTracking[[#This Row],[SiteReadyForCW_BL]]+t3_CivilWorksBL</f>
        <v>44033</v>
      </c>
      <c r="AL42" s="84">
        <v>44039</v>
      </c>
      <c r="AM42" s="64">
        <f>IF(ISBLANK(Table_SiteMilestoneTracking[[#This Row],[SiteReadyForPower_AC]])=FALSE,Table_SiteMilestoneTracking[[#This Row],[SiteReadyForPower_AC]]-Table_SiteMilestoneTracking[[#This Row],[SiteReadyForPower_BL]],"-")</f>
        <v>6</v>
      </c>
      <c r="AN42" s="64">
        <f>IF(ISBLANK(Table_SiteMilestoneTracking[[#This Row],[SiteReadyForPower_AC]])=FALSE,Table_SiteMilestoneTracking[[#This Row],[SiteReadyForPower_AC]]-Table_SiteMilestoneTracking[[#This Row],[SiteReadyForCW_AC]],"-")</f>
        <v>8</v>
      </c>
      <c r="AO42" s="64">
        <f t="shared" si="10"/>
        <v>500</v>
      </c>
      <c r="AP42" s="82">
        <v>350</v>
      </c>
      <c r="AQ42" s="63">
        <f>Table_SiteMilestoneTracking[[#This Row],[SiteReadyForPower_BL]]+t4_PowerInstallBL</f>
        <v>44038</v>
      </c>
      <c r="AR42" s="84">
        <v>44044</v>
      </c>
      <c r="AS42" s="64">
        <f>IF(ISBLANK(Table_SiteMilestoneTracking[[#This Row],[TXReady_AC]])=FALSE,Table_SiteMilestoneTracking[[#This Row],[TXReady_AC]]-Table_SiteMilestoneTracking[[#This Row],[TXReady_BL]],"-")</f>
        <v>6</v>
      </c>
      <c r="AT42" s="64">
        <f>IF(ISBLANK(Table_SiteMilestoneTracking[[#This Row],[TXReady_AC]])=FALSE,Table_SiteMilestoneTracking[[#This Row],[TXReady_AC]]-Table_SiteMilestoneTracking[[#This Row],[SiteReadyForPower_AC]],"-")</f>
        <v>5</v>
      </c>
      <c r="AU42" s="64">
        <f>$AU$2</f>
        <v>500</v>
      </c>
      <c r="AV42" s="82">
        <v>300</v>
      </c>
      <c r="AW42" s="63">
        <f>Table_SiteMilestoneTracking[[#This Row],[TXReady_BL]]+t5_TxintegrationBL</f>
        <v>44045</v>
      </c>
      <c r="AX42" s="84">
        <v>44052</v>
      </c>
      <c r="AY42" s="64">
        <f>IF(ISBLANK(Table_SiteMilestoneTracking[[#This Row],[SiteReadyForInstallation_AC]])=FALSE,Table_SiteMilestoneTracking[[#This Row],[SiteReadyForInstallation_AC]]-Table_SiteMilestoneTracking[[#This Row],[SiteReadyForInstallation_BL]],"-")</f>
        <v>7</v>
      </c>
      <c r="AZ42" s="64">
        <f>IF(ISBLANK(Table_SiteMilestoneTracking[[#This Row],[SiteReadyForInstallation_AC]])=FALSE,Table_SiteMilestoneTracking[[#This Row],[SiteReadyForInstallation_AC]]-Table_SiteMilestoneTracking[[#This Row],[TXReady_AC]],"-")</f>
        <v>8</v>
      </c>
      <c r="BA42" s="64">
        <f>$BA$2</f>
        <v>2500</v>
      </c>
      <c r="BB42" s="82">
        <v>2200.0000000000005</v>
      </c>
      <c r="BC42" s="63">
        <f>Table_SiteMilestoneTracking[[#This Row],[SiteReadyForInstallation_BL]]+t6_InstallationBL</f>
        <v>44049</v>
      </c>
      <c r="BD42" s="84">
        <v>44057</v>
      </c>
      <c r="BE42" s="64">
        <f>IF(ISBLANK(Table_SiteMilestoneTracking[[#This Row],[SiteReadyForIntegration_AC]])=FALSE,Table_SiteMilestoneTracking[[#This Row],[SiteReadyForIntegration_AC]]-Table_SiteMilestoneTracking[[#This Row],[SiteReadyForIntegration_BL]],"-")</f>
        <v>8</v>
      </c>
      <c r="BF42" s="64">
        <f>IF(ISBLANK(Table_SiteMilestoneTracking[[#This Row],[SiteReadyForIntegration_AC]])=FALSE,Table_SiteMilestoneTracking[[#This Row],[SiteReadyForIntegration_AC]]-Table_SiteMilestoneTracking[[#This Row],[SiteReadyForInstallation_AC]],"-")</f>
        <v>5</v>
      </c>
      <c r="BG42" s="64">
        <f>$BG$2</f>
        <v>500</v>
      </c>
      <c r="BH42" s="82"/>
      <c r="BI42" s="63">
        <f>Table_SiteMilestoneTracking[[#This Row],[SiteReadyForIntegration_BL]]+t7_IntegrationBL</f>
        <v>44053</v>
      </c>
      <c r="BJ42" s="84"/>
      <c r="BK42" s="64" t="str">
        <f>IF(ISBLANK(Table_SiteMilestoneTracking[[#This Row],[SiteOnAir_AC]])=FALSE,Table_SiteMilestoneTracking[[#This Row],[SiteOnAir_AC]]-Table_SiteMilestoneTracking[[#This Row],[SiteOnAir_BL]],"-")</f>
        <v>-</v>
      </c>
      <c r="BL42" s="64" t="str">
        <f>IF(ISBLANK(Table_SiteMilestoneTracking[[#This Row],[SiteOnAir_AC]])=FALSE,Table_SiteMilestoneTracking[[#This Row],[SiteOnAir_AC]]-Table_SiteMilestoneTracking[[#This Row],[SiteReadyForIntegration_AC]],"-")</f>
        <v>-</v>
      </c>
      <c r="BM42" s="64">
        <f>$BM$2</f>
        <v>250</v>
      </c>
      <c r="BN42" s="82"/>
      <c r="BO42" s="63">
        <f>Table_SiteMilestoneTracking[[#This Row],[SiteOnAir_BL]]+t8_AcceptanceBL</f>
        <v>44057</v>
      </c>
      <c r="BP42" s="84"/>
      <c r="BQ42" s="64" t="str">
        <f>IF(ISBLANK(Table_SiteMilestoneTracking[[#This Row],[SiteAccepted_AC]])=FALSE,Table_SiteMilestoneTracking[[#This Row],[SiteAccepted_AC]]-Table_SiteMilestoneTracking[[#This Row],[SiteAccepted_BL]],"-")</f>
        <v>-</v>
      </c>
      <c r="BR42" s="64" t="str">
        <f>IF(ISBLANK(Table_SiteMilestoneTracking[[#This Row],[SiteAccepted_AC]])=FALSE,Table_SiteMilestoneTracking[[#This Row],[SiteAccepted_AC]]-Table_SiteMilestoneTracking[[#This Row],[SiteOnAir_AC]],"-")</f>
        <v>-</v>
      </c>
      <c r="BS42" s="64">
        <f>$BS$2</f>
        <v>200</v>
      </c>
      <c r="BT42" s="82"/>
      <c r="BU42" s="63">
        <f>Table_SiteMilestoneTracking[[#This Row],[SiteAccepted_BL]]+t9_HandoverBL</f>
        <v>44065</v>
      </c>
      <c r="BV42" s="84"/>
      <c r="BW42" s="64" t="str">
        <f>IF(ISBLANK(Table_SiteMilestoneTracking[[#This Row],[SiteInOperations_AC]])=FALSE,Table_SiteMilestoneTracking[[#This Row],[SiteInOperations_AC]]-Table_SiteMilestoneTracking[[#This Row],[SiteInOperations_BL]],"-")</f>
        <v>-</v>
      </c>
      <c r="BX42" s="66">
        <f>Table_SiteMilestoneTracking[[#This Row],[SiteInOperations_BL]]-Table_SiteMilestoneTracking[[#This Row],[SiteDesignReady_BL]]</f>
        <v>55</v>
      </c>
      <c r="BY42" s="66" t="str">
        <f>IF(Table_SiteMilestoneTracking[[#This Row],[CurrentSiteMilestone]]="SiteInOperations",Table_SiteMilestoneTracking[[#This Row],[SiteInOperations_AC]]-Table_SiteMilestoneTracking[[#This Row],[SiteDesignReady_AC]],"")</f>
        <v/>
      </c>
      <c r="BZ42" s="66" t="str">
        <f>IFERROR(Table_SiteMilestoneTracking[[#This Row],[E2E_Site_AC]]-Table_SiteMilestoneTracking[[#This Row],[E2E_Site_BL]],"")</f>
        <v/>
      </c>
      <c r="CA42" s="66" t="str">
        <f>IF(Table_SiteMilestoneTracking[[#This Row],[CurrentSiteMilestone]]="SiteInOperations",Table_SiteMilestoneTracking[[#This Row],[SiteInOperations_AC]]-Table_SiteMilestoneTracking[[#This Row],[SiteAccepted_AC]],"")</f>
        <v/>
      </c>
      <c r="CB42" s="79"/>
      <c r="CC42" s="89"/>
      <c r="CD42" s="89"/>
      <c r="CE42" s="70"/>
      <c r="CF42" s="70"/>
      <c r="CG42" s="70"/>
      <c r="CH42" s="70"/>
      <c r="CI42" s="70"/>
      <c r="CJ42" s="70"/>
      <c r="CK42" s="70"/>
      <c r="CL42" s="70"/>
      <c r="CM42" s="70"/>
      <c r="CN42" s="70"/>
      <c r="CO42" s="70"/>
      <c r="CP42" s="70"/>
      <c r="CQ42" s="70"/>
      <c r="CR42" s="70"/>
      <c r="CS42" s="70"/>
      <c r="CT42" s="70"/>
      <c r="CU42" s="70"/>
      <c r="CV42" s="70"/>
      <c r="CW42" s="70"/>
      <c r="CX42" s="70"/>
      <c r="CY42" s="70"/>
      <c r="CZ42" s="70"/>
      <c r="DA42" s="70"/>
      <c r="DB42" s="70"/>
      <c r="DC42" s="70"/>
      <c r="DD42" s="70"/>
      <c r="DE42" s="70"/>
      <c r="DF42" s="70"/>
      <c r="DG42" s="70"/>
      <c r="DH42" s="70"/>
      <c r="DI42" s="70"/>
      <c r="DJ42" s="70"/>
      <c r="DK42" s="70"/>
      <c r="DL42" s="70"/>
      <c r="DM42" s="70"/>
      <c r="DN42" s="70"/>
      <c r="DO42" s="70"/>
      <c r="DP42" s="70"/>
      <c r="DQ42" s="70"/>
      <c r="DR42" s="70"/>
      <c r="DS42" s="70"/>
      <c r="DT42" s="70"/>
      <c r="DU42" s="70"/>
      <c r="DV42" s="70"/>
    </row>
    <row r="43" spans="1:126" x14ac:dyDescent="0.3">
      <c r="A43" s="79" t="str">
        <f>'4. Design Tracking Summary'!A44</f>
        <v>HU00200</v>
      </c>
      <c r="B43" s="79" t="str">
        <f>'4. Design Tracking Summary'!B44</f>
        <v>Center</v>
      </c>
      <c r="C43" s="79" t="str">
        <f>'4. Design Tracking Summary'!C44</f>
        <v>QRO</v>
      </c>
      <c r="D43" s="79" t="str">
        <f>'4. Design Tracking Summary'!D44</f>
        <v>MINI</v>
      </c>
      <c r="E43" s="79" t="s">
        <v>56</v>
      </c>
      <c r="F43" s="79"/>
      <c r="G43" s="60" t="str">
        <f>IFERROR(INDEX(Table_SiteMilestonesNames[SiteMilestoneName],COUNTA(Table_SiteMilestoneTracking[[#This Row],[SiteDesignStarted_AC]],Table_SiteMilestoneTracking[[#This Row],[SiteDesignReady_AC]],Table_SiteMilestoneTracking[[#This Row],[SiteSurveyCompleted_AC]],Table_SiteMilestoneTracking[[#This Row],[SiteAcquired_AC]],Table_SiteMilestoneTracking[[#This Row],[SiteReadyForCW_AC]],Table_SiteMilestoneTracking[[#This Row],[SiteReadyForPower_AC]],Table_SiteMilestoneTracking[[#This Row],[TXReady_AC]],Table_SiteMilestoneTracking[[#This Row],[SiteReadyForInstallation_AC]],Table_SiteMilestoneTracking[[#This Row],[SiteReadyForIntegration_AC]],Table_SiteMilestoneTracking[[#This Row],[SiteOnAir_AC]],Table_SiteMilestoneTracking[[#This Row],[SiteAccepted_AC]],Table_SiteMilestoneTracking[[#This Row],[SiteInOperations_AC]])+1),"Invalid Milestone")</f>
        <v>SiteReadyForIntegration</v>
      </c>
      <c r="H43" s="61">
        <f>Table_SiteMilestoneTracking[[#This Row],[c0_SiteDesignCostBL]]+Table_SiteMilestoneTracking[[#This Row],[c1_SiteSurveyCostBL]]+Table_SiteMilestoneTracking[[#This Row],[c2_SiteAcquisitionCostBL]]+Table_SiteMilestoneTracking[[#This Row],[c3_CivilWorksCostBL]]+Table_SiteMilestoneTracking[[#This Row],[c4_PowerInstallCostBL]]+Table_SiteMilestoneTracking[[#This Row],[c5_TxintegrationCostBL]]+Table_SiteMilestoneTracking[[#This Row],[c6_InstallationCostBL]]+Table_SiteMilestoneTracking[[#This Row],[c7_IntegrationCostBL]]+Table_SiteMilestoneTracking[[#This Row],[c8_AcceptanceCostBL]]+Table_SiteMilestoneTracking[[#This Row],[c9_HandoverCostBL]]</f>
        <v>7550</v>
      </c>
      <c r="I43" s="62">
        <f>Table_SiteMilestoneTracking[[#This Row],[c0_SiteDesignCostAC]]+Table_SiteMilestoneTracking[[#This Row],[c1_SiteSurveyCostAC]]+Table_SiteMilestoneTracking[[#This Row],[c2_SiteAcquisitionCostAC]]+Table_SiteMilestoneTracking[[#This Row],[c3_CivilWorksCostAC]]+Table_SiteMilestoneTracking[[#This Row],[c4_PowerInstallCostAC]]+Table_SiteMilestoneTracking[[#This Row],[c5_TxintegrationCostAC]]+Table_SiteMilestoneTracking[[#This Row],[c6_InstallationCostAC]]+Table_SiteMilestoneTracking[[#This Row],[c7_IntegrationCostAC]]+Table_SiteMilestoneTracking[[#This Row],[c8_AcceptanceCostAC]]+Table_SiteMilestoneTracking[[#This Row],[c9_HandoverCostAC]]</f>
        <v>6005</v>
      </c>
      <c r="J43" s="84">
        <v>44008</v>
      </c>
      <c r="K43" s="84">
        <v>44010</v>
      </c>
      <c r="L43" s="64">
        <f>IF(ISBLANK(Table_SiteMilestoneTracking[[#This Row],[SiteDesignStarted_AC]])=FALSE,Table_SiteMilestoneTracking[[#This Row],[SiteDesignStarted_AC]]-Table_SiteMilestoneTracking[[#This Row],[SiteDesignStarted_BL]],"")</f>
        <v>2</v>
      </c>
      <c r="M43" s="64">
        <f t="shared" si="6"/>
        <v>500</v>
      </c>
      <c r="N43" s="87">
        <v>460</v>
      </c>
      <c r="O43" s="63">
        <f>Table_SiteMilestoneTracking[[#This Row],[SiteDesignStarted_BL]]+t0_SiteDesignDelayBL</f>
        <v>44010</v>
      </c>
      <c r="P43" s="84">
        <v>44014</v>
      </c>
      <c r="Q43" s="64">
        <f>IF(ISBLANK(Table_SiteMilestoneTracking[[#This Row],[SiteDesignReady_AC]])=FALSE,Table_SiteMilestoneTracking[[#This Row],[SiteDesignReady_AC]]-Table_SiteMilestoneTracking[[#This Row],[SiteDesignReady_BL]],"-")</f>
        <v>4</v>
      </c>
      <c r="R43" s="64">
        <f t="shared" si="5"/>
        <v>500</v>
      </c>
      <c r="S43" s="82">
        <v>475</v>
      </c>
      <c r="T43" s="63">
        <f>Table_SiteMilestoneTracking[[#This Row],[SiteDesignReady_BL]]+t1_SiteSurveyBL</f>
        <v>44012</v>
      </c>
      <c r="U43" s="84">
        <v>44017</v>
      </c>
      <c r="V43" s="64">
        <f>IF(ISBLANK(Table_SiteMilestoneTracking[[#This Row],[SiteSurveyCompleted_AC]])=FALSE,Table_SiteMilestoneTracking[[#This Row],[SiteSurveyCompleted_AC]]-Table_SiteMilestoneTracking[[#This Row],[SiteDesignReady_AC]],"-")</f>
        <v>3</v>
      </c>
      <c r="W43" s="64">
        <f t="shared" si="7"/>
        <v>600</v>
      </c>
      <c r="X43" s="82">
        <v>420</v>
      </c>
      <c r="Y43" s="63">
        <f>Table_SiteMilestoneTracking[[#This Row],[SiteSurveyCompleted_BL]]+t2_SiteAcquisitionBL</f>
        <v>44023</v>
      </c>
      <c r="Z43" s="84">
        <v>44029</v>
      </c>
      <c r="AA43" s="65">
        <f>IF(ISBLANK(Table_SiteMilestoneTracking[[#This Row],[SiteAcquired_AC]])=FALSE,Table_SiteMilestoneTracking[[#This Row],[SiteAcquired_AC]]-Table_SiteMilestoneTracking[[#This Row],[SiteAcquired_BL]],"-")</f>
        <v>6</v>
      </c>
      <c r="AB43" s="65">
        <f>IF(ISBLANK(Table_SiteMilestoneTracking[[#This Row],[SiteAcquired_AC]])=FALSE,Table_SiteMilestoneTracking[[#This Row],[SiteAcquired_AC]]-Table_SiteMilestoneTracking[[#This Row],[SiteSurveyCompleted_AC]],"-")</f>
        <v>12</v>
      </c>
      <c r="AC43" s="64">
        <f t="shared" si="8"/>
        <v>150</v>
      </c>
      <c r="AD43" s="82">
        <v>180.00000000000003</v>
      </c>
      <c r="AE43" s="63">
        <f>Table_SiteMilestoneTracking[[#This Row],[SiteAcquired_BL]]+t2a_SiteCWReadinessBL</f>
        <v>44025</v>
      </c>
      <c r="AF43" s="85">
        <v>44031</v>
      </c>
      <c r="AG43" s="66">
        <f>IF(ISBLANK(Table_SiteMilestoneTracking[[#This Row],[SiteReadyForCW_AC]])=FALSE,Table_SiteMilestoneTracking[[#This Row],[SiteReadyForCW_AC]]-Table_SiteMilestoneTracking[[#This Row],[SiteReadyForCW_BL]],"-")</f>
        <v>6</v>
      </c>
      <c r="AH43" s="66">
        <f>IF(ISBLANK(Table_SiteMilestoneTracking[[#This Row],[SiteReadyForCW_AC]])=FALSE,Table_SiteMilestoneTracking[[#This Row],[SiteReadyForCW_AC]]-Table_SiteMilestoneTracking[[#This Row],[SiteDesignReady_AC]],"-")</f>
        <v>17</v>
      </c>
      <c r="AI43" s="64">
        <f t="shared" si="9"/>
        <v>1500</v>
      </c>
      <c r="AJ43" s="82">
        <v>1350</v>
      </c>
      <c r="AK43" s="63">
        <f>Table_SiteMilestoneTracking[[#This Row],[SiteReadyForCW_BL]]+t3_CivilWorksBL</f>
        <v>44033</v>
      </c>
      <c r="AL43" s="84">
        <v>44040</v>
      </c>
      <c r="AM43" s="64">
        <f>IF(ISBLANK(Table_SiteMilestoneTracking[[#This Row],[SiteReadyForPower_AC]])=FALSE,Table_SiteMilestoneTracking[[#This Row],[SiteReadyForPower_AC]]-Table_SiteMilestoneTracking[[#This Row],[SiteReadyForPower_BL]],"-")</f>
        <v>7</v>
      </c>
      <c r="AN43" s="64">
        <f>IF(ISBLANK(Table_SiteMilestoneTracking[[#This Row],[SiteReadyForPower_AC]])=FALSE,Table_SiteMilestoneTracking[[#This Row],[SiteReadyForPower_AC]]-Table_SiteMilestoneTracking[[#This Row],[SiteReadyForCW_AC]],"-")</f>
        <v>9</v>
      </c>
      <c r="AO43" s="64">
        <f t="shared" si="10"/>
        <v>500</v>
      </c>
      <c r="AP43" s="82">
        <v>400</v>
      </c>
      <c r="AQ43" s="63">
        <f>Table_SiteMilestoneTracking[[#This Row],[SiteReadyForPower_BL]]+t4_PowerInstallBL</f>
        <v>44038</v>
      </c>
      <c r="AR43" s="84">
        <v>44045</v>
      </c>
      <c r="AS43" s="64">
        <f>IF(ISBLANK(Table_SiteMilestoneTracking[[#This Row],[TXReady_AC]])=FALSE,Table_SiteMilestoneTracking[[#This Row],[TXReady_AC]]-Table_SiteMilestoneTracking[[#This Row],[TXReady_BL]],"-")</f>
        <v>7</v>
      </c>
      <c r="AT43" s="64">
        <f>IF(ISBLANK(Table_SiteMilestoneTracking[[#This Row],[TXReady_AC]])=FALSE,Table_SiteMilestoneTracking[[#This Row],[TXReady_AC]]-Table_SiteMilestoneTracking[[#This Row],[SiteReadyForPower_AC]],"-")</f>
        <v>5</v>
      </c>
      <c r="AU43" s="64">
        <f>$AU$2</f>
        <v>500</v>
      </c>
      <c r="AV43" s="82">
        <v>700</v>
      </c>
      <c r="AW43" s="63">
        <f>Table_SiteMilestoneTracking[[#This Row],[TXReady_BL]]+t5_TxintegrationBL</f>
        <v>44045</v>
      </c>
      <c r="AX43" s="84">
        <v>44053</v>
      </c>
      <c r="AY43" s="64">
        <f>IF(ISBLANK(Table_SiteMilestoneTracking[[#This Row],[SiteReadyForInstallation_AC]])=FALSE,Table_SiteMilestoneTracking[[#This Row],[SiteReadyForInstallation_AC]]-Table_SiteMilestoneTracking[[#This Row],[SiteReadyForInstallation_BL]],"-")</f>
        <v>8</v>
      </c>
      <c r="AZ43" s="64">
        <f>IF(ISBLANK(Table_SiteMilestoneTracking[[#This Row],[SiteReadyForInstallation_AC]])=FALSE,Table_SiteMilestoneTracking[[#This Row],[SiteReadyForInstallation_AC]]-Table_SiteMilestoneTracking[[#This Row],[TXReady_AC]],"-")</f>
        <v>8</v>
      </c>
      <c r="BA43" s="64">
        <f>$BA$2</f>
        <v>2500</v>
      </c>
      <c r="BB43" s="82">
        <v>2200.0000000000005</v>
      </c>
      <c r="BC43" s="63">
        <f>Table_SiteMilestoneTracking[[#This Row],[SiteReadyForInstallation_BL]]+t6_InstallationBL</f>
        <v>44049</v>
      </c>
      <c r="BD43" s="84">
        <v>44057</v>
      </c>
      <c r="BE43" s="64">
        <f>IF(ISBLANK(Table_SiteMilestoneTracking[[#This Row],[SiteReadyForIntegration_AC]])=FALSE,Table_SiteMilestoneTracking[[#This Row],[SiteReadyForIntegration_AC]]-Table_SiteMilestoneTracking[[#This Row],[SiteReadyForIntegration_BL]],"-")</f>
        <v>8</v>
      </c>
      <c r="BF43" s="64">
        <f>IF(ISBLANK(Table_SiteMilestoneTracking[[#This Row],[SiteReadyForIntegration_AC]])=FALSE,Table_SiteMilestoneTracking[[#This Row],[SiteReadyForIntegration_AC]]-Table_SiteMilestoneTracking[[#This Row],[SiteReadyForInstallation_AC]],"-")</f>
        <v>4</v>
      </c>
      <c r="BG43" s="64">
        <f>$BG$2</f>
        <v>500</v>
      </c>
      <c r="BH43" s="82"/>
      <c r="BI43" s="63">
        <f>Table_SiteMilestoneTracking[[#This Row],[SiteReadyForIntegration_BL]]+t7_IntegrationBL</f>
        <v>44053</v>
      </c>
      <c r="BJ43" s="84"/>
      <c r="BK43" s="64" t="str">
        <f>IF(ISBLANK(Table_SiteMilestoneTracking[[#This Row],[SiteOnAir_AC]])=FALSE,Table_SiteMilestoneTracking[[#This Row],[SiteOnAir_AC]]-Table_SiteMilestoneTracking[[#This Row],[SiteOnAir_BL]],"-")</f>
        <v>-</v>
      </c>
      <c r="BL43" s="64" t="str">
        <f>IF(ISBLANK(Table_SiteMilestoneTracking[[#This Row],[SiteOnAir_AC]])=FALSE,Table_SiteMilestoneTracking[[#This Row],[SiteOnAir_AC]]-Table_SiteMilestoneTracking[[#This Row],[SiteReadyForIntegration_AC]],"-")</f>
        <v>-</v>
      </c>
      <c r="BM43" s="64">
        <f>$BM$2</f>
        <v>250</v>
      </c>
      <c r="BN43" s="82"/>
      <c r="BO43" s="63">
        <f>Table_SiteMilestoneTracking[[#This Row],[SiteOnAir_BL]]+t8_AcceptanceBL</f>
        <v>44057</v>
      </c>
      <c r="BP43" s="84"/>
      <c r="BQ43" s="64" t="str">
        <f>IF(ISBLANK(Table_SiteMilestoneTracking[[#This Row],[SiteAccepted_AC]])=FALSE,Table_SiteMilestoneTracking[[#This Row],[SiteAccepted_AC]]-Table_SiteMilestoneTracking[[#This Row],[SiteAccepted_BL]],"-")</f>
        <v>-</v>
      </c>
      <c r="BR43" s="64" t="str">
        <f>IF(ISBLANK(Table_SiteMilestoneTracking[[#This Row],[SiteAccepted_AC]])=FALSE,Table_SiteMilestoneTracking[[#This Row],[SiteAccepted_AC]]-Table_SiteMilestoneTracking[[#This Row],[SiteOnAir_AC]],"-")</f>
        <v>-</v>
      </c>
      <c r="BS43" s="64">
        <f>$BS$2</f>
        <v>200</v>
      </c>
      <c r="BT43" s="82"/>
      <c r="BU43" s="63">
        <f>Table_SiteMilestoneTracking[[#This Row],[SiteAccepted_BL]]+t9_HandoverBL</f>
        <v>44065</v>
      </c>
      <c r="BV43" s="84"/>
      <c r="BW43" s="64" t="str">
        <f>IF(ISBLANK(Table_SiteMilestoneTracking[[#This Row],[SiteInOperations_AC]])=FALSE,Table_SiteMilestoneTracking[[#This Row],[SiteInOperations_AC]]-Table_SiteMilestoneTracking[[#This Row],[SiteInOperations_BL]],"-")</f>
        <v>-</v>
      </c>
      <c r="BX43" s="66">
        <f>Table_SiteMilestoneTracking[[#This Row],[SiteInOperations_BL]]-Table_SiteMilestoneTracking[[#This Row],[SiteDesignReady_BL]]</f>
        <v>55</v>
      </c>
      <c r="BY43" s="66" t="str">
        <f>IF(Table_SiteMilestoneTracking[[#This Row],[CurrentSiteMilestone]]="SiteInOperations",Table_SiteMilestoneTracking[[#This Row],[SiteInOperations_AC]]-Table_SiteMilestoneTracking[[#This Row],[SiteDesignReady_AC]],"")</f>
        <v/>
      </c>
      <c r="BZ43" s="66" t="str">
        <f>IFERROR(Table_SiteMilestoneTracking[[#This Row],[E2E_Site_AC]]-Table_SiteMilestoneTracking[[#This Row],[E2E_Site_BL]],"")</f>
        <v/>
      </c>
      <c r="CA43" s="66" t="str">
        <f>IF(Table_SiteMilestoneTracking[[#This Row],[CurrentSiteMilestone]]="SiteInOperations",Table_SiteMilestoneTracking[[#This Row],[SiteInOperations_AC]]-Table_SiteMilestoneTracking[[#This Row],[SiteAccepted_AC]],"")</f>
        <v/>
      </c>
      <c r="CB43" s="79"/>
      <c r="CC43" s="89"/>
      <c r="CD43" s="89"/>
      <c r="CE43" s="70"/>
      <c r="CF43" s="70"/>
      <c r="CG43" s="70"/>
      <c r="CH43" s="70"/>
      <c r="CI43" s="70"/>
      <c r="CJ43" s="70"/>
      <c r="CK43" s="70"/>
      <c r="CL43" s="70"/>
      <c r="CM43" s="70"/>
      <c r="CN43" s="70"/>
      <c r="CO43" s="70"/>
      <c r="CP43" s="70"/>
      <c r="CQ43" s="70"/>
      <c r="CR43" s="70"/>
      <c r="CS43" s="70"/>
      <c r="CT43" s="70"/>
      <c r="CU43" s="70"/>
      <c r="CV43" s="70"/>
      <c r="CW43" s="70"/>
      <c r="CX43" s="70"/>
      <c r="CY43" s="70"/>
      <c r="CZ43" s="70"/>
      <c r="DA43" s="70"/>
      <c r="DB43" s="70"/>
      <c r="DC43" s="70"/>
      <c r="DD43" s="70"/>
      <c r="DE43" s="70"/>
      <c r="DF43" s="70"/>
      <c r="DG43" s="70"/>
      <c r="DH43" s="70"/>
      <c r="DI43" s="70"/>
      <c r="DJ43" s="70"/>
      <c r="DK43" s="70"/>
      <c r="DL43" s="70"/>
      <c r="DM43" s="70"/>
      <c r="DN43" s="70"/>
      <c r="DO43" s="70"/>
      <c r="DP43" s="70"/>
      <c r="DQ43" s="70"/>
      <c r="DR43" s="70"/>
      <c r="DS43" s="70"/>
      <c r="DT43" s="70"/>
      <c r="DU43" s="70"/>
      <c r="DV43" s="70"/>
    </row>
    <row r="44" spans="1:126" x14ac:dyDescent="0.3">
      <c r="A44" s="79" t="str">
        <f>'4. Design Tracking Summary'!A45</f>
        <v>AN00035</v>
      </c>
      <c r="B44" s="79" t="str">
        <f>'4. Design Tracking Summary'!B45</f>
        <v>South</v>
      </c>
      <c r="C44" s="79" t="str">
        <f>'4. Design Tracking Summary'!C45</f>
        <v>VER</v>
      </c>
      <c r="D44" s="79" t="str">
        <f>'4. Design Tracking Summary'!D45</f>
        <v>SMALL</v>
      </c>
      <c r="E44" s="79" t="s">
        <v>57</v>
      </c>
      <c r="F44" s="79"/>
      <c r="G44" s="60" t="str">
        <f>IFERROR(INDEX(Table_SiteMilestonesNames[SiteMilestoneName],COUNTA(Table_SiteMilestoneTracking[[#This Row],[SiteDesignStarted_AC]],Table_SiteMilestoneTracking[[#This Row],[SiteDesignReady_AC]],Table_SiteMilestoneTracking[[#This Row],[SiteSurveyCompleted_AC]],Table_SiteMilestoneTracking[[#This Row],[SiteAcquired_AC]],Table_SiteMilestoneTracking[[#This Row],[SiteReadyForCW_AC]],Table_SiteMilestoneTracking[[#This Row],[SiteReadyForPower_AC]],Table_SiteMilestoneTracking[[#This Row],[TXReady_AC]],Table_SiteMilestoneTracking[[#This Row],[SiteReadyForInstallation_AC]],Table_SiteMilestoneTracking[[#This Row],[SiteReadyForIntegration_AC]],Table_SiteMilestoneTracking[[#This Row],[SiteOnAir_AC]],Table_SiteMilestoneTracking[[#This Row],[SiteAccepted_AC]],Table_SiteMilestoneTracking[[#This Row],[SiteInOperations_AC]])+1),"Invalid Milestone")</f>
        <v>SiteReadyForInstallation</v>
      </c>
      <c r="H44" s="61">
        <f>Table_SiteMilestoneTracking[[#This Row],[c0_SiteDesignCostBL]]+Table_SiteMilestoneTracking[[#This Row],[c1_SiteSurveyCostBL]]+Table_SiteMilestoneTracking[[#This Row],[c2_SiteAcquisitionCostBL]]+Table_SiteMilestoneTracking[[#This Row],[c3_CivilWorksCostBL]]+Table_SiteMilestoneTracking[[#This Row],[c4_PowerInstallCostBL]]+Table_SiteMilestoneTracking[[#This Row],[c5_TxintegrationCostBL]]+Table_SiteMilestoneTracking[[#This Row],[c6_InstallationCostBL]]+Table_SiteMilestoneTracking[[#This Row],[c7_IntegrationCostBL]]+Table_SiteMilestoneTracking[[#This Row],[c8_AcceptanceCostBL]]+Table_SiteMilestoneTracking[[#This Row],[c9_HandoverCostBL]]</f>
        <v>7550</v>
      </c>
      <c r="I44" s="62">
        <f>Table_SiteMilestoneTracking[[#This Row],[c0_SiteDesignCostAC]]+Table_SiteMilestoneTracking[[#This Row],[c1_SiteSurveyCostAC]]+Table_SiteMilestoneTracking[[#This Row],[c2_SiteAcquisitionCostAC]]+Table_SiteMilestoneTracking[[#This Row],[c3_CivilWorksCostAC]]+Table_SiteMilestoneTracking[[#This Row],[c4_PowerInstallCostAC]]+Table_SiteMilestoneTracking[[#This Row],[c5_TxintegrationCostAC]]+Table_SiteMilestoneTracking[[#This Row],[c6_InstallationCostAC]]+Table_SiteMilestoneTracking[[#This Row],[c7_IntegrationCostAC]]+Table_SiteMilestoneTracking[[#This Row],[c8_AcceptanceCostAC]]+Table_SiteMilestoneTracking[[#This Row],[c9_HandoverCostAC]]</f>
        <v>5035</v>
      </c>
      <c r="J44" s="84">
        <v>44008</v>
      </c>
      <c r="K44" s="84">
        <v>44010</v>
      </c>
      <c r="L44" s="64">
        <f>IF(ISBLANK(Table_SiteMilestoneTracking[[#This Row],[SiteDesignStarted_AC]])=FALSE,Table_SiteMilestoneTracking[[#This Row],[SiteDesignStarted_AC]]-Table_SiteMilestoneTracking[[#This Row],[SiteDesignStarted_BL]],"")</f>
        <v>2</v>
      </c>
      <c r="M44" s="64">
        <f t="shared" si="6"/>
        <v>500</v>
      </c>
      <c r="N44" s="87">
        <v>580</v>
      </c>
      <c r="O44" s="63">
        <f>Table_SiteMilestoneTracking[[#This Row],[SiteDesignStarted_BL]]+t0_SiteDesignDelayBL</f>
        <v>44010</v>
      </c>
      <c r="P44" s="84">
        <v>44014</v>
      </c>
      <c r="Q44" s="64">
        <f>IF(ISBLANK(Table_SiteMilestoneTracking[[#This Row],[SiteDesignReady_AC]])=FALSE,Table_SiteMilestoneTracking[[#This Row],[SiteDesignReady_AC]]-Table_SiteMilestoneTracking[[#This Row],[SiteDesignReady_BL]],"-")</f>
        <v>4</v>
      </c>
      <c r="R44" s="64">
        <f t="shared" si="5"/>
        <v>500</v>
      </c>
      <c r="S44" s="82">
        <v>675</v>
      </c>
      <c r="T44" s="63">
        <f>Table_SiteMilestoneTracking[[#This Row],[SiteDesignReady_BL]]+t1_SiteSurveyBL</f>
        <v>44012</v>
      </c>
      <c r="U44" s="84">
        <v>44016</v>
      </c>
      <c r="V44" s="64">
        <f>IF(ISBLANK(Table_SiteMilestoneTracking[[#This Row],[SiteSurveyCompleted_AC]])=FALSE,Table_SiteMilestoneTracking[[#This Row],[SiteSurveyCompleted_AC]]-Table_SiteMilestoneTracking[[#This Row],[SiteDesignReady_AC]],"-")</f>
        <v>2</v>
      </c>
      <c r="W44" s="64">
        <f t="shared" si="7"/>
        <v>600</v>
      </c>
      <c r="X44" s="82">
        <v>780</v>
      </c>
      <c r="Y44" s="63">
        <f>Table_SiteMilestoneTracking[[#This Row],[SiteSurveyCompleted_BL]]+t2_SiteAcquisitionBL</f>
        <v>44023</v>
      </c>
      <c r="Z44" s="84">
        <v>44028</v>
      </c>
      <c r="AA44" s="65">
        <f>IF(ISBLANK(Table_SiteMilestoneTracking[[#This Row],[SiteAcquired_AC]])=FALSE,Table_SiteMilestoneTracking[[#This Row],[SiteAcquired_AC]]-Table_SiteMilestoneTracking[[#This Row],[SiteAcquired_BL]],"-")</f>
        <v>5</v>
      </c>
      <c r="AB44" s="65">
        <f>IF(ISBLANK(Table_SiteMilestoneTracking[[#This Row],[SiteAcquired_AC]])=FALSE,Table_SiteMilestoneTracking[[#This Row],[SiteAcquired_AC]]-Table_SiteMilestoneTracking[[#This Row],[SiteSurveyCompleted_AC]],"-")</f>
        <v>12</v>
      </c>
      <c r="AC44" s="64">
        <f t="shared" si="8"/>
        <v>150</v>
      </c>
      <c r="AD44" s="82">
        <v>120</v>
      </c>
      <c r="AE44" s="63">
        <f>Table_SiteMilestoneTracking[[#This Row],[SiteAcquired_BL]]+t2a_SiteCWReadinessBL</f>
        <v>44025</v>
      </c>
      <c r="AF44" s="85">
        <v>44030</v>
      </c>
      <c r="AG44" s="66">
        <f>IF(ISBLANK(Table_SiteMilestoneTracking[[#This Row],[SiteReadyForCW_AC]])=FALSE,Table_SiteMilestoneTracking[[#This Row],[SiteReadyForCW_AC]]-Table_SiteMilestoneTracking[[#This Row],[SiteReadyForCW_BL]],"-")</f>
        <v>5</v>
      </c>
      <c r="AH44" s="66">
        <f>IF(ISBLANK(Table_SiteMilestoneTracking[[#This Row],[SiteReadyForCW_AC]])=FALSE,Table_SiteMilestoneTracking[[#This Row],[SiteReadyForCW_AC]]-Table_SiteMilestoneTracking[[#This Row],[SiteDesignReady_AC]],"-")</f>
        <v>16</v>
      </c>
      <c r="AI44" s="64">
        <f t="shared" si="9"/>
        <v>1500</v>
      </c>
      <c r="AJ44" s="82">
        <v>2250</v>
      </c>
      <c r="AK44" s="63">
        <f>Table_SiteMilestoneTracking[[#This Row],[SiteReadyForCW_BL]]+t3_CivilWorksBL</f>
        <v>44033</v>
      </c>
      <c r="AL44" s="84">
        <v>44038</v>
      </c>
      <c r="AM44" s="64">
        <f>IF(ISBLANK(Table_SiteMilestoneTracking[[#This Row],[SiteReadyForPower_AC]])=FALSE,Table_SiteMilestoneTracking[[#This Row],[SiteReadyForPower_AC]]-Table_SiteMilestoneTracking[[#This Row],[SiteReadyForPower_BL]],"-")</f>
        <v>5</v>
      </c>
      <c r="AN44" s="64">
        <f>IF(ISBLANK(Table_SiteMilestoneTracking[[#This Row],[SiteReadyForPower_AC]])=FALSE,Table_SiteMilestoneTracking[[#This Row],[SiteReadyForPower_AC]]-Table_SiteMilestoneTracking[[#This Row],[SiteReadyForCW_AC]],"-")</f>
        <v>8</v>
      </c>
      <c r="AO44" s="64">
        <f t="shared" si="10"/>
        <v>500</v>
      </c>
      <c r="AP44" s="82">
        <v>350</v>
      </c>
      <c r="AQ44" s="63">
        <f>Table_SiteMilestoneTracking[[#This Row],[SiteReadyForPower_BL]]+t4_PowerInstallBL</f>
        <v>44038</v>
      </c>
      <c r="AR44" s="84">
        <v>44044</v>
      </c>
      <c r="AS44" s="64">
        <f>IF(ISBLANK(Table_SiteMilestoneTracking[[#This Row],[TXReady_AC]])=FALSE,Table_SiteMilestoneTracking[[#This Row],[TXReady_AC]]-Table_SiteMilestoneTracking[[#This Row],[TXReady_BL]],"-")</f>
        <v>6</v>
      </c>
      <c r="AT44" s="64">
        <f>IF(ISBLANK(Table_SiteMilestoneTracking[[#This Row],[TXReady_AC]])=FALSE,Table_SiteMilestoneTracking[[#This Row],[TXReady_AC]]-Table_SiteMilestoneTracking[[#This Row],[SiteReadyForPower_AC]],"-")</f>
        <v>6</v>
      </c>
      <c r="AU44" s="64">
        <f>$AU$2</f>
        <v>500</v>
      </c>
      <c r="AV44" s="82">
        <v>400</v>
      </c>
      <c r="AW44" s="63">
        <f>Table_SiteMilestoneTracking[[#This Row],[TXReady_BL]]+t5_TxintegrationBL</f>
        <v>44045</v>
      </c>
      <c r="AX44" s="84">
        <v>44051</v>
      </c>
      <c r="AY44" s="64">
        <f>IF(ISBLANK(Table_SiteMilestoneTracking[[#This Row],[SiteReadyForInstallation_AC]])=FALSE,Table_SiteMilestoneTracking[[#This Row],[SiteReadyForInstallation_AC]]-Table_SiteMilestoneTracking[[#This Row],[SiteReadyForInstallation_BL]],"-")</f>
        <v>6</v>
      </c>
      <c r="AZ44" s="64">
        <f>IF(ISBLANK(Table_SiteMilestoneTracking[[#This Row],[SiteReadyForInstallation_AC]])=FALSE,Table_SiteMilestoneTracking[[#This Row],[SiteReadyForInstallation_AC]]-Table_SiteMilestoneTracking[[#This Row],[TXReady_AC]],"-")</f>
        <v>7</v>
      </c>
      <c r="BA44" s="64">
        <f>$BA$2</f>
        <v>2500</v>
      </c>
      <c r="BB44" s="82"/>
      <c r="BC44" s="63">
        <f>Table_SiteMilestoneTracking[[#This Row],[SiteReadyForInstallation_BL]]+t6_InstallationBL</f>
        <v>44049</v>
      </c>
      <c r="BD44" s="84"/>
      <c r="BE44" s="64" t="str">
        <f>IF(ISBLANK(Table_SiteMilestoneTracking[[#This Row],[SiteReadyForIntegration_AC]])=FALSE,Table_SiteMilestoneTracking[[#This Row],[SiteReadyForIntegration_AC]]-Table_SiteMilestoneTracking[[#This Row],[SiteReadyForIntegration_BL]],"-")</f>
        <v>-</v>
      </c>
      <c r="BF44" s="64" t="str">
        <f>IF(ISBLANK(Table_SiteMilestoneTracking[[#This Row],[SiteReadyForIntegration_AC]])=FALSE,Table_SiteMilestoneTracking[[#This Row],[SiteReadyForIntegration_AC]]-Table_SiteMilestoneTracking[[#This Row],[SiteReadyForInstallation_AC]],"-")</f>
        <v>-</v>
      </c>
      <c r="BG44" s="64">
        <f>$BG$2</f>
        <v>500</v>
      </c>
      <c r="BH44" s="82"/>
      <c r="BI44" s="63">
        <f>Table_SiteMilestoneTracking[[#This Row],[SiteReadyForIntegration_BL]]+t7_IntegrationBL</f>
        <v>44053</v>
      </c>
      <c r="BJ44" s="84"/>
      <c r="BK44" s="64" t="str">
        <f>IF(ISBLANK(Table_SiteMilestoneTracking[[#This Row],[SiteOnAir_AC]])=FALSE,Table_SiteMilestoneTracking[[#This Row],[SiteOnAir_AC]]-Table_SiteMilestoneTracking[[#This Row],[SiteOnAir_BL]],"-")</f>
        <v>-</v>
      </c>
      <c r="BL44" s="64" t="str">
        <f>IF(ISBLANK(Table_SiteMilestoneTracking[[#This Row],[SiteOnAir_AC]])=FALSE,Table_SiteMilestoneTracking[[#This Row],[SiteOnAir_AC]]-Table_SiteMilestoneTracking[[#This Row],[SiteReadyForIntegration_AC]],"-")</f>
        <v>-</v>
      </c>
      <c r="BM44" s="64">
        <f>$BM$2</f>
        <v>250</v>
      </c>
      <c r="BN44" s="82"/>
      <c r="BO44" s="63">
        <f>Table_SiteMilestoneTracking[[#This Row],[SiteOnAir_BL]]+t8_AcceptanceBL</f>
        <v>44057</v>
      </c>
      <c r="BP44" s="84"/>
      <c r="BQ44" s="64" t="str">
        <f>IF(ISBLANK(Table_SiteMilestoneTracking[[#This Row],[SiteAccepted_AC]])=FALSE,Table_SiteMilestoneTracking[[#This Row],[SiteAccepted_AC]]-Table_SiteMilestoneTracking[[#This Row],[SiteAccepted_BL]],"-")</f>
        <v>-</v>
      </c>
      <c r="BR44" s="64" t="str">
        <f>IF(ISBLANK(Table_SiteMilestoneTracking[[#This Row],[SiteAccepted_AC]])=FALSE,Table_SiteMilestoneTracking[[#This Row],[SiteAccepted_AC]]-Table_SiteMilestoneTracking[[#This Row],[SiteOnAir_AC]],"-")</f>
        <v>-</v>
      </c>
      <c r="BS44" s="64">
        <f>$BS$2</f>
        <v>200</v>
      </c>
      <c r="BT44" s="82"/>
      <c r="BU44" s="63">
        <f>Table_SiteMilestoneTracking[[#This Row],[SiteAccepted_BL]]+t9_HandoverBL</f>
        <v>44065</v>
      </c>
      <c r="BV44" s="84"/>
      <c r="BW44" s="64" t="str">
        <f>IF(ISBLANK(Table_SiteMilestoneTracking[[#This Row],[SiteInOperations_AC]])=FALSE,Table_SiteMilestoneTracking[[#This Row],[SiteInOperations_AC]]-Table_SiteMilestoneTracking[[#This Row],[SiteInOperations_BL]],"-")</f>
        <v>-</v>
      </c>
      <c r="BX44" s="66">
        <f>Table_SiteMilestoneTracking[[#This Row],[SiteInOperations_BL]]-Table_SiteMilestoneTracking[[#This Row],[SiteDesignReady_BL]]</f>
        <v>55</v>
      </c>
      <c r="BY44" s="66" t="str">
        <f>IF(Table_SiteMilestoneTracking[[#This Row],[CurrentSiteMilestone]]="SiteInOperations",Table_SiteMilestoneTracking[[#This Row],[SiteInOperations_AC]]-Table_SiteMilestoneTracking[[#This Row],[SiteDesignReady_AC]],"")</f>
        <v/>
      </c>
      <c r="BZ44" s="66" t="str">
        <f>IFERROR(Table_SiteMilestoneTracking[[#This Row],[E2E_Site_AC]]-Table_SiteMilestoneTracking[[#This Row],[E2E_Site_BL]],"")</f>
        <v/>
      </c>
      <c r="CA44" s="66" t="str">
        <f>IF(Table_SiteMilestoneTracking[[#This Row],[CurrentSiteMilestone]]="SiteInOperations",Table_SiteMilestoneTracking[[#This Row],[SiteInOperations_AC]]-Table_SiteMilestoneTracking[[#This Row],[SiteAccepted_AC]],"")</f>
        <v/>
      </c>
      <c r="CB44" s="79"/>
      <c r="CC44" s="89"/>
      <c r="CD44" s="89"/>
      <c r="CE44" s="70"/>
      <c r="CF44" s="70"/>
      <c r="CG44" s="70"/>
      <c r="CH44" s="70"/>
      <c r="CI44" s="70"/>
      <c r="CJ44" s="70"/>
      <c r="CK44" s="70"/>
      <c r="CL44" s="70"/>
      <c r="CM44" s="70"/>
      <c r="CN44" s="70"/>
      <c r="CO44" s="70"/>
      <c r="CP44" s="70"/>
      <c r="CQ44" s="70"/>
      <c r="CR44" s="70"/>
      <c r="CS44" s="70"/>
      <c r="CT44" s="70"/>
      <c r="CU44" s="70"/>
      <c r="CV44" s="70"/>
      <c r="CW44" s="70"/>
      <c r="CX44" s="70"/>
      <c r="CY44" s="70"/>
      <c r="CZ44" s="70"/>
      <c r="DA44" s="70"/>
      <c r="DB44" s="70"/>
      <c r="DC44" s="70"/>
      <c r="DD44" s="70"/>
      <c r="DE44" s="70"/>
      <c r="DF44" s="70"/>
      <c r="DG44" s="70"/>
      <c r="DH44" s="70"/>
      <c r="DI44" s="70"/>
      <c r="DJ44" s="70"/>
      <c r="DK44" s="70"/>
      <c r="DL44" s="70"/>
      <c r="DM44" s="70"/>
      <c r="DN44" s="70"/>
      <c r="DO44" s="70"/>
      <c r="DP44" s="70"/>
      <c r="DQ44" s="70"/>
      <c r="DR44" s="70"/>
      <c r="DS44" s="70"/>
      <c r="DT44" s="70"/>
      <c r="DU44" s="70"/>
      <c r="DV44" s="70"/>
    </row>
    <row r="45" spans="1:126" x14ac:dyDescent="0.3">
      <c r="A45" s="79" t="str">
        <f>'4. Design Tracking Summary'!A46</f>
        <v>AN00228</v>
      </c>
      <c r="B45" s="79" t="str">
        <f>'4. Design Tracking Summary'!B46</f>
        <v>South</v>
      </c>
      <c r="C45" s="79" t="str">
        <f>'4. Design Tracking Summary'!C46</f>
        <v>CHI</v>
      </c>
      <c r="D45" s="79" t="str">
        <f>'4. Design Tracking Summary'!D46</f>
        <v>MACRO</v>
      </c>
      <c r="E45" s="79" t="s">
        <v>58</v>
      </c>
      <c r="F45" s="79"/>
      <c r="G45" s="60" t="str">
        <f>IFERROR(INDEX(Table_SiteMilestonesNames[SiteMilestoneName],COUNTA(Table_SiteMilestoneTracking[[#This Row],[SiteDesignStarted_AC]],Table_SiteMilestoneTracking[[#This Row],[SiteDesignReady_AC]],Table_SiteMilestoneTracking[[#This Row],[SiteSurveyCompleted_AC]],Table_SiteMilestoneTracking[[#This Row],[SiteAcquired_AC]],Table_SiteMilestoneTracking[[#This Row],[SiteReadyForCW_AC]],Table_SiteMilestoneTracking[[#This Row],[SiteReadyForPower_AC]],Table_SiteMilestoneTracking[[#This Row],[TXReady_AC]],Table_SiteMilestoneTracking[[#This Row],[SiteReadyForInstallation_AC]],Table_SiteMilestoneTracking[[#This Row],[SiteReadyForIntegration_AC]],Table_SiteMilestoneTracking[[#This Row],[SiteOnAir_AC]],Table_SiteMilestoneTracking[[#This Row],[SiteAccepted_AC]],Table_SiteMilestoneTracking[[#This Row],[SiteInOperations_AC]])+1),"Invalid Milestone")</f>
        <v>SiteReadyForInstallation</v>
      </c>
      <c r="H45" s="61">
        <f>Table_SiteMilestoneTracking[[#This Row],[c0_SiteDesignCostBL]]+Table_SiteMilestoneTracking[[#This Row],[c1_SiteSurveyCostBL]]+Table_SiteMilestoneTracking[[#This Row],[c2_SiteAcquisitionCostBL]]+Table_SiteMilestoneTracking[[#This Row],[c3_CivilWorksCostBL]]+Table_SiteMilestoneTracking[[#This Row],[c4_PowerInstallCostBL]]+Table_SiteMilestoneTracking[[#This Row],[c5_TxintegrationCostBL]]+Table_SiteMilestoneTracking[[#This Row],[c6_InstallationCostBL]]+Table_SiteMilestoneTracking[[#This Row],[c7_IntegrationCostBL]]+Table_SiteMilestoneTracking[[#This Row],[c8_AcceptanceCostBL]]+Table_SiteMilestoneTracking[[#This Row],[c9_HandoverCostBL]]</f>
        <v>7550</v>
      </c>
      <c r="I45" s="62">
        <f>Table_SiteMilestoneTracking[[#This Row],[c0_SiteDesignCostAC]]+Table_SiteMilestoneTracking[[#This Row],[c1_SiteSurveyCostAC]]+Table_SiteMilestoneTracking[[#This Row],[c2_SiteAcquisitionCostAC]]+Table_SiteMilestoneTracking[[#This Row],[c3_CivilWorksCostAC]]+Table_SiteMilestoneTracking[[#This Row],[c4_PowerInstallCostAC]]+Table_SiteMilestoneTracking[[#This Row],[c5_TxintegrationCostAC]]+Table_SiteMilestoneTracking[[#This Row],[c6_InstallationCostAC]]+Table_SiteMilestoneTracking[[#This Row],[c7_IntegrationCostAC]]+Table_SiteMilestoneTracking[[#This Row],[c8_AcceptanceCostAC]]+Table_SiteMilestoneTracking[[#This Row],[c9_HandoverCostAC]]</f>
        <v>5115</v>
      </c>
      <c r="J45" s="84">
        <v>44008</v>
      </c>
      <c r="K45" s="84">
        <v>44009</v>
      </c>
      <c r="L45" s="64">
        <f>IF(ISBLANK(Table_SiteMilestoneTracking[[#This Row],[SiteDesignStarted_AC]])=FALSE,Table_SiteMilestoneTracking[[#This Row],[SiteDesignStarted_AC]]-Table_SiteMilestoneTracking[[#This Row],[SiteDesignStarted_BL]],"")</f>
        <v>1</v>
      </c>
      <c r="M45" s="64">
        <f t="shared" si="6"/>
        <v>500</v>
      </c>
      <c r="N45" s="87">
        <v>500</v>
      </c>
      <c r="O45" s="63">
        <f>Table_SiteMilestoneTracking[[#This Row],[SiteDesignStarted_BL]]+t0_SiteDesignDelayBL</f>
        <v>44010</v>
      </c>
      <c r="P45" s="84">
        <v>44014</v>
      </c>
      <c r="Q45" s="64">
        <f>IF(ISBLANK(Table_SiteMilestoneTracking[[#This Row],[SiteDesignReady_AC]])=FALSE,Table_SiteMilestoneTracking[[#This Row],[SiteDesignReady_AC]]-Table_SiteMilestoneTracking[[#This Row],[SiteDesignReady_BL]],"-")</f>
        <v>4</v>
      </c>
      <c r="R45" s="64">
        <f t="shared" si="5"/>
        <v>500</v>
      </c>
      <c r="S45" s="82">
        <v>825</v>
      </c>
      <c r="T45" s="63">
        <f>Table_SiteMilestoneTracking[[#This Row],[SiteDesignReady_BL]]+t1_SiteSurveyBL</f>
        <v>44012</v>
      </c>
      <c r="U45" s="84">
        <v>44016</v>
      </c>
      <c r="V45" s="64">
        <f>IF(ISBLANK(Table_SiteMilestoneTracking[[#This Row],[SiteSurveyCompleted_AC]])=FALSE,Table_SiteMilestoneTracking[[#This Row],[SiteSurveyCompleted_AC]]-Table_SiteMilestoneTracking[[#This Row],[SiteDesignReady_AC]],"-")</f>
        <v>2</v>
      </c>
      <c r="W45" s="64">
        <f t="shared" si="7"/>
        <v>600</v>
      </c>
      <c r="X45" s="82">
        <v>540</v>
      </c>
      <c r="Y45" s="63">
        <f>Table_SiteMilestoneTracking[[#This Row],[SiteSurveyCompleted_BL]]+t2_SiteAcquisitionBL</f>
        <v>44023</v>
      </c>
      <c r="Z45" s="84">
        <v>44028</v>
      </c>
      <c r="AA45" s="65">
        <f>IF(ISBLANK(Table_SiteMilestoneTracking[[#This Row],[SiteAcquired_AC]])=FALSE,Table_SiteMilestoneTracking[[#This Row],[SiteAcquired_AC]]-Table_SiteMilestoneTracking[[#This Row],[SiteAcquired_BL]],"-")</f>
        <v>5</v>
      </c>
      <c r="AB45" s="65">
        <f>IF(ISBLANK(Table_SiteMilestoneTracking[[#This Row],[SiteAcquired_AC]])=FALSE,Table_SiteMilestoneTracking[[#This Row],[SiteAcquired_AC]]-Table_SiteMilestoneTracking[[#This Row],[SiteSurveyCompleted_AC]],"-")</f>
        <v>12</v>
      </c>
      <c r="AC45" s="64">
        <f t="shared" si="8"/>
        <v>150</v>
      </c>
      <c r="AD45" s="82">
        <v>135</v>
      </c>
      <c r="AE45" s="63">
        <f>Table_SiteMilestoneTracking[[#This Row],[SiteAcquired_BL]]+t2a_SiteCWReadinessBL</f>
        <v>44025</v>
      </c>
      <c r="AF45" s="85">
        <v>44031</v>
      </c>
      <c r="AG45" s="66">
        <f>IF(ISBLANK(Table_SiteMilestoneTracking[[#This Row],[SiteReadyForCW_AC]])=FALSE,Table_SiteMilestoneTracking[[#This Row],[SiteReadyForCW_AC]]-Table_SiteMilestoneTracking[[#This Row],[SiteReadyForCW_BL]],"-")</f>
        <v>6</v>
      </c>
      <c r="AH45" s="66">
        <f>IF(ISBLANK(Table_SiteMilestoneTracking[[#This Row],[SiteReadyForCW_AC]])=FALSE,Table_SiteMilestoneTracking[[#This Row],[SiteReadyForCW_AC]]-Table_SiteMilestoneTracking[[#This Row],[SiteDesignReady_AC]],"-")</f>
        <v>17</v>
      </c>
      <c r="AI45" s="64">
        <f t="shared" si="9"/>
        <v>1500</v>
      </c>
      <c r="AJ45" s="82">
        <v>2100</v>
      </c>
      <c r="AK45" s="63">
        <f>Table_SiteMilestoneTracking[[#This Row],[SiteReadyForCW_BL]]+t3_CivilWorksBL</f>
        <v>44033</v>
      </c>
      <c r="AL45" s="84">
        <v>44039</v>
      </c>
      <c r="AM45" s="64">
        <f>IF(ISBLANK(Table_SiteMilestoneTracking[[#This Row],[SiteReadyForPower_AC]])=FALSE,Table_SiteMilestoneTracking[[#This Row],[SiteReadyForPower_AC]]-Table_SiteMilestoneTracking[[#This Row],[SiteReadyForPower_BL]],"-")</f>
        <v>6</v>
      </c>
      <c r="AN45" s="64">
        <f>IF(ISBLANK(Table_SiteMilestoneTracking[[#This Row],[SiteReadyForPower_AC]])=FALSE,Table_SiteMilestoneTracking[[#This Row],[SiteReadyForPower_AC]]-Table_SiteMilestoneTracking[[#This Row],[SiteReadyForCW_AC]],"-")</f>
        <v>8</v>
      </c>
      <c r="AO45" s="64">
        <f t="shared" si="10"/>
        <v>500</v>
      </c>
      <c r="AP45" s="82">
        <v>450</v>
      </c>
      <c r="AQ45" s="63">
        <f>Table_SiteMilestoneTracking[[#This Row],[SiteReadyForPower_BL]]+t4_PowerInstallBL</f>
        <v>44038</v>
      </c>
      <c r="AR45" s="84">
        <v>44044</v>
      </c>
      <c r="AS45" s="64">
        <f>IF(ISBLANK(Table_SiteMilestoneTracking[[#This Row],[TXReady_AC]])=FALSE,Table_SiteMilestoneTracking[[#This Row],[TXReady_AC]]-Table_SiteMilestoneTracking[[#This Row],[TXReady_BL]],"-")</f>
        <v>6</v>
      </c>
      <c r="AT45" s="64">
        <f>IF(ISBLANK(Table_SiteMilestoneTracking[[#This Row],[TXReady_AC]])=FALSE,Table_SiteMilestoneTracking[[#This Row],[TXReady_AC]]-Table_SiteMilestoneTracking[[#This Row],[SiteReadyForPower_AC]],"-")</f>
        <v>5</v>
      </c>
      <c r="AU45" s="64">
        <f>$AU$2</f>
        <v>500</v>
      </c>
      <c r="AV45" s="82">
        <v>700</v>
      </c>
      <c r="AW45" s="63">
        <f>Table_SiteMilestoneTracking[[#This Row],[TXReady_BL]]+t5_TxintegrationBL</f>
        <v>44045</v>
      </c>
      <c r="AX45" s="84">
        <v>44051</v>
      </c>
      <c r="AY45" s="64">
        <f>IF(ISBLANK(Table_SiteMilestoneTracking[[#This Row],[SiteReadyForInstallation_AC]])=FALSE,Table_SiteMilestoneTracking[[#This Row],[SiteReadyForInstallation_AC]]-Table_SiteMilestoneTracking[[#This Row],[SiteReadyForInstallation_BL]],"-")</f>
        <v>6</v>
      </c>
      <c r="AZ45" s="64">
        <f>IF(ISBLANK(Table_SiteMilestoneTracking[[#This Row],[SiteReadyForInstallation_AC]])=FALSE,Table_SiteMilestoneTracking[[#This Row],[SiteReadyForInstallation_AC]]-Table_SiteMilestoneTracking[[#This Row],[TXReady_AC]],"-")</f>
        <v>7</v>
      </c>
      <c r="BA45" s="64">
        <f>$BA$2</f>
        <v>2500</v>
      </c>
      <c r="BB45" s="82"/>
      <c r="BC45" s="63">
        <f>Table_SiteMilestoneTracking[[#This Row],[SiteReadyForInstallation_BL]]+t6_InstallationBL</f>
        <v>44049</v>
      </c>
      <c r="BD45" s="84"/>
      <c r="BE45" s="64" t="str">
        <f>IF(ISBLANK(Table_SiteMilestoneTracking[[#This Row],[SiteReadyForIntegration_AC]])=FALSE,Table_SiteMilestoneTracking[[#This Row],[SiteReadyForIntegration_AC]]-Table_SiteMilestoneTracking[[#This Row],[SiteReadyForIntegration_BL]],"-")</f>
        <v>-</v>
      </c>
      <c r="BF45" s="64" t="str">
        <f>IF(ISBLANK(Table_SiteMilestoneTracking[[#This Row],[SiteReadyForIntegration_AC]])=FALSE,Table_SiteMilestoneTracking[[#This Row],[SiteReadyForIntegration_AC]]-Table_SiteMilestoneTracking[[#This Row],[SiteReadyForInstallation_AC]],"-")</f>
        <v>-</v>
      </c>
      <c r="BG45" s="64">
        <f>$BG$2</f>
        <v>500</v>
      </c>
      <c r="BH45" s="82"/>
      <c r="BI45" s="63">
        <f>Table_SiteMilestoneTracking[[#This Row],[SiteReadyForIntegration_BL]]+t7_IntegrationBL</f>
        <v>44053</v>
      </c>
      <c r="BJ45" s="84"/>
      <c r="BK45" s="64" t="str">
        <f>IF(ISBLANK(Table_SiteMilestoneTracking[[#This Row],[SiteOnAir_AC]])=FALSE,Table_SiteMilestoneTracking[[#This Row],[SiteOnAir_AC]]-Table_SiteMilestoneTracking[[#This Row],[SiteOnAir_BL]],"-")</f>
        <v>-</v>
      </c>
      <c r="BL45" s="64" t="str">
        <f>IF(ISBLANK(Table_SiteMilestoneTracking[[#This Row],[SiteOnAir_AC]])=FALSE,Table_SiteMilestoneTracking[[#This Row],[SiteOnAir_AC]]-Table_SiteMilestoneTracking[[#This Row],[SiteReadyForIntegration_AC]],"-")</f>
        <v>-</v>
      </c>
      <c r="BM45" s="64">
        <f>$BM$2</f>
        <v>250</v>
      </c>
      <c r="BN45" s="82"/>
      <c r="BO45" s="63">
        <f>Table_SiteMilestoneTracking[[#This Row],[SiteOnAir_BL]]+t8_AcceptanceBL</f>
        <v>44057</v>
      </c>
      <c r="BP45" s="84"/>
      <c r="BQ45" s="64" t="str">
        <f>IF(ISBLANK(Table_SiteMilestoneTracking[[#This Row],[SiteAccepted_AC]])=FALSE,Table_SiteMilestoneTracking[[#This Row],[SiteAccepted_AC]]-Table_SiteMilestoneTracking[[#This Row],[SiteAccepted_BL]],"-")</f>
        <v>-</v>
      </c>
      <c r="BR45" s="64" t="str">
        <f>IF(ISBLANK(Table_SiteMilestoneTracking[[#This Row],[SiteAccepted_AC]])=FALSE,Table_SiteMilestoneTracking[[#This Row],[SiteAccepted_AC]]-Table_SiteMilestoneTracking[[#This Row],[SiteOnAir_AC]],"-")</f>
        <v>-</v>
      </c>
      <c r="BS45" s="64">
        <f>$BS$2</f>
        <v>200</v>
      </c>
      <c r="BT45" s="82"/>
      <c r="BU45" s="63">
        <f>Table_SiteMilestoneTracking[[#This Row],[SiteAccepted_BL]]+t9_HandoverBL</f>
        <v>44065</v>
      </c>
      <c r="BV45" s="84"/>
      <c r="BW45" s="64" t="str">
        <f>IF(ISBLANK(Table_SiteMilestoneTracking[[#This Row],[SiteInOperations_AC]])=FALSE,Table_SiteMilestoneTracking[[#This Row],[SiteInOperations_AC]]-Table_SiteMilestoneTracking[[#This Row],[SiteInOperations_BL]],"-")</f>
        <v>-</v>
      </c>
      <c r="BX45" s="66">
        <f>Table_SiteMilestoneTracking[[#This Row],[SiteInOperations_BL]]-Table_SiteMilestoneTracking[[#This Row],[SiteDesignReady_BL]]</f>
        <v>55</v>
      </c>
      <c r="BY45" s="66" t="str">
        <f>IF(Table_SiteMilestoneTracking[[#This Row],[CurrentSiteMilestone]]="SiteInOperations",Table_SiteMilestoneTracking[[#This Row],[SiteInOperations_AC]]-Table_SiteMilestoneTracking[[#This Row],[SiteDesignReady_AC]],"")</f>
        <v/>
      </c>
      <c r="BZ45" s="66" t="str">
        <f>IFERROR(Table_SiteMilestoneTracking[[#This Row],[E2E_Site_AC]]-Table_SiteMilestoneTracking[[#This Row],[E2E_Site_BL]],"")</f>
        <v/>
      </c>
      <c r="CA45" s="66" t="str">
        <f>IF(Table_SiteMilestoneTracking[[#This Row],[CurrentSiteMilestone]]="SiteInOperations",Table_SiteMilestoneTracking[[#This Row],[SiteInOperations_AC]]-Table_SiteMilestoneTracking[[#This Row],[SiteAccepted_AC]],"")</f>
        <v/>
      </c>
      <c r="CB45" s="79"/>
      <c r="CC45" s="89"/>
      <c r="CD45" s="89"/>
      <c r="CE45" s="70"/>
      <c r="CF45" s="70"/>
      <c r="CG45" s="70"/>
      <c r="CH45" s="70"/>
      <c r="CI45" s="70"/>
      <c r="CJ45" s="70"/>
      <c r="CK45" s="70"/>
      <c r="CL45" s="70"/>
      <c r="CM45" s="70"/>
      <c r="CN45" s="70"/>
      <c r="CO45" s="70"/>
      <c r="CP45" s="70"/>
      <c r="CQ45" s="70"/>
      <c r="CR45" s="70"/>
      <c r="CS45" s="70"/>
      <c r="CT45" s="70"/>
      <c r="CU45" s="70"/>
      <c r="CV45" s="70"/>
      <c r="CW45" s="70"/>
      <c r="CX45" s="70"/>
      <c r="CY45" s="70"/>
      <c r="CZ45" s="70"/>
      <c r="DA45" s="70"/>
      <c r="DB45" s="70"/>
      <c r="DC45" s="70"/>
      <c r="DD45" s="70"/>
      <c r="DE45" s="70"/>
      <c r="DF45" s="70"/>
      <c r="DG45" s="70"/>
      <c r="DH45" s="70"/>
      <c r="DI45" s="70"/>
      <c r="DJ45" s="70"/>
      <c r="DK45" s="70"/>
      <c r="DL45" s="70"/>
      <c r="DM45" s="70"/>
      <c r="DN45" s="70"/>
      <c r="DO45" s="70"/>
      <c r="DP45" s="70"/>
      <c r="DQ45" s="70"/>
      <c r="DR45" s="70"/>
      <c r="DS45" s="70"/>
      <c r="DT45" s="70"/>
      <c r="DU45" s="70"/>
      <c r="DV45" s="70"/>
    </row>
    <row r="46" spans="1:126" x14ac:dyDescent="0.3">
      <c r="A46" s="79" t="str">
        <f>'4. Design Tracking Summary'!A47</f>
        <v>AM00059</v>
      </c>
      <c r="B46" s="79" t="str">
        <f>'4. Design Tracking Summary'!B47</f>
        <v>North</v>
      </c>
      <c r="C46" s="79" t="str">
        <f>'4. Design Tracking Summary'!C47</f>
        <v>MTY</v>
      </c>
      <c r="D46" s="79" t="str">
        <f>'4. Design Tracking Summary'!D47</f>
        <v>MINI</v>
      </c>
      <c r="E46" s="79" t="s">
        <v>58</v>
      </c>
      <c r="F46" s="79"/>
      <c r="G46" s="60" t="str">
        <f>IFERROR(INDEX(Table_SiteMilestonesNames[SiteMilestoneName],COUNTA(Table_SiteMilestoneTracking[[#This Row],[SiteDesignStarted_AC]],Table_SiteMilestoneTracking[[#This Row],[SiteDesignReady_AC]],Table_SiteMilestoneTracking[[#This Row],[SiteSurveyCompleted_AC]],Table_SiteMilestoneTracking[[#This Row],[SiteAcquired_AC]],Table_SiteMilestoneTracking[[#This Row],[SiteReadyForCW_AC]],Table_SiteMilestoneTracking[[#This Row],[SiteReadyForPower_AC]],Table_SiteMilestoneTracking[[#This Row],[TXReady_AC]],Table_SiteMilestoneTracking[[#This Row],[SiteReadyForInstallation_AC]],Table_SiteMilestoneTracking[[#This Row],[SiteReadyForIntegration_AC]],Table_SiteMilestoneTracking[[#This Row],[SiteOnAir_AC]],Table_SiteMilestoneTracking[[#This Row],[SiteAccepted_AC]],Table_SiteMilestoneTracking[[#This Row],[SiteInOperations_AC]])+1),"Invalid Milestone")</f>
        <v>SiteReadyForInstallation</v>
      </c>
      <c r="H46" s="61">
        <f>Table_SiteMilestoneTracking[[#This Row],[c0_SiteDesignCostBL]]+Table_SiteMilestoneTracking[[#This Row],[c1_SiteSurveyCostBL]]+Table_SiteMilestoneTracking[[#This Row],[c2_SiteAcquisitionCostBL]]+Table_SiteMilestoneTracking[[#This Row],[c3_CivilWorksCostBL]]+Table_SiteMilestoneTracking[[#This Row],[c4_PowerInstallCostBL]]+Table_SiteMilestoneTracking[[#This Row],[c5_TxintegrationCostBL]]+Table_SiteMilestoneTracking[[#This Row],[c6_InstallationCostBL]]+Table_SiteMilestoneTracking[[#This Row],[c7_IntegrationCostBL]]+Table_SiteMilestoneTracking[[#This Row],[c8_AcceptanceCostBL]]+Table_SiteMilestoneTracking[[#This Row],[c9_HandoverCostBL]]</f>
        <v>7550</v>
      </c>
      <c r="I46" s="62">
        <f>Table_SiteMilestoneTracking[[#This Row],[c0_SiteDesignCostAC]]+Table_SiteMilestoneTracking[[#This Row],[c1_SiteSurveyCostAC]]+Table_SiteMilestoneTracking[[#This Row],[c2_SiteAcquisitionCostAC]]+Table_SiteMilestoneTracking[[#This Row],[c3_CivilWorksCostAC]]+Table_SiteMilestoneTracking[[#This Row],[c4_PowerInstallCostAC]]+Table_SiteMilestoneTracking[[#This Row],[c5_TxintegrationCostAC]]+Table_SiteMilestoneTracking[[#This Row],[c6_InstallationCostAC]]+Table_SiteMilestoneTracking[[#This Row],[c7_IntegrationCostAC]]+Table_SiteMilestoneTracking[[#This Row],[c8_AcceptanceCostAC]]+Table_SiteMilestoneTracking[[#This Row],[c9_HandoverCostAC]]</f>
        <v>4205</v>
      </c>
      <c r="J46" s="84">
        <v>44008</v>
      </c>
      <c r="K46" s="84">
        <v>44010</v>
      </c>
      <c r="L46" s="64">
        <f>IF(ISBLANK(Table_SiteMilestoneTracking[[#This Row],[SiteDesignStarted_AC]])=FALSE,Table_SiteMilestoneTracking[[#This Row],[SiteDesignStarted_AC]]-Table_SiteMilestoneTracking[[#This Row],[SiteDesignStarted_BL]],"")</f>
        <v>2</v>
      </c>
      <c r="M46" s="64">
        <f t="shared" si="6"/>
        <v>500</v>
      </c>
      <c r="N46" s="87">
        <v>400</v>
      </c>
      <c r="O46" s="63">
        <f>Table_SiteMilestoneTracking[[#This Row],[SiteDesignStarted_BL]]+t0_SiteDesignDelayBL</f>
        <v>44010</v>
      </c>
      <c r="P46" s="84">
        <v>44012</v>
      </c>
      <c r="Q46" s="64">
        <f>IF(ISBLANK(Table_SiteMilestoneTracking[[#This Row],[SiteDesignReady_AC]])=FALSE,Table_SiteMilestoneTracking[[#This Row],[SiteDesignReady_AC]]-Table_SiteMilestoneTracking[[#This Row],[SiteDesignReady_BL]],"-")</f>
        <v>2</v>
      </c>
      <c r="R46" s="64">
        <f t="shared" si="5"/>
        <v>500</v>
      </c>
      <c r="S46" s="82">
        <v>375</v>
      </c>
      <c r="T46" s="63">
        <f>Table_SiteMilestoneTracking[[#This Row],[SiteDesignReady_BL]]+t1_SiteSurveyBL</f>
        <v>44012</v>
      </c>
      <c r="U46" s="84">
        <v>44014</v>
      </c>
      <c r="V46" s="64">
        <f>IF(ISBLANK(Table_SiteMilestoneTracking[[#This Row],[SiteSurveyCompleted_AC]])=FALSE,Table_SiteMilestoneTracking[[#This Row],[SiteSurveyCompleted_AC]]-Table_SiteMilestoneTracking[[#This Row],[SiteDesignReady_AC]],"-")</f>
        <v>2</v>
      </c>
      <c r="W46" s="64">
        <f t="shared" si="7"/>
        <v>600</v>
      </c>
      <c r="X46" s="82">
        <v>780</v>
      </c>
      <c r="Y46" s="63">
        <f>Table_SiteMilestoneTracking[[#This Row],[SiteSurveyCompleted_BL]]+t2_SiteAcquisitionBL</f>
        <v>44023</v>
      </c>
      <c r="Z46" s="84">
        <v>44025</v>
      </c>
      <c r="AA46" s="65">
        <f>IF(ISBLANK(Table_SiteMilestoneTracking[[#This Row],[SiteAcquired_AC]])=FALSE,Table_SiteMilestoneTracking[[#This Row],[SiteAcquired_AC]]-Table_SiteMilestoneTracking[[#This Row],[SiteAcquired_BL]],"-")</f>
        <v>2</v>
      </c>
      <c r="AB46" s="65">
        <f>IF(ISBLANK(Table_SiteMilestoneTracking[[#This Row],[SiteAcquired_AC]])=FALSE,Table_SiteMilestoneTracking[[#This Row],[SiteAcquired_AC]]-Table_SiteMilestoneTracking[[#This Row],[SiteSurveyCompleted_AC]],"-")</f>
        <v>11</v>
      </c>
      <c r="AC46" s="64">
        <f t="shared" si="8"/>
        <v>150</v>
      </c>
      <c r="AD46" s="82">
        <v>165</v>
      </c>
      <c r="AE46" s="63">
        <f>Table_SiteMilestoneTracking[[#This Row],[SiteAcquired_BL]]+t2a_SiteCWReadinessBL</f>
        <v>44025</v>
      </c>
      <c r="AF46" s="85">
        <v>44028</v>
      </c>
      <c r="AG46" s="66">
        <f>IF(ISBLANK(Table_SiteMilestoneTracking[[#This Row],[SiteReadyForCW_AC]])=FALSE,Table_SiteMilestoneTracking[[#This Row],[SiteReadyForCW_AC]]-Table_SiteMilestoneTracking[[#This Row],[SiteReadyForCW_BL]],"-")</f>
        <v>3</v>
      </c>
      <c r="AH46" s="66">
        <f>IF(ISBLANK(Table_SiteMilestoneTracking[[#This Row],[SiteReadyForCW_AC]])=FALSE,Table_SiteMilestoneTracking[[#This Row],[SiteReadyForCW_AC]]-Table_SiteMilestoneTracking[[#This Row],[SiteDesignReady_AC]],"-")</f>
        <v>16</v>
      </c>
      <c r="AI46" s="64">
        <f t="shared" si="9"/>
        <v>1500</v>
      </c>
      <c r="AJ46" s="82">
        <v>1500</v>
      </c>
      <c r="AK46" s="63">
        <f>Table_SiteMilestoneTracking[[#This Row],[SiteReadyForCW_BL]]+t3_CivilWorksBL</f>
        <v>44033</v>
      </c>
      <c r="AL46" s="84">
        <v>44037</v>
      </c>
      <c r="AM46" s="64">
        <f>IF(ISBLANK(Table_SiteMilestoneTracking[[#This Row],[SiteReadyForPower_AC]])=FALSE,Table_SiteMilestoneTracking[[#This Row],[SiteReadyForPower_AC]]-Table_SiteMilestoneTracking[[#This Row],[SiteReadyForPower_BL]],"-")</f>
        <v>4</v>
      </c>
      <c r="AN46" s="64">
        <f>IF(ISBLANK(Table_SiteMilestoneTracking[[#This Row],[SiteReadyForPower_AC]])=FALSE,Table_SiteMilestoneTracking[[#This Row],[SiteReadyForPower_AC]]-Table_SiteMilestoneTracking[[#This Row],[SiteReadyForCW_AC]],"-")</f>
        <v>9</v>
      </c>
      <c r="AO46" s="64">
        <f t="shared" si="10"/>
        <v>500</v>
      </c>
      <c r="AP46" s="82">
        <v>700</v>
      </c>
      <c r="AQ46" s="63">
        <f>Table_SiteMilestoneTracking[[#This Row],[SiteReadyForPower_BL]]+t4_PowerInstallBL</f>
        <v>44038</v>
      </c>
      <c r="AR46" s="84">
        <v>44043</v>
      </c>
      <c r="AS46" s="64">
        <f>IF(ISBLANK(Table_SiteMilestoneTracking[[#This Row],[TXReady_AC]])=FALSE,Table_SiteMilestoneTracking[[#This Row],[TXReady_AC]]-Table_SiteMilestoneTracking[[#This Row],[TXReady_BL]],"-")</f>
        <v>5</v>
      </c>
      <c r="AT46" s="64">
        <f>IF(ISBLANK(Table_SiteMilestoneTracking[[#This Row],[TXReady_AC]])=FALSE,Table_SiteMilestoneTracking[[#This Row],[TXReady_AC]]-Table_SiteMilestoneTracking[[#This Row],[SiteReadyForPower_AC]],"-")</f>
        <v>6</v>
      </c>
      <c r="AU46" s="64">
        <f>$AU$2</f>
        <v>500</v>
      </c>
      <c r="AV46" s="82">
        <v>450</v>
      </c>
      <c r="AW46" s="63">
        <f>Table_SiteMilestoneTracking[[#This Row],[TXReady_BL]]+t5_TxintegrationBL</f>
        <v>44045</v>
      </c>
      <c r="AX46" s="84">
        <v>44050</v>
      </c>
      <c r="AY46" s="64">
        <f>IF(ISBLANK(Table_SiteMilestoneTracking[[#This Row],[SiteReadyForInstallation_AC]])=FALSE,Table_SiteMilestoneTracking[[#This Row],[SiteReadyForInstallation_AC]]-Table_SiteMilestoneTracking[[#This Row],[SiteReadyForInstallation_BL]],"-")</f>
        <v>5</v>
      </c>
      <c r="AZ46" s="64">
        <f>IF(ISBLANK(Table_SiteMilestoneTracking[[#This Row],[SiteReadyForInstallation_AC]])=FALSE,Table_SiteMilestoneTracking[[#This Row],[SiteReadyForInstallation_AC]]-Table_SiteMilestoneTracking[[#This Row],[TXReady_AC]],"-")</f>
        <v>7</v>
      </c>
      <c r="BA46" s="64">
        <f>$BA$2</f>
        <v>2500</v>
      </c>
      <c r="BB46" s="82"/>
      <c r="BC46" s="63">
        <f>Table_SiteMilestoneTracking[[#This Row],[SiteReadyForInstallation_BL]]+t6_InstallationBL</f>
        <v>44049</v>
      </c>
      <c r="BD46" s="84"/>
      <c r="BE46" s="64" t="str">
        <f>IF(ISBLANK(Table_SiteMilestoneTracking[[#This Row],[SiteReadyForIntegration_AC]])=FALSE,Table_SiteMilestoneTracking[[#This Row],[SiteReadyForIntegration_AC]]-Table_SiteMilestoneTracking[[#This Row],[SiteReadyForIntegration_BL]],"-")</f>
        <v>-</v>
      </c>
      <c r="BF46" s="64" t="str">
        <f>IF(ISBLANK(Table_SiteMilestoneTracking[[#This Row],[SiteReadyForIntegration_AC]])=FALSE,Table_SiteMilestoneTracking[[#This Row],[SiteReadyForIntegration_AC]]-Table_SiteMilestoneTracking[[#This Row],[SiteReadyForInstallation_AC]],"-")</f>
        <v>-</v>
      </c>
      <c r="BG46" s="64">
        <f>$BG$2</f>
        <v>500</v>
      </c>
      <c r="BH46" s="82"/>
      <c r="BI46" s="63">
        <f>Table_SiteMilestoneTracking[[#This Row],[SiteReadyForIntegration_BL]]+t7_IntegrationBL</f>
        <v>44053</v>
      </c>
      <c r="BJ46" s="84"/>
      <c r="BK46" s="64" t="str">
        <f>IF(ISBLANK(Table_SiteMilestoneTracking[[#This Row],[SiteOnAir_AC]])=FALSE,Table_SiteMilestoneTracking[[#This Row],[SiteOnAir_AC]]-Table_SiteMilestoneTracking[[#This Row],[SiteOnAir_BL]],"-")</f>
        <v>-</v>
      </c>
      <c r="BL46" s="64" t="str">
        <f>IF(ISBLANK(Table_SiteMilestoneTracking[[#This Row],[SiteOnAir_AC]])=FALSE,Table_SiteMilestoneTracking[[#This Row],[SiteOnAir_AC]]-Table_SiteMilestoneTracking[[#This Row],[SiteReadyForIntegration_AC]],"-")</f>
        <v>-</v>
      </c>
      <c r="BM46" s="64">
        <f>$BM$2</f>
        <v>250</v>
      </c>
      <c r="BN46" s="82"/>
      <c r="BO46" s="63">
        <f>Table_SiteMilestoneTracking[[#This Row],[SiteOnAir_BL]]+t8_AcceptanceBL</f>
        <v>44057</v>
      </c>
      <c r="BP46" s="84"/>
      <c r="BQ46" s="64" t="str">
        <f>IF(ISBLANK(Table_SiteMilestoneTracking[[#This Row],[SiteAccepted_AC]])=FALSE,Table_SiteMilestoneTracking[[#This Row],[SiteAccepted_AC]]-Table_SiteMilestoneTracking[[#This Row],[SiteAccepted_BL]],"-")</f>
        <v>-</v>
      </c>
      <c r="BR46" s="64" t="str">
        <f>IF(ISBLANK(Table_SiteMilestoneTracking[[#This Row],[SiteAccepted_AC]])=FALSE,Table_SiteMilestoneTracking[[#This Row],[SiteAccepted_AC]]-Table_SiteMilestoneTracking[[#This Row],[SiteOnAir_AC]],"-")</f>
        <v>-</v>
      </c>
      <c r="BS46" s="64">
        <f>$BS$2</f>
        <v>200</v>
      </c>
      <c r="BT46" s="82"/>
      <c r="BU46" s="63">
        <f>Table_SiteMilestoneTracking[[#This Row],[SiteAccepted_BL]]+t9_HandoverBL</f>
        <v>44065</v>
      </c>
      <c r="BV46" s="84"/>
      <c r="BW46" s="64" t="str">
        <f>IF(ISBLANK(Table_SiteMilestoneTracking[[#This Row],[SiteInOperations_AC]])=FALSE,Table_SiteMilestoneTracking[[#This Row],[SiteInOperations_AC]]-Table_SiteMilestoneTracking[[#This Row],[SiteInOperations_BL]],"-")</f>
        <v>-</v>
      </c>
      <c r="BX46" s="66">
        <f>Table_SiteMilestoneTracking[[#This Row],[SiteInOperations_BL]]-Table_SiteMilestoneTracking[[#This Row],[SiteDesignReady_BL]]</f>
        <v>55</v>
      </c>
      <c r="BY46" s="66" t="str">
        <f>IF(Table_SiteMilestoneTracking[[#This Row],[CurrentSiteMilestone]]="SiteInOperations",Table_SiteMilestoneTracking[[#This Row],[SiteInOperations_AC]]-Table_SiteMilestoneTracking[[#This Row],[SiteDesignReady_AC]],"")</f>
        <v/>
      </c>
      <c r="BZ46" s="66" t="str">
        <f>IFERROR(Table_SiteMilestoneTracking[[#This Row],[E2E_Site_AC]]-Table_SiteMilestoneTracking[[#This Row],[E2E_Site_BL]],"")</f>
        <v/>
      </c>
      <c r="CA46" s="66" t="str">
        <f>IF(Table_SiteMilestoneTracking[[#This Row],[CurrentSiteMilestone]]="SiteInOperations",Table_SiteMilestoneTracking[[#This Row],[SiteInOperations_AC]]-Table_SiteMilestoneTracking[[#This Row],[SiteAccepted_AC]],"")</f>
        <v/>
      </c>
      <c r="CB46" s="79"/>
      <c r="CC46" s="89"/>
      <c r="CD46" s="89"/>
      <c r="CE46" s="70"/>
      <c r="CF46" s="70"/>
      <c r="CG46" s="70"/>
      <c r="CH46" s="70"/>
      <c r="CI46" s="70"/>
      <c r="CJ46" s="70"/>
      <c r="CK46" s="70"/>
      <c r="CL46" s="70"/>
      <c r="CM46" s="70"/>
      <c r="CN46" s="70"/>
      <c r="CO46" s="70"/>
      <c r="CP46" s="70"/>
      <c r="CQ46" s="70"/>
      <c r="CR46" s="70"/>
      <c r="CS46" s="70"/>
      <c r="CT46" s="70"/>
      <c r="CU46" s="70"/>
      <c r="CV46" s="70"/>
      <c r="CW46" s="70"/>
      <c r="CX46" s="70"/>
      <c r="CY46" s="70"/>
      <c r="CZ46" s="70"/>
      <c r="DA46" s="70"/>
      <c r="DB46" s="70"/>
      <c r="DC46" s="70"/>
      <c r="DD46" s="70"/>
      <c r="DE46" s="70"/>
      <c r="DF46" s="70"/>
      <c r="DG46" s="70"/>
      <c r="DH46" s="70"/>
      <c r="DI46" s="70"/>
      <c r="DJ46" s="70"/>
      <c r="DK46" s="70"/>
      <c r="DL46" s="70"/>
      <c r="DM46" s="70"/>
      <c r="DN46" s="70"/>
      <c r="DO46" s="70"/>
      <c r="DP46" s="70"/>
      <c r="DQ46" s="70"/>
      <c r="DR46" s="70"/>
      <c r="DS46" s="70"/>
      <c r="DT46" s="70"/>
      <c r="DU46" s="70"/>
      <c r="DV46" s="70"/>
    </row>
    <row r="47" spans="1:126" x14ac:dyDescent="0.3">
      <c r="A47" s="79" t="str">
        <f>'4. Design Tracking Summary'!A48</f>
        <v>AM00227</v>
      </c>
      <c r="B47" s="79" t="str">
        <f>'4. Design Tracking Summary'!B48</f>
        <v>North</v>
      </c>
      <c r="C47" s="79" t="str">
        <f>'4. Design Tracking Summary'!C48</f>
        <v>ZAC</v>
      </c>
      <c r="D47" s="79" t="str">
        <f>'4. Design Tracking Summary'!D48</f>
        <v>SMALL</v>
      </c>
      <c r="E47" s="79" t="s">
        <v>59</v>
      </c>
      <c r="F47" s="79"/>
      <c r="G47" s="60" t="str">
        <f>IFERROR(INDEX(Table_SiteMilestonesNames[SiteMilestoneName],COUNTA(Table_SiteMilestoneTracking[[#This Row],[SiteDesignStarted_AC]],Table_SiteMilestoneTracking[[#This Row],[SiteDesignReady_AC]],Table_SiteMilestoneTracking[[#This Row],[SiteSurveyCompleted_AC]],Table_SiteMilestoneTracking[[#This Row],[SiteAcquired_AC]],Table_SiteMilestoneTracking[[#This Row],[SiteReadyForCW_AC]],Table_SiteMilestoneTracking[[#This Row],[SiteReadyForPower_AC]],Table_SiteMilestoneTracking[[#This Row],[TXReady_AC]],Table_SiteMilestoneTracking[[#This Row],[SiteReadyForInstallation_AC]],Table_SiteMilestoneTracking[[#This Row],[SiteReadyForIntegration_AC]],Table_SiteMilestoneTracking[[#This Row],[SiteOnAir_AC]],Table_SiteMilestoneTracking[[#This Row],[SiteAccepted_AC]],Table_SiteMilestoneTracking[[#This Row],[SiteInOperations_AC]])+1),"Invalid Milestone")</f>
        <v>SiteReadyForInstallation</v>
      </c>
      <c r="H47" s="61">
        <f>Table_SiteMilestoneTracking[[#This Row],[c0_SiteDesignCostBL]]+Table_SiteMilestoneTracking[[#This Row],[c1_SiteSurveyCostBL]]+Table_SiteMilestoneTracking[[#This Row],[c2_SiteAcquisitionCostBL]]+Table_SiteMilestoneTracking[[#This Row],[c3_CivilWorksCostBL]]+Table_SiteMilestoneTracking[[#This Row],[c4_PowerInstallCostBL]]+Table_SiteMilestoneTracking[[#This Row],[c5_TxintegrationCostBL]]+Table_SiteMilestoneTracking[[#This Row],[c6_InstallationCostBL]]+Table_SiteMilestoneTracking[[#This Row],[c7_IntegrationCostBL]]+Table_SiteMilestoneTracking[[#This Row],[c8_AcceptanceCostBL]]+Table_SiteMilestoneTracking[[#This Row],[c9_HandoverCostBL]]</f>
        <v>7550</v>
      </c>
      <c r="I47" s="62">
        <f>Table_SiteMilestoneTracking[[#This Row],[c0_SiteDesignCostAC]]+Table_SiteMilestoneTracking[[#This Row],[c1_SiteSurveyCostAC]]+Table_SiteMilestoneTracking[[#This Row],[c2_SiteAcquisitionCostAC]]+Table_SiteMilestoneTracking[[#This Row],[c3_CivilWorksCostAC]]+Table_SiteMilestoneTracking[[#This Row],[c4_PowerInstallCostAC]]+Table_SiteMilestoneTracking[[#This Row],[c5_TxintegrationCostAC]]+Table_SiteMilestoneTracking[[#This Row],[c6_InstallationCostAC]]+Table_SiteMilestoneTracking[[#This Row],[c7_IntegrationCostAC]]+Table_SiteMilestoneTracking[[#This Row],[c8_AcceptanceCostAC]]+Table_SiteMilestoneTracking[[#This Row],[c9_HandoverCostAC]]</f>
        <v>3925</v>
      </c>
      <c r="J47" s="84">
        <v>44008</v>
      </c>
      <c r="K47" s="84">
        <v>44010</v>
      </c>
      <c r="L47" s="64">
        <f>IF(ISBLANK(Table_SiteMilestoneTracking[[#This Row],[SiteDesignStarted_AC]])=FALSE,Table_SiteMilestoneTracking[[#This Row],[SiteDesignStarted_AC]]-Table_SiteMilestoneTracking[[#This Row],[SiteDesignStarted_BL]],"")</f>
        <v>2</v>
      </c>
      <c r="M47" s="64">
        <f t="shared" si="6"/>
        <v>500</v>
      </c>
      <c r="N47" s="87">
        <v>560</v>
      </c>
      <c r="O47" s="63">
        <f>Table_SiteMilestoneTracking[[#This Row],[SiteDesignStarted_BL]]+t0_SiteDesignDelayBL</f>
        <v>44010</v>
      </c>
      <c r="P47" s="84">
        <v>44011</v>
      </c>
      <c r="Q47" s="64">
        <f>IF(ISBLANK(Table_SiteMilestoneTracking[[#This Row],[SiteDesignReady_AC]])=FALSE,Table_SiteMilestoneTracking[[#This Row],[SiteDesignReady_AC]]-Table_SiteMilestoneTracking[[#This Row],[SiteDesignReady_BL]],"-")</f>
        <v>1</v>
      </c>
      <c r="R47" s="64">
        <f t="shared" si="5"/>
        <v>500</v>
      </c>
      <c r="S47" s="82">
        <v>425</v>
      </c>
      <c r="T47" s="63">
        <f>Table_SiteMilestoneTracking[[#This Row],[SiteDesignReady_BL]]+t1_SiteSurveyBL</f>
        <v>44012</v>
      </c>
      <c r="U47" s="84">
        <v>44013</v>
      </c>
      <c r="V47" s="64">
        <f>IF(ISBLANK(Table_SiteMilestoneTracking[[#This Row],[SiteSurveyCompleted_AC]])=FALSE,Table_SiteMilestoneTracking[[#This Row],[SiteSurveyCompleted_AC]]-Table_SiteMilestoneTracking[[#This Row],[SiteDesignReady_AC]],"-")</f>
        <v>2</v>
      </c>
      <c r="W47" s="64">
        <f t="shared" si="7"/>
        <v>600</v>
      </c>
      <c r="X47" s="82">
        <v>540</v>
      </c>
      <c r="Y47" s="63">
        <f>Table_SiteMilestoneTracking[[#This Row],[SiteSurveyCompleted_BL]]+t2_SiteAcquisitionBL</f>
        <v>44023</v>
      </c>
      <c r="Z47" s="84">
        <v>44024</v>
      </c>
      <c r="AA47" s="65">
        <f>IF(ISBLANK(Table_SiteMilestoneTracking[[#This Row],[SiteAcquired_AC]])=FALSE,Table_SiteMilestoneTracking[[#This Row],[SiteAcquired_AC]]-Table_SiteMilestoneTracking[[#This Row],[SiteAcquired_BL]],"-")</f>
        <v>1</v>
      </c>
      <c r="AB47" s="65">
        <f>IF(ISBLANK(Table_SiteMilestoneTracking[[#This Row],[SiteAcquired_AC]])=FALSE,Table_SiteMilestoneTracking[[#This Row],[SiteAcquired_AC]]-Table_SiteMilestoneTracking[[#This Row],[SiteSurveyCompleted_AC]],"-")</f>
        <v>11</v>
      </c>
      <c r="AC47" s="64">
        <f t="shared" si="8"/>
        <v>150</v>
      </c>
      <c r="AD47" s="82">
        <v>165</v>
      </c>
      <c r="AE47" s="63">
        <f>Table_SiteMilestoneTracking[[#This Row],[SiteAcquired_BL]]+t2a_SiteCWReadinessBL</f>
        <v>44025</v>
      </c>
      <c r="AF47" s="85">
        <v>44026</v>
      </c>
      <c r="AG47" s="66">
        <f>IF(ISBLANK(Table_SiteMilestoneTracking[[#This Row],[SiteReadyForCW_AC]])=FALSE,Table_SiteMilestoneTracking[[#This Row],[SiteReadyForCW_AC]]-Table_SiteMilestoneTracking[[#This Row],[SiteReadyForCW_BL]],"-")</f>
        <v>1</v>
      </c>
      <c r="AH47" s="66">
        <f>IF(ISBLANK(Table_SiteMilestoneTracking[[#This Row],[SiteReadyForCW_AC]])=FALSE,Table_SiteMilestoneTracking[[#This Row],[SiteReadyForCW_AC]]-Table_SiteMilestoneTracking[[#This Row],[SiteDesignReady_AC]],"-")</f>
        <v>15</v>
      </c>
      <c r="AI47" s="64">
        <f t="shared" si="9"/>
        <v>1500</v>
      </c>
      <c r="AJ47" s="82">
        <v>1200</v>
      </c>
      <c r="AK47" s="63">
        <f>Table_SiteMilestoneTracking[[#This Row],[SiteReadyForCW_BL]]+t3_CivilWorksBL</f>
        <v>44033</v>
      </c>
      <c r="AL47" s="84">
        <v>44035</v>
      </c>
      <c r="AM47" s="64">
        <f>IF(ISBLANK(Table_SiteMilestoneTracking[[#This Row],[SiteReadyForPower_AC]])=FALSE,Table_SiteMilestoneTracking[[#This Row],[SiteReadyForPower_AC]]-Table_SiteMilestoneTracking[[#This Row],[SiteReadyForPower_BL]],"-")</f>
        <v>2</v>
      </c>
      <c r="AN47" s="64">
        <f>IF(ISBLANK(Table_SiteMilestoneTracking[[#This Row],[SiteReadyForPower_AC]])=FALSE,Table_SiteMilestoneTracking[[#This Row],[SiteReadyForPower_AC]]-Table_SiteMilestoneTracking[[#This Row],[SiteReadyForCW_AC]],"-")</f>
        <v>9</v>
      </c>
      <c r="AO47" s="64">
        <f t="shared" si="10"/>
        <v>500</v>
      </c>
      <c r="AP47" s="82">
        <v>600</v>
      </c>
      <c r="AQ47" s="63">
        <f>Table_SiteMilestoneTracking[[#This Row],[SiteReadyForPower_BL]]+t4_PowerInstallBL</f>
        <v>44038</v>
      </c>
      <c r="AR47" s="84">
        <v>44040</v>
      </c>
      <c r="AS47" s="64">
        <f>IF(ISBLANK(Table_SiteMilestoneTracking[[#This Row],[TXReady_AC]])=FALSE,Table_SiteMilestoneTracking[[#This Row],[TXReady_AC]]-Table_SiteMilestoneTracking[[#This Row],[TXReady_BL]],"-")</f>
        <v>2</v>
      </c>
      <c r="AT47" s="64">
        <f>IF(ISBLANK(Table_SiteMilestoneTracking[[#This Row],[TXReady_AC]])=FALSE,Table_SiteMilestoneTracking[[#This Row],[TXReady_AC]]-Table_SiteMilestoneTracking[[#This Row],[SiteReadyForPower_AC]],"-")</f>
        <v>5</v>
      </c>
      <c r="AU47" s="64">
        <f>$AU$2</f>
        <v>500</v>
      </c>
      <c r="AV47" s="82">
        <v>600</v>
      </c>
      <c r="AW47" s="63">
        <f>Table_SiteMilestoneTracking[[#This Row],[TXReady_BL]]+t5_TxintegrationBL</f>
        <v>44045</v>
      </c>
      <c r="AX47" s="84">
        <v>44045</v>
      </c>
      <c r="AY47" s="64">
        <f>IF(ISBLANK(Table_SiteMilestoneTracking[[#This Row],[SiteReadyForInstallation_AC]])=FALSE,Table_SiteMilestoneTracking[[#This Row],[SiteReadyForInstallation_AC]]-Table_SiteMilestoneTracking[[#This Row],[SiteReadyForInstallation_BL]],"-")</f>
        <v>0</v>
      </c>
      <c r="AZ47" s="64">
        <f>IF(ISBLANK(Table_SiteMilestoneTracking[[#This Row],[SiteReadyForInstallation_AC]])=FALSE,Table_SiteMilestoneTracking[[#This Row],[SiteReadyForInstallation_AC]]-Table_SiteMilestoneTracking[[#This Row],[TXReady_AC]],"-")</f>
        <v>5</v>
      </c>
      <c r="BA47" s="64">
        <f>$BA$2</f>
        <v>2500</v>
      </c>
      <c r="BB47" s="82"/>
      <c r="BC47" s="63">
        <f>Table_SiteMilestoneTracking[[#This Row],[SiteReadyForInstallation_BL]]+t6_InstallationBL</f>
        <v>44049</v>
      </c>
      <c r="BD47" s="84"/>
      <c r="BE47" s="64" t="str">
        <f>IF(ISBLANK(Table_SiteMilestoneTracking[[#This Row],[SiteReadyForIntegration_AC]])=FALSE,Table_SiteMilestoneTracking[[#This Row],[SiteReadyForIntegration_AC]]-Table_SiteMilestoneTracking[[#This Row],[SiteReadyForIntegration_BL]],"-")</f>
        <v>-</v>
      </c>
      <c r="BF47" s="64" t="str">
        <f>IF(ISBLANK(Table_SiteMilestoneTracking[[#This Row],[SiteReadyForIntegration_AC]])=FALSE,Table_SiteMilestoneTracking[[#This Row],[SiteReadyForIntegration_AC]]-Table_SiteMilestoneTracking[[#This Row],[SiteReadyForInstallation_AC]],"-")</f>
        <v>-</v>
      </c>
      <c r="BG47" s="64">
        <f>$BG$2</f>
        <v>500</v>
      </c>
      <c r="BH47" s="82"/>
      <c r="BI47" s="63">
        <f>Table_SiteMilestoneTracking[[#This Row],[SiteReadyForIntegration_BL]]+t7_IntegrationBL</f>
        <v>44053</v>
      </c>
      <c r="BJ47" s="84"/>
      <c r="BK47" s="64" t="str">
        <f>IF(ISBLANK(Table_SiteMilestoneTracking[[#This Row],[SiteOnAir_AC]])=FALSE,Table_SiteMilestoneTracking[[#This Row],[SiteOnAir_AC]]-Table_SiteMilestoneTracking[[#This Row],[SiteOnAir_BL]],"-")</f>
        <v>-</v>
      </c>
      <c r="BL47" s="64" t="str">
        <f>IF(ISBLANK(Table_SiteMilestoneTracking[[#This Row],[SiteOnAir_AC]])=FALSE,Table_SiteMilestoneTracking[[#This Row],[SiteOnAir_AC]]-Table_SiteMilestoneTracking[[#This Row],[SiteReadyForIntegration_AC]],"-")</f>
        <v>-</v>
      </c>
      <c r="BM47" s="64">
        <f>$BM$2</f>
        <v>250</v>
      </c>
      <c r="BN47" s="82"/>
      <c r="BO47" s="63">
        <f>Table_SiteMilestoneTracking[[#This Row],[SiteOnAir_BL]]+t8_AcceptanceBL</f>
        <v>44057</v>
      </c>
      <c r="BP47" s="84"/>
      <c r="BQ47" s="64" t="str">
        <f>IF(ISBLANK(Table_SiteMilestoneTracking[[#This Row],[SiteAccepted_AC]])=FALSE,Table_SiteMilestoneTracking[[#This Row],[SiteAccepted_AC]]-Table_SiteMilestoneTracking[[#This Row],[SiteAccepted_BL]],"-")</f>
        <v>-</v>
      </c>
      <c r="BR47" s="64" t="str">
        <f>IF(ISBLANK(Table_SiteMilestoneTracking[[#This Row],[SiteAccepted_AC]])=FALSE,Table_SiteMilestoneTracking[[#This Row],[SiteAccepted_AC]]-Table_SiteMilestoneTracking[[#This Row],[SiteOnAir_AC]],"-")</f>
        <v>-</v>
      </c>
      <c r="BS47" s="64">
        <f>$BS$2</f>
        <v>200</v>
      </c>
      <c r="BT47" s="82"/>
      <c r="BU47" s="63">
        <f>Table_SiteMilestoneTracking[[#This Row],[SiteAccepted_BL]]+t9_HandoverBL</f>
        <v>44065</v>
      </c>
      <c r="BV47" s="84"/>
      <c r="BW47" s="64" t="str">
        <f>IF(ISBLANK(Table_SiteMilestoneTracking[[#This Row],[SiteInOperations_AC]])=FALSE,Table_SiteMilestoneTracking[[#This Row],[SiteInOperations_AC]]-Table_SiteMilestoneTracking[[#This Row],[SiteInOperations_BL]],"-")</f>
        <v>-</v>
      </c>
      <c r="BX47" s="66">
        <f>Table_SiteMilestoneTracking[[#This Row],[SiteInOperations_BL]]-Table_SiteMilestoneTracking[[#This Row],[SiteDesignReady_BL]]</f>
        <v>55</v>
      </c>
      <c r="BY47" s="66" t="str">
        <f>IF(Table_SiteMilestoneTracking[[#This Row],[CurrentSiteMilestone]]="SiteInOperations",Table_SiteMilestoneTracking[[#This Row],[SiteInOperations_AC]]-Table_SiteMilestoneTracking[[#This Row],[SiteDesignReady_AC]],"")</f>
        <v/>
      </c>
      <c r="BZ47" s="66" t="str">
        <f>IFERROR(Table_SiteMilestoneTracking[[#This Row],[E2E_Site_AC]]-Table_SiteMilestoneTracking[[#This Row],[E2E_Site_BL]],"")</f>
        <v/>
      </c>
      <c r="CA47" s="66" t="str">
        <f>IF(Table_SiteMilestoneTracking[[#This Row],[CurrentSiteMilestone]]="SiteInOperations",Table_SiteMilestoneTracking[[#This Row],[SiteInOperations_AC]]-Table_SiteMilestoneTracking[[#This Row],[SiteAccepted_AC]],"")</f>
        <v/>
      </c>
      <c r="CB47" s="79"/>
      <c r="CC47" s="89"/>
      <c r="CD47" s="89"/>
      <c r="CE47" s="70"/>
      <c r="CF47" s="70"/>
      <c r="CG47" s="70"/>
      <c r="CH47" s="70"/>
      <c r="CI47" s="70"/>
      <c r="CJ47" s="70"/>
      <c r="CK47" s="70"/>
      <c r="CL47" s="70"/>
      <c r="CM47" s="70"/>
      <c r="CN47" s="70"/>
      <c r="CO47" s="70"/>
      <c r="CP47" s="70"/>
      <c r="CQ47" s="70"/>
      <c r="CR47" s="70"/>
      <c r="CS47" s="70"/>
      <c r="CT47" s="70"/>
      <c r="CU47" s="70"/>
      <c r="CV47" s="70"/>
      <c r="CW47" s="70"/>
      <c r="CX47" s="70"/>
      <c r="CY47" s="70"/>
      <c r="CZ47" s="70"/>
      <c r="DA47" s="70"/>
      <c r="DB47" s="70"/>
      <c r="DC47" s="70"/>
      <c r="DD47" s="70"/>
      <c r="DE47" s="70"/>
      <c r="DF47" s="70"/>
      <c r="DG47" s="70"/>
      <c r="DH47" s="70"/>
      <c r="DI47" s="70"/>
      <c r="DJ47" s="70"/>
      <c r="DK47" s="70"/>
      <c r="DL47" s="70"/>
      <c r="DM47" s="70"/>
      <c r="DN47" s="70"/>
      <c r="DO47" s="70"/>
      <c r="DP47" s="70"/>
      <c r="DQ47" s="70"/>
      <c r="DR47" s="70"/>
      <c r="DS47" s="70"/>
      <c r="DT47" s="70"/>
      <c r="DU47" s="70"/>
      <c r="DV47" s="70"/>
    </row>
    <row r="48" spans="1:126" x14ac:dyDescent="0.3">
      <c r="A48" s="79" t="str">
        <f>'4. Design Tracking Summary'!A49</f>
        <v>PI00226</v>
      </c>
      <c r="B48" s="79" t="str">
        <f>'4. Design Tracking Summary'!B49</f>
        <v>Center</v>
      </c>
      <c r="C48" s="79" t="str">
        <f>'4. Design Tracking Summary'!C49</f>
        <v>GTO</v>
      </c>
      <c r="D48" s="79" t="str">
        <f>'4. Design Tracking Summary'!D49</f>
        <v>SMALL</v>
      </c>
      <c r="E48" s="79" t="s">
        <v>56</v>
      </c>
      <c r="F48" s="79"/>
      <c r="G48" s="60" t="str">
        <f>IFERROR(INDEX(Table_SiteMilestonesNames[SiteMilestoneName],COUNTA(Table_SiteMilestoneTracking[[#This Row],[SiteDesignStarted_AC]],Table_SiteMilestoneTracking[[#This Row],[SiteDesignReady_AC]],Table_SiteMilestoneTracking[[#This Row],[SiteSurveyCompleted_AC]],Table_SiteMilestoneTracking[[#This Row],[SiteAcquired_AC]],Table_SiteMilestoneTracking[[#This Row],[SiteReadyForCW_AC]],Table_SiteMilestoneTracking[[#This Row],[SiteReadyForPower_AC]],Table_SiteMilestoneTracking[[#This Row],[TXReady_AC]],Table_SiteMilestoneTracking[[#This Row],[SiteReadyForInstallation_AC]],Table_SiteMilestoneTracking[[#This Row],[SiteReadyForIntegration_AC]],Table_SiteMilestoneTracking[[#This Row],[SiteOnAir_AC]],Table_SiteMilestoneTracking[[#This Row],[SiteAccepted_AC]],Table_SiteMilestoneTracking[[#This Row],[SiteInOperations_AC]])+1),"Invalid Milestone")</f>
        <v>SiteReadyForInstallation</v>
      </c>
      <c r="H48" s="61">
        <f>Table_SiteMilestoneTracking[[#This Row],[c0_SiteDesignCostBL]]+Table_SiteMilestoneTracking[[#This Row],[c1_SiteSurveyCostBL]]+Table_SiteMilestoneTracking[[#This Row],[c2_SiteAcquisitionCostBL]]+Table_SiteMilestoneTracking[[#This Row],[c3_CivilWorksCostBL]]+Table_SiteMilestoneTracking[[#This Row],[c4_PowerInstallCostBL]]+Table_SiteMilestoneTracking[[#This Row],[c5_TxintegrationCostBL]]+Table_SiteMilestoneTracking[[#This Row],[c6_InstallationCostBL]]+Table_SiteMilestoneTracking[[#This Row],[c7_IntegrationCostBL]]+Table_SiteMilestoneTracking[[#This Row],[c8_AcceptanceCostBL]]+Table_SiteMilestoneTracking[[#This Row],[c9_HandoverCostBL]]</f>
        <v>7550</v>
      </c>
      <c r="I48" s="62">
        <f>Table_SiteMilestoneTracking[[#This Row],[c0_SiteDesignCostAC]]+Table_SiteMilestoneTracking[[#This Row],[c1_SiteSurveyCostAC]]+Table_SiteMilestoneTracking[[#This Row],[c2_SiteAcquisitionCostAC]]+Table_SiteMilestoneTracking[[#This Row],[c3_CivilWorksCostAC]]+Table_SiteMilestoneTracking[[#This Row],[c4_PowerInstallCostAC]]+Table_SiteMilestoneTracking[[#This Row],[c5_TxintegrationCostAC]]+Table_SiteMilestoneTracking[[#This Row],[c6_InstallationCostAC]]+Table_SiteMilestoneTracking[[#This Row],[c7_IntegrationCostAC]]+Table_SiteMilestoneTracking[[#This Row],[c8_AcceptanceCostAC]]+Table_SiteMilestoneTracking[[#This Row],[c9_HandoverCostAC]]</f>
        <v>4115</v>
      </c>
      <c r="J48" s="84">
        <v>44008</v>
      </c>
      <c r="K48" s="84">
        <v>44009</v>
      </c>
      <c r="L48" s="64">
        <f>IF(ISBLANK(Table_SiteMilestoneTracking[[#This Row],[SiteDesignStarted_AC]])=FALSE,Table_SiteMilestoneTracking[[#This Row],[SiteDesignStarted_AC]]-Table_SiteMilestoneTracking[[#This Row],[SiteDesignStarted_BL]],"")</f>
        <v>1</v>
      </c>
      <c r="M48" s="64">
        <f t="shared" si="6"/>
        <v>500</v>
      </c>
      <c r="N48" s="87">
        <v>420</v>
      </c>
      <c r="O48" s="63">
        <f>Table_SiteMilestoneTracking[[#This Row],[SiteDesignStarted_BL]]+t0_SiteDesignDelayBL</f>
        <v>44010</v>
      </c>
      <c r="P48" s="84">
        <v>44015</v>
      </c>
      <c r="Q48" s="64">
        <f>IF(ISBLANK(Table_SiteMilestoneTracking[[#This Row],[SiteDesignReady_AC]])=FALSE,Table_SiteMilestoneTracking[[#This Row],[SiteDesignReady_AC]]-Table_SiteMilestoneTracking[[#This Row],[SiteDesignReady_BL]],"-")</f>
        <v>5</v>
      </c>
      <c r="R48" s="64">
        <f t="shared" si="5"/>
        <v>500</v>
      </c>
      <c r="S48" s="82">
        <v>775</v>
      </c>
      <c r="T48" s="63">
        <f>Table_SiteMilestoneTracking[[#This Row],[SiteDesignReady_BL]]+t1_SiteSurveyBL</f>
        <v>44012</v>
      </c>
      <c r="U48" s="84">
        <v>44017</v>
      </c>
      <c r="V48" s="64">
        <f>IF(ISBLANK(Table_SiteMilestoneTracking[[#This Row],[SiteSurveyCompleted_AC]])=FALSE,Table_SiteMilestoneTracking[[#This Row],[SiteSurveyCompleted_AC]]-Table_SiteMilestoneTracking[[#This Row],[SiteDesignReady_AC]],"-")</f>
        <v>2</v>
      </c>
      <c r="W48" s="64">
        <f t="shared" si="7"/>
        <v>600</v>
      </c>
      <c r="X48" s="82">
        <v>420</v>
      </c>
      <c r="Y48" s="63">
        <f>Table_SiteMilestoneTracking[[#This Row],[SiteSurveyCompleted_BL]]+t2_SiteAcquisitionBL</f>
        <v>44023</v>
      </c>
      <c r="Z48" s="84">
        <v>44029</v>
      </c>
      <c r="AA48" s="65">
        <f>IF(ISBLANK(Table_SiteMilestoneTracking[[#This Row],[SiteAcquired_AC]])=FALSE,Table_SiteMilestoneTracking[[#This Row],[SiteAcquired_AC]]-Table_SiteMilestoneTracking[[#This Row],[SiteAcquired_BL]],"-")</f>
        <v>6</v>
      </c>
      <c r="AB48" s="65">
        <f>IF(ISBLANK(Table_SiteMilestoneTracking[[#This Row],[SiteAcquired_AC]])=FALSE,Table_SiteMilestoneTracking[[#This Row],[SiteAcquired_AC]]-Table_SiteMilestoneTracking[[#This Row],[SiteSurveyCompleted_AC]],"-")</f>
        <v>12</v>
      </c>
      <c r="AC48" s="64">
        <f t="shared" si="8"/>
        <v>150</v>
      </c>
      <c r="AD48" s="82">
        <v>165</v>
      </c>
      <c r="AE48" s="63">
        <f>Table_SiteMilestoneTracking[[#This Row],[SiteAcquired_BL]]+t2a_SiteCWReadinessBL</f>
        <v>44025</v>
      </c>
      <c r="AF48" s="85">
        <v>44031</v>
      </c>
      <c r="AG48" s="66">
        <f>IF(ISBLANK(Table_SiteMilestoneTracking[[#This Row],[SiteReadyForCW_AC]])=FALSE,Table_SiteMilestoneTracking[[#This Row],[SiteReadyForCW_AC]]-Table_SiteMilestoneTracking[[#This Row],[SiteReadyForCW_BL]],"-")</f>
        <v>6</v>
      </c>
      <c r="AH48" s="66">
        <f>IF(ISBLANK(Table_SiteMilestoneTracking[[#This Row],[SiteReadyForCW_AC]])=FALSE,Table_SiteMilestoneTracking[[#This Row],[SiteReadyForCW_AC]]-Table_SiteMilestoneTracking[[#This Row],[SiteDesignReady_AC]],"-")</f>
        <v>16</v>
      </c>
      <c r="AI48" s="64">
        <f t="shared" si="9"/>
        <v>1500</v>
      </c>
      <c r="AJ48" s="82">
        <v>1500</v>
      </c>
      <c r="AK48" s="63">
        <f>Table_SiteMilestoneTracking[[#This Row],[SiteReadyForCW_BL]]+t3_CivilWorksBL</f>
        <v>44033</v>
      </c>
      <c r="AL48" s="84">
        <v>44040</v>
      </c>
      <c r="AM48" s="64">
        <f>IF(ISBLANK(Table_SiteMilestoneTracking[[#This Row],[SiteReadyForPower_AC]])=FALSE,Table_SiteMilestoneTracking[[#This Row],[SiteReadyForPower_AC]]-Table_SiteMilestoneTracking[[#This Row],[SiteReadyForPower_BL]],"-")</f>
        <v>7</v>
      </c>
      <c r="AN48" s="64">
        <f>IF(ISBLANK(Table_SiteMilestoneTracking[[#This Row],[SiteReadyForPower_AC]])=FALSE,Table_SiteMilestoneTracking[[#This Row],[SiteReadyForPower_AC]]-Table_SiteMilestoneTracking[[#This Row],[SiteReadyForCW_AC]],"-")</f>
        <v>9</v>
      </c>
      <c r="AO48" s="64">
        <f t="shared" si="10"/>
        <v>500</v>
      </c>
      <c r="AP48" s="82">
        <v>700</v>
      </c>
      <c r="AQ48" s="63">
        <f>Table_SiteMilestoneTracking[[#This Row],[SiteReadyForPower_BL]]+t4_PowerInstallBL</f>
        <v>44038</v>
      </c>
      <c r="AR48" s="84">
        <v>44045</v>
      </c>
      <c r="AS48" s="64">
        <f>IF(ISBLANK(Table_SiteMilestoneTracking[[#This Row],[TXReady_AC]])=FALSE,Table_SiteMilestoneTracking[[#This Row],[TXReady_AC]]-Table_SiteMilestoneTracking[[#This Row],[TXReady_BL]],"-")</f>
        <v>7</v>
      </c>
      <c r="AT48" s="64">
        <f>IF(ISBLANK(Table_SiteMilestoneTracking[[#This Row],[TXReady_AC]])=FALSE,Table_SiteMilestoneTracking[[#This Row],[TXReady_AC]]-Table_SiteMilestoneTracking[[#This Row],[SiteReadyForPower_AC]],"-")</f>
        <v>5</v>
      </c>
      <c r="AU48" s="64">
        <f>$AU$2</f>
        <v>500</v>
      </c>
      <c r="AV48" s="82">
        <v>300</v>
      </c>
      <c r="AW48" s="63">
        <f>Table_SiteMilestoneTracking[[#This Row],[TXReady_BL]]+t5_TxintegrationBL</f>
        <v>44045</v>
      </c>
      <c r="AX48" s="84">
        <v>44052</v>
      </c>
      <c r="AY48" s="64">
        <f>IF(ISBLANK(Table_SiteMilestoneTracking[[#This Row],[SiteReadyForInstallation_AC]])=FALSE,Table_SiteMilestoneTracking[[#This Row],[SiteReadyForInstallation_AC]]-Table_SiteMilestoneTracking[[#This Row],[SiteReadyForInstallation_BL]],"-")</f>
        <v>7</v>
      </c>
      <c r="AZ48" s="64">
        <f>IF(ISBLANK(Table_SiteMilestoneTracking[[#This Row],[SiteReadyForInstallation_AC]])=FALSE,Table_SiteMilestoneTracking[[#This Row],[SiteReadyForInstallation_AC]]-Table_SiteMilestoneTracking[[#This Row],[TXReady_AC]],"-")</f>
        <v>7</v>
      </c>
      <c r="BA48" s="64">
        <f>$BA$2</f>
        <v>2500</v>
      </c>
      <c r="BB48" s="82"/>
      <c r="BC48" s="63">
        <f>Table_SiteMilestoneTracking[[#This Row],[SiteReadyForInstallation_BL]]+t6_InstallationBL</f>
        <v>44049</v>
      </c>
      <c r="BD48" s="84"/>
      <c r="BE48" s="64" t="str">
        <f>IF(ISBLANK(Table_SiteMilestoneTracking[[#This Row],[SiteReadyForIntegration_AC]])=FALSE,Table_SiteMilestoneTracking[[#This Row],[SiteReadyForIntegration_AC]]-Table_SiteMilestoneTracking[[#This Row],[SiteReadyForIntegration_BL]],"-")</f>
        <v>-</v>
      </c>
      <c r="BF48" s="64" t="str">
        <f>IF(ISBLANK(Table_SiteMilestoneTracking[[#This Row],[SiteReadyForIntegration_AC]])=FALSE,Table_SiteMilestoneTracking[[#This Row],[SiteReadyForIntegration_AC]]-Table_SiteMilestoneTracking[[#This Row],[SiteReadyForInstallation_AC]],"-")</f>
        <v>-</v>
      </c>
      <c r="BG48" s="64">
        <f>$BG$2</f>
        <v>500</v>
      </c>
      <c r="BH48" s="82"/>
      <c r="BI48" s="63">
        <f>Table_SiteMilestoneTracking[[#This Row],[SiteReadyForIntegration_BL]]+t7_IntegrationBL</f>
        <v>44053</v>
      </c>
      <c r="BJ48" s="84"/>
      <c r="BK48" s="64" t="str">
        <f>IF(ISBLANK(Table_SiteMilestoneTracking[[#This Row],[SiteOnAir_AC]])=FALSE,Table_SiteMilestoneTracking[[#This Row],[SiteOnAir_AC]]-Table_SiteMilestoneTracking[[#This Row],[SiteOnAir_BL]],"-")</f>
        <v>-</v>
      </c>
      <c r="BL48" s="64" t="str">
        <f>IF(ISBLANK(Table_SiteMilestoneTracking[[#This Row],[SiteOnAir_AC]])=FALSE,Table_SiteMilestoneTracking[[#This Row],[SiteOnAir_AC]]-Table_SiteMilestoneTracking[[#This Row],[SiteReadyForIntegration_AC]],"-")</f>
        <v>-</v>
      </c>
      <c r="BM48" s="64">
        <f>$BM$2</f>
        <v>250</v>
      </c>
      <c r="BN48" s="82"/>
      <c r="BO48" s="63">
        <f>Table_SiteMilestoneTracking[[#This Row],[SiteOnAir_BL]]+t8_AcceptanceBL</f>
        <v>44057</v>
      </c>
      <c r="BP48" s="84"/>
      <c r="BQ48" s="64" t="str">
        <f>IF(ISBLANK(Table_SiteMilestoneTracking[[#This Row],[SiteAccepted_AC]])=FALSE,Table_SiteMilestoneTracking[[#This Row],[SiteAccepted_AC]]-Table_SiteMilestoneTracking[[#This Row],[SiteAccepted_BL]],"-")</f>
        <v>-</v>
      </c>
      <c r="BR48" s="64" t="str">
        <f>IF(ISBLANK(Table_SiteMilestoneTracking[[#This Row],[SiteAccepted_AC]])=FALSE,Table_SiteMilestoneTracking[[#This Row],[SiteAccepted_AC]]-Table_SiteMilestoneTracking[[#This Row],[SiteOnAir_AC]],"-")</f>
        <v>-</v>
      </c>
      <c r="BS48" s="64">
        <f>$BS$2</f>
        <v>200</v>
      </c>
      <c r="BT48" s="82"/>
      <c r="BU48" s="63">
        <f>Table_SiteMilestoneTracking[[#This Row],[SiteAccepted_BL]]+t9_HandoverBL</f>
        <v>44065</v>
      </c>
      <c r="BV48" s="84"/>
      <c r="BW48" s="64" t="str">
        <f>IF(ISBLANK(Table_SiteMilestoneTracking[[#This Row],[SiteInOperations_AC]])=FALSE,Table_SiteMilestoneTracking[[#This Row],[SiteInOperations_AC]]-Table_SiteMilestoneTracking[[#This Row],[SiteInOperations_BL]],"-")</f>
        <v>-</v>
      </c>
      <c r="BX48" s="66">
        <f>Table_SiteMilestoneTracking[[#This Row],[SiteInOperations_BL]]-Table_SiteMilestoneTracking[[#This Row],[SiteDesignReady_BL]]</f>
        <v>55</v>
      </c>
      <c r="BY48" s="66" t="str">
        <f>IF(Table_SiteMilestoneTracking[[#This Row],[CurrentSiteMilestone]]="SiteInOperations",Table_SiteMilestoneTracking[[#This Row],[SiteInOperations_AC]]-Table_SiteMilestoneTracking[[#This Row],[SiteDesignReady_AC]],"")</f>
        <v/>
      </c>
      <c r="BZ48" s="66" t="str">
        <f>IFERROR(Table_SiteMilestoneTracking[[#This Row],[E2E_Site_AC]]-Table_SiteMilestoneTracking[[#This Row],[E2E_Site_BL]],"")</f>
        <v/>
      </c>
      <c r="CA48" s="66" t="str">
        <f>IF(Table_SiteMilestoneTracking[[#This Row],[CurrentSiteMilestone]]="SiteInOperations",Table_SiteMilestoneTracking[[#This Row],[SiteInOperations_AC]]-Table_SiteMilestoneTracking[[#This Row],[SiteAccepted_AC]],"")</f>
        <v/>
      </c>
      <c r="CB48" s="79"/>
      <c r="CC48" s="89"/>
      <c r="CD48" s="89"/>
      <c r="CE48" s="70"/>
      <c r="CF48" s="70"/>
      <c r="CG48" s="70"/>
      <c r="CH48" s="70"/>
      <c r="CI48" s="70"/>
      <c r="CJ48" s="70"/>
      <c r="CK48" s="70"/>
      <c r="CL48" s="70"/>
      <c r="CM48" s="70"/>
      <c r="CN48" s="70"/>
      <c r="CO48" s="70"/>
      <c r="CP48" s="70"/>
      <c r="CQ48" s="70"/>
      <c r="CR48" s="70"/>
      <c r="CS48" s="70"/>
      <c r="CT48" s="70"/>
      <c r="CU48" s="70"/>
      <c r="CV48" s="70"/>
      <c r="CW48" s="70"/>
      <c r="CX48" s="70"/>
      <c r="CY48" s="70"/>
      <c r="CZ48" s="70"/>
      <c r="DA48" s="70"/>
      <c r="DB48" s="70"/>
      <c r="DC48" s="70"/>
      <c r="DD48" s="70"/>
      <c r="DE48" s="70"/>
      <c r="DF48" s="70"/>
      <c r="DG48" s="70"/>
      <c r="DH48" s="70"/>
      <c r="DI48" s="70"/>
      <c r="DJ48" s="70"/>
      <c r="DK48" s="70"/>
      <c r="DL48" s="70"/>
      <c r="DM48" s="70"/>
      <c r="DN48" s="70"/>
      <c r="DO48" s="70"/>
      <c r="DP48" s="70"/>
      <c r="DQ48" s="70"/>
      <c r="DR48" s="70"/>
      <c r="DS48" s="70"/>
      <c r="DT48" s="70"/>
      <c r="DU48" s="70"/>
      <c r="DV48" s="70"/>
    </row>
    <row r="49" spans="1:126" x14ac:dyDescent="0.3">
      <c r="A49" s="79" t="str">
        <f>'4. Design Tracking Summary'!A50</f>
        <v>PI00227</v>
      </c>
      <c r="B49" s="79" t="str">
        <f>'4. Design Tracking Summary'!B50</f>
        <v>Center</v>
      </c>
      <c r="C49" s="79" t="str">
        <f>'4. Design Tracking Summary'!C50</f>
        <v>QRO</v>
      </c>
      <c r="D49" s="79" t="str">
        <f>'4. Design Tracking Summary'!D50</f>
        <v>MACRO</v>
      </c>
      <c r="E49" s="79" t="s">
        <v>57</v>
      </c>
      <c r="F49" s="79"/>
      <c r="G49" s="60" t="str">
        <f>IFERROR(INDEX(Table_SiteMilestonesNames[SiteMilestoneName],COUNTA(Table_SiteMilestoneTracking[[#This Row],[SiteDesignStarted_AC]],Table_SiteMilestoneTracking[[#This Row],[SiteDesignReady_AC]],Table_SiteMilestoneTracking[[#This Row],[SiteSurveyCompleted_AC]],Table_SiteMilestoneTracking[[#This Row],[SiteAcquired_AC]],Table_SiteMilestoneTracking[[#This Row],[SiteReadyForCW_AC]],Table_SiteMilestoneTracking[[#This Row],[SiteReadyForPower_AC]],Table_SiteMilestoneTracking[[#This Row],[TXReady_AC]],Table_SiteMilestoneTracking[[#This Row],[SiteReadyForInstallation_AC]],Table_SiteMilestoneTracking[[#This Row],[SiteReadyForIntegration_AC]],Table_SiteMilestoneTracking[[#This Row],[SiteOnAir_AC]],Table_SiteMilestoneTracking[[#This Row],[SiteAccepted_AC]],Table_SiteMilestoneTracking[[#This Row],[SiteInOperations_AC]])+1),"Invalid Milestone")</f>
        <v>SiteReadyForInstallation</v>
      </c>
      <c r="H49" s="61">
        <f>Table_SiteMilestoneTracking[[#This Row],[c0_SiteDesignCostBL]]+Table_SiteMilestoneTracking[[#This Row],[c1_SiteSurveyCostBL]]+Table_SiteMilestoneTracking[[#This Row],[c2_SiteAcquisitionCostBL]]+Table_SiteMilestoneTracking[[#This Row],[c3_CivilWorksCostBL]]+Table_SiteMilestoneTracking[[#This Row],[c4_PowerInstallCostBL]]+Table_SiteMilestoneTracking[[#This Row],[c5_TxintegrationCostBL]]+Table_SiteMilestoneTracking[[#This Row],[c6_InstallationCostBL]]+Table_SiteMilestoneTracking[[#This Row],[c7_IntegrationCostBL]]+Table_SiteMilestoneTracking[[#This Row],[c8_AcceptanceCostBL]]+Table_SiteMilestoneTracking[[#This Row],[c9_HandoverCostBL]]</f>
        <v>7550</v>
      </c>
      <c r="I49" s="62">
        <f>Table_SiteMilestoneTracking[[#This Row],[c0_SiteDesignCostAC]]+Table_SiteMilestoneTracking[[#This Row],[c1_SiteSurveyCostAC]]+Table_SiteMilestoneTracking[[#This Row],[c2_SiteAcquisitionCostAC]]+Table_SiteMilestoneTracking[[#This Row],[c3_CivilWorksCostAC]]+Table_SiteMilestoneTracking[[#This Row],[c4_PowerInstallCostAC]]+Table_SiteMilestoneTracking[[#This Row],[c5_TxintegrationCostAC]]+Table_SiteMilestoneTracking[[#This Row],[c6_InstallationCostAC]]+Table_SiteMilestoneTracking[[#This Row],[c7_IntegrationCostAC]]+Table_SiteMilestoneTracking[[#This Row],[c8_AcceptanceCostAC]]+Table_SiteMilestoneTracking[[#This Row],[c9_HandoverCostAC]]</f>
        <v>3825</v>
      </c>
      <c r="J49" s="84">
        <v>44008</v>
      </c>
      <c r="K49" s="84">
        <v>44009</v>
      </c>
      <c r="L49" s="64">
        <f>IF(ISBLANK(Table_SiteMilestoneTracking[[#This Row],[SiteDesignStarted_AC]])=FALSE,Table_SiteMilestoneTracking[[#This Row],[SiteDesignStarted_AC]]-Table_SiteMilestoneTracking[[#This Row],[SiteDesignStarted_BL]],"")</f>
        <v>1</v>
      </c>
      <c r="M49" s="64">
        <f t="shared" si="6"/>
        <v>500</v>
      </c>
      <c r="N49" s="87">
        <v>400</v>
      </c>
      <c r="O49" s="63">
        <f>Table_SiteMilestoneTracking[[#This Row],[SiteDesignStarted_BL]]+t0_SiteDesignDelayBL</f>
        <v>44010</v>
      </c>
      <c r="P49" s="84">
        <v>44011</v>
      </c>
      <c r="Q49" s="64">
        <f>IF(ISBLANK(Table_SiteMilestoneTracking[[#This Row],[SiteDesignReady_AC]])=FALSE,Table_SiteMilestoneTracking[[#This Row],[SiteDesignReady_AC]]-Table_SiteMilestoneTracking[[#This Row],[SiteDesignReady_BL]],"-")</f>
        <v>1</v>
      </c>
      <c r="R49" s="64">
        <f t="shared" si="5"/>
        <v>500</v>
      </c>
      <c r="S49" s="82">
        <v>625</v>
      </c>
      <c r="T49" s="63">
        <f>Table_SiteMilestoneTracking[[#This Row],[SiteDesignReady_BL]]+t1_SiteSurveyBL</f>
        <v>44012</v>
      </c>
      <c r="U49" s="84">
        <v>44014</v>
      </c>
      <c r="V49" s="64">
        <f>IF(ISBLANK(Table_SiteMilestoneTracking[[#This Row],[SiteSurveyCompleted_AC]])=FALSE,Table_SiteMilestoneTracking[[#This Row],[SiteSurveyCompleted_AC]]-Table_SiteMilestoneTracking[[#This Row],[SiteDesignReady_AC]],"-")</f>
        <v>3</v>
      </c>
      <c r="W49" s="64">
        <f t="shared" si="7"/>
        <v>600</v>
      </c>
      <c r="X49" s="82">
        <v>900</v>
      </c>
      <c r="Y49" s="63">
        <f>Table_SiteMilestoneTracking[[#This Row],[SiteSurveyCompleted_BL]]+t2_SiteAcquisitionBL</f>
        <v>44023</v>
      </c>
      <c r="Z49" s="84">
        <v>44025</v>
      </c>
      <c r="AA49" s="65">
        <f>IF(ISBLANK(Table_SiteMilestoneTracking[[#This Row],[SiteAcquired_AC]])=FALSE,Table_SiteMilestoneTracking[[#This Row],[SiteAcquired_AC]]-Table_SiteMilestoneTracking[[#This Row],[SiteAcquired_BL]],"-")</f>
        <v>2</v>
      </c>
      <c r="AB49" s="65">
        <f>IF(ISBLANK(Table_SiteMilestoneTracking[[#This Row],[SiteAcquired_AC]])=FALSE,Table_SiteMilestoneTracking[[#This Row],[SiteAcquired_AC]]-Table_SiteMilestoneTracking[[#This Row],[SiteSurveyCompleted_AC]],"-")</f>
        <v>11</v>
      </c>
      <c r="AC49" s="64">
        <f t="shared" si="8"/>
        <v>150</v>
      </c>
      <c r="AD49" s="82">
        <v>120</v>
      </c>
      <c r="AE49" s="63">
        <f>Table_SiteMilestoneTracking[[#This Row],[SiteAcquired_BL]]+t2a_SiteCWReadinessBL</f>
        <v>44025</v>
      </c>
      <c r="AF49" s="85">
        <v>44028</v>
      </c>
      <c r="AG49" s="66">
        <f>IF(ISBLANK(Table_SiteMilestoneTracking[[#This Row],[SiteReadyForCW_AC]])=FALSE,Table_SiteMilestoneTracking[[#This Row],[SiteReadyForCW_AC]]-Table_SiteMilestoneTracking[[#This Row],[SiteReadyForCW_BL]],"-")</f>
        <v>3</v>
      </c>
      <c r="AH49" s="66">
        <f>IF(ISBLANK(Table_SiteMilestoneTracking[[#This Row],[SiteReadyForCW_AC]])=FALSE,Table_SiteMilestoneTracking[[#This Row],[SiteReadyForCW_AC]]-Table_SiteMilestoneTracking[[#This Row],[SiteDesignReady_AC]],"-")</f>
        <v>17</v>
      </c>
      <c r="AI49" s="64">
        <f t="shared" si="9"/>
        <v>1500</v>
      </c>
      <c r="AJ49" s="82">
        <v>1200</v>
      </c>
      <c r="AK49" s="63">
        <f>Table_SiteMilestoneTracking[[#This Row],[SiteReadyForCW_BL]]+t3_CivilWorksBL</f>
        <v>44033</v>
      </c>
      <c r="AL49" s="84">
        <v>44036</v>
      </c>
      <c r="AM49" s="64">
        <f>IF(ISBLANK(Table_SiteMilestoneTracking[[#This Row],[SiteReadyForPower_AC]])=FALSE,Table_SiteMilestoneTracking[[#This Row],[SiteReadyForPower_AC]]-Table_SiteMilestoneTracking[[#This Row],[SiteReadyForPower_BL]],"-")</f>
        <v>3</v>
      </c>
      <c r="AN49" s="64">
        <f>IF(ISBLANK(Table_SiteMilestoneTracking[[#This Row],[SiteReadyForPower_AC]])=FALSE,Table_SiteMilestoneTracking[[#This Row],[SiteReadyForPower_AC]]-Table_SiteMilestoneTracking[[#This Row],[SiteReadyForCW_AC]],"-")</f>
        <v>8</v>
      </c>
      <c r="AO49" s="64">
        <f t="shared" si="10"/>
        <v>500</v>
      </c>
      <c r="AP49" s="82">
        <v>250</v>
      </c>
      <c r="AQ49" s="63">
        <f>Table_SiteMilestoneTracking[[#This Row],[SiteReadyForPower_BL]]+t4_PowerInstallBL</f>
        <v>44038</v>
      </c>
      <c r="AR49" s="84">
        <v>44042</v>
      </c>
      <c r="AS49" s="64">
        <f>IF(ISBLANK(Table_SiteMilestoneTracking[[#This Row],[TXReady_AC]])=FALSE,Table_SiteMilestoneTracking[[#This Row],[TXReady_AC]]-Table_SiteMilestoneTracking[[#This Row],[TXReady_BL]],"-")</f>
        <v>4</v>
      </c>
      <c r="AT49" s="64">
        <f>IF(ISBLANK(Table_SiteMilestoneTracking[[#This Row],[TXReady_AC]])=FALSE,Table_SiteMilestoneTracking[[#This Row],[TXReady_AC]]-Table_SiteMilestoneTracking[[#This Row],[SiteReadyForPower_AC]],"-")</f>
        <v>6</v>
      </c>
      <c r="AU49" s="64">
        <f>$AU$2</f>
        <v>500</v>
      </c>
      <c r="AV49" s="82">
        <v>450</v>
      </c>
      <c r="AW49" s="63">
        <f>Table_SiteMilestoneTracking[[#This Row],[TXReady_BL]]+t5_TxintegrationBL</f>
        <v>44045</v>
      </c>
      <c r="AX49" s="84">
        <v>44049</v>
      </c>
      <c r="AY49" s="64">
        <f>IF(ISBLANK(Table_SiteMilestoneTracking[[#This Row],[SiteReadyForInstallation_AC]])=FALSE,Table_SiteMilestoneTracking[[#This Row],[SiteReadyForInstallation_AC]]-Table_SiteMilestoneTracking[[#This Row],[SiteReadyForInstallation_BL]],"-")</f>
        <v>4</v>
      </c>
      <c r="AZ49" s="64">
        <f>IF(ISBLANK(Table_SiteMilestoneTracking[[#This Row],[SiteReadyForInstallation_AC]])=FALSE,Table_SiteMilestoneTracking[[#This Row],[SiteReadyForInstallation_AC]]-Table_SiteMilestoneTracking[[#This Row],[TXReady_AC]],"-")</f>
        <v>7</v>
      </c>
      <c r="BA49" s="64">
        <f>$BA$2</f>
        <v>2500</v>
      </c>
      <c r="BB49" s="82"/>
      <c r="BC49" s="63">
        <f>Table_SiteMilestoneTracking[[#This Row],[SiteReadyForInstallation_BL]]+t6_InstallationBL</f>
        <v>44049</v>
      </c>
      <c r="BD49" s="84"/>
      <c r="BE49" s="64" t="str">
        <f>IF(ISBLANK(Table_SiteMilestoneTracking[[#This Row],[SiteReadyForIntegration_AC]])=FALSE,Table_SiteMilestoneTracking[[#This Row],[SiteReadyForIntegration_AC]]-Table_SiteMilestoneTracking[[#This Row],[SiteReadyForIntegration_BL]],"-")</f>
        <v>-</v>
      </c>
      <c r="BF49" s="64" t="str">
        <f>IF(ISBLANK(Table_SiteMilestoneTracking[[#This Row],[SiteReadyForIntegration_AC]])=FALSE,Table_SiteMilestoneTracking[[#This Row],[SiteReadyForIntegration_AC]]-Table_SiteMilestoneTracking[[#This Row],[SiteReadyForInstallation_AC]],"-")</f>
        <v>-</v>
      </c>
      <c r="BG49" s="64">
        <f>$BG$2</f>
        <v>500</v>
      </c>
      <c r="BH49" s="82"/>
      <c r="BI49" s="63">
        <f>Table_SiteMilestoneTracking[[#This Row],[SiteReadyForIntegration_BL]]+t7_IntegrationBL</f>
        <v>44053</v>
      </c>
      <c r="BJ49" s="84"/>
      <c r="BK49" s="64" t="str">
        <f>IF(ISBLANK(Table_SiteMilestoneTracking[[#This Row],[SiteOnAir_AC]])=FALSE,Table_SiteMilestoneTracking[[#This Row],[SiteOnAir_AC]]-Table_SiteMilestoneTracking[[#This Row],[SiteOnAir_BL]],"-")</f>
        <v>-</v>
      </c>
      <c r="BL49" s="64" t="str">
        <f>IF(ISBLANK(Table_SiteMilestoneTracking[[#This Row],[SiteOnAir_AC]])=FALSE,Table_SiteMilestoneTracking[[#This Row],[SiteOnAir_AC]]-Table_SiteMilestoneTracking[[#This Row],[SiteReadyForIntegration_AC]],"-")</f>
        <v>-</v>
      </c>
      <c r="BM49" s="64">
        <f>$BM$2</f>
        <v>250</v>
      </c>
      <c r="BN49" s="82"/>
      <c r="BO49" s="63">
        <f>Table_SiteMilestoneTracking[[#This Row],[SiteOnAir_BL]]+t8_AcceptanceBL</f>
        <v>44057</v>
      </c>
      <c r="BP49" s="84"/>
      <c r="BQ49" s="64" t="str">
        <f>IF(ISBLANK(Table_SiteMilestoneTracking[[#This Row],[SiteAccepted_AC]])=FALSE,Table_SiteMilestoneTracking[[#This Row],[SiteAccepted_AC]]-Table_SiteMilestoneTracking[[#This Row],[SiteAccepted_BL]],"-")</f>
        <v>-</v>
      </c>
      <c r="BR49" s="64" t="str">
        <f>IF(ISBLANK(Table_SiteMilestoneTracking[[#This Row],[SiteAccepted_AC]])=FALSE,Table_SiteMilestoneTracking[[#This Row],[SiteAccepted_AC]]-Table_SiteMilestoneTracking[[#This Row],[SiteOnAir_AC]],"-")</f>
        <v>-</v>
      </c>
      <c r="BS49" s="64">
        <f>$BS$2</f>
        <v>200</v>
      </c>
      <c r="BT49" s="82"/>
      <c r="BU49" s="63">
        <f>Table_SiteMilestoneTracking[[#This Row],[SiteAccepted_BL]]+t9_HandoverBL</f>
        <v>44065</v>
      </c>
      <c r="BV49" s="84"/>
      <c r="BW49" s="64" t="str">
        <f>IF(ISBLANK(Table_SiteMilestoneTracking[[#This Row],[SiteInOperations_AC]])=FALSE,Table_SiteMilestoneTracking[[#This Row],[SiteInOperations_AC]]-Table_SiteMilestoneTracking[[#This Row],[SiteInOperations_BL]],"-")</f>
        <v>-</v>
      </c>
      <c r="BX49" s="66">
        <f>Table_SiteMilestoneTracking[[#This Row],[SiteInOperations_BL]]-Table_SiteMilestoneTracking[[#This Row],[SiteDesignReady_BL]]</f>
        <v>55</v>
      </c>
      <c r="BY49" s="66" t="str">
        <f>IF(Table_SiteMilestoneTracking[[#This Row],[CurrentSiteMilestone]]="SiteInOperations",Table_SiteMilestoneTracking[[#This Row],[SiteInOperations_AC]]-Table_SiteMilestoneTracking[[#This Row],[SiteDesignReady_AC]],"")</f>
        <v/>
      </c>
      <c r="BZ49" s="66" t="str">
        <f>IFERROR(Table_SiteMilestoneTracking[[#This Row],[E2E_Site_AC]]-Table_SiteMilestoneTracking[[#This Row],[E2E_Site_BL]],"")</f>
        <v/>
      </c>
      <c r="CA49" s="66" t="str">
        <f>IF(Table_SiteMilestoneTracking[[#This Row],[CurrentSiteMilestone]]="SiteInOperations",Table_SiteMilestoneTracking[[#This Row],[SiteInOperations_AC]]-Table_SiteMilestoneTracking[[#This Row],[SiteAccepted_AC]],"")</f>
        <v/>
      </c>
      <c r="CB49" s="79"/>
      <c r="CC49" s="89"/>
      <c r="CD49" s="89"/>
      <c r="CE49" s="70"/>
      <c r="CF49" s="70"/>
      <c r="CG49" s="70"/>
      <c r="CH49" s="70"/>
      <c r="CI49" s="70"/>
      <c r="CJ49" s="70"/>
      <c r="CK49" s="70"/>
      <c r="CL49" s="70"/>
      <c r="CM49" s="70"/>
      <c r="CN49" s="70"/>
      <c r="CO49" s="70"/>
      <c r="CP49" s="70"/>
      <c r="CQ49" s="70"/>
      <c r="CR49" s="70"/>
      <c r="CS49" s="70"/>
      <c r="CT49" s="70"/>
      <c r="CU49" s="70"/>
      <c r="CV49" s="70"/>
      <c r="CW49" s="70"/>
      <c r="CX49" s="70"/>
      <c r="CY49" s="70"/>
      <c r="CZ49" s="70"/>
      <c r="DA49" s="70"/>
      <c r="DB49" s="70"/>
      <c r="DC49" s="70"/>
      <c r="DD49" s="70"/>
      <c r="DE49" s="70"/>
      <c r="DF49" s="70"/>
      <c r="DG49" s="70"/>
      <c r="DH49" s="70"/>
      <c r="DI49" s="70"/>
      <c r="DJ49" s="70"/>
      <c r="DK49" s="70"/>
      <c r="DL49" s="70"/>
      <c r="DM49" s="70"/>
      <c r="DN49" s="70"/>
      <c r="DO49" s="70"/>
      <c r="DP49" s="70"/>
      <c r="DQ49" s="70"/>
      <c r="DR49" s="70"/>
      <c r="DS49" s="70"/>
      <c r="DT49" s="70"/>
      <c r="DU49" s="70"/>
      <c r="DV49" s="70"/>
    </row>
    <row r="50" spans="1:126" x14ac:dyDescent="0.3">
      <c r="A50" s="79" t="str">
        <f>'4. Design Tracking Summary'!A51</f>
        <v>PI00229</v>
      </c>
      <c r="B50" s="79" t="str">
        <f>'4. Design Tracking Summary'!B51</f>
        <v>South</v>
      </c>
      <c r="C50" s="79" t="str">
        <f>'4. Design Tracking Summary'!C51</f>
        <v>VER</v>
      </c>
      <c r="D50" s="79" t="str">
        <f>'4. Design Tracking Summary'!D51</f>
        <v>MINI</v>
      </c>
      <c r="E50" s="79" t="s">
        <v>58</v>
      </c>
      <c r="F50" s="79"/>
      <c r="G50" s="60" t="str">
        <f>IFERROR(INDEX(Table_SiteMilestonesNames[SiteMilestoneName],COUNTA(Table_SiteMilestoneTracking[[#This Row],[SiteDesignStarted_AC]],Table_SiteMilestoneTracking[[#This Row],[SiteDesignReady_AC]],Table_SiteMilestoneTracking[[#This Row],[SiteSurveyCompleted_AC]],Table_SiteMilestoneTracking[[#This Row],[SiteAcquired_AC]],Table_SiteMilestoneTracking[[#This Row],[SiteReadyForCW_AC]],Table_SiteMilestoneTracking[[#This Row],[SiteReadyForPower_AC]],Table_SiteMilestoneTracking[[#This Row],[TXReady_AC]],Table_SiteMilestoneTracking[[#This Row],[SiteReadyForInstallation_AC]],Table_SiteMilestoneTracking[[#This Row],[SiteReadyForIntegration_AC]],Table_SiteMilestoneTracking[[#This Row],[SiteOnAir_AC]],Table_SiteMilestoneTracking[[#This Row],[SiteAccepted_AC]],Table_SiteMilestoneTracking[[#This Row],[SiteInOperations_AC]])+1),"Invalid Milestone")</f>
        <v>SiteReadyForInstallation</v>
      </c>
      <c r="H50" s="61">
        <f>Table_SiteMilestoneTracking[[#This Row],[c0_SiteDesignCostBL]]+Table_SiteMilestoneTracking[[#This Row],[c1_SiteSurveyCostBL]]+Table_SiteMilestoneTracking[[#This Row],[c2_SiteAcquisitionCostBL]]+Table_SiteMilestoneTracking[[#This Row],[c3_CivilWorksCostBL]]+Table_SiteMilestoneTracking[[#This Row],[c4_PowerInstallCostBL]]+Table_SiteMilestoneTracking[[#This Row],[c5_TxintegrationCostBL]]+Table_SiteMilestoneTracking[[#This Row],[c6_InstallationCostBL]]+Table_SiteMilestoneTracking[[#This Row],[c7_IntegrationCostBL]]+Table_SiteMilestoneTracking[[#This Row],[c8_AcceptanceCostBL]]+Table_SiteMilestoneTracking[[#This Row],[c9_HandoverCostBL]]</f>
        <v>7550</v>
      </c>
      <c r="I50" s="62">
        <f>Table_SiteMilestoneTracking[[#This Row],[c0_SiteDesignCostAC]]+Table_SiteMilestoneTracking[[#This Row],[c1_SiteSurveyCostAC]]+Table_SiteMilestoneTracking[[#This Row],[c2_SiteAcquisitionCostAC]]+Table_SiteMilestoneTracking[[#This Row],[c3_CivilWorksCostAC]]+Table_SiteMilestoneTracking[[#This Row],[c4_PowerInstallCostAC]]+Table_SiteMilestoneTracking[[#This Row],[c5_TxintegrationCostAC]]+Table_SiteMilestoneTracking[[#This Row],[c6_InstallationCostAC]]+Table_SiteMilestoneTracking[[#This Row],[c7_IntegrationCostAC]]+Table_SiteMilestoneTracking[[#This Row],[c8_AcceptanceCostAC]]+Table_SiteMilestoneTracking[[#This Row],[c9_HandoverCostAC]]</f>
        <v>4695</v>
      </c>
      <c r="J50" s="84">
        <v>44008</v>
      </c>
      <c r="K50" s="84">
        <v>44010</v>
      </c>
      <c r="L50" s="64">
        <f>IF(ISBLANK(Table_SiteMilestoneTracking[[#This Row],[SiteDesignStarted_AC]])=FALSE,Table_SiteMilestoneTracking[[#This Row],[SiteDesignStarted_AC]]-Table_SiteMilestoneTracking[[#This Row],[SiteDesignStarted_BL]],"")</f>
        <v>2</v>
      </c>
      <c r="M50" s="64">
        <f t="shared" si="6"/>
        <v>500</v>
      </c>
      <c r="N50" s="87">
        <v>460</v>
      </c>
      <c r="O50" s="63">
        <f>Table_SiteMilestoneTracking[[#This Row],[SiteDesignStarted_BL]]+t0_SiteDesignDelayBL</f>
        <v>44010</v>
      </c>
      <c r="P50" s="84">
        <v>44010</v>
      </c>
      <c r="Q50" s="64">
        <f>IF(ISBLANK(Table_SiteMilestoneTracking[[#This Row],[SiteDesignReady_AC]])=FALSE,Table_SiteMilestoneTracking[[#This Row],[SiteDesignReady_AC]]-Table_SiteMilestoneTracking[[#This Row],[SiteDesignReady_BL]],"-")</f>
        <v>0</v>
      </c>
      <c r="R50" s="64">
        <f t="shared" si="5"/>
        <v>500</v>
      </c>
      <c r="S50" s="82">
        <v>775</v>
      </c>
      <c r="T50" s="63">
        <f>Table_SiteMilestoneTracking[[#This Row],[SiteDesignReady_BL]]+t1_SiteSurveyBL</f>
        <v>44012</v>
      </c>
      <c r="U50" s="84">
        <v>44012</v>
      </c>
      <c r="V50" s="64">
        <f>IF(ISBLANK(Table_SiteMilestoneTracking[[#This Row],[SiteSurveyCompleted_AC]])=FALSE,Table_SiteMilestoneTracking[[#This Row],[SiteSurveyCompleted_AC]]-Table_SiteMilestoneTracking[[#This Row],[SiteDesignReady_AC]],"-")</f>
        <v>2</v>
      </c>
      <c r="W50" s="64">
        <f t="shared" si="7"/>
        <v>600</v>
      </c>
      <c r="X50" s="82">
        <v>660</v>
      </c>
      <c r="Y50" s="63">
        <f>Table_SiteMilestoneTracking[[#This Row],[SiteSurveyCompleted_BL]]+t2_SiteAcquisitionBL</f>
        <v>44023</v>
      </c>
      <c r="Z50" s="84">
        <v>44023</v>
      </c>
      <c r="AA50" s="65">
        <f>IF(ISBLANK(Table_SiteMilestoneTracking[[#This Row],[SiteAcquired_AC]])=FALSE,Table_SiteMilestoneTracking[[#This Row],[SiteAcquired_AC]]-Table_SiteMilestoneTracking[[#This Row],[SiteAcquired_BL]],"-")</f>
        <v>0</v>
      </c>
      <c r="AB50" s="65">
        <f>IF(ISBLANK(Table_SiteMilestoneTracking[[#This Row],[SiteAcquired_AC]])=FALSE,Table_SiteMilestoneTracking[[#This Row],[SiteAcquired_AC]]-Table_SiteMilestoneTracking[[#This Row],[SiteSurveyCompleted_AC]],"-")</f>
        <v>11</v>
      </c>
      <c r="AC50" s="64">
        <f t="shared" si="8"/>
        <v>150</v>
      </c>
      <c r="AD50" s="82">
        <v>180.00000000000003</v>
      </c>
      <c r="AE50" s="63">
        <f>Table_SiteMilestoneTracking[[#This Row],[SiteAcquired_BL]]+t2a_SiteCWReadinessBL</f>
        <v>44025</v>
      </c>
      <c r="AF50" s="85">
        <v>44025</v>
      </c>
      <c r="AG50" s="66">
        <f>IF(ISBLANK(Table_SiteMilestoneTracking[[#This Row],[SiteReadyForCW_AC]])=FALSE,Table_SiteMilestoneTracking[[#This Row],[SiteReadyForCW_AC]]-Table_SiteMilestoneTracking[[#This Row],[SiteReadyForCW_BL]],"-")</f>
        <v>0</v>
      </c>
      <c r="AH50" s="66">
        <f>IF(ISBLANK(Table_SiteMilestoneTracking[[#This Row],[SiteReadyForCW_AC]])=FALSE,Table_SiteMilestoneTracking[[#This Row],[SiteReadyForCW_AC]]-Table_SiteMilestoneTracking[[#This Row],[SiteDesignReady_AC]],"-")</f>
        <v>15</v>
      </c>
      <c r="AI50" s="64">
        <f t="shared" si="9"/>
        <v>1500</v>
      </c>
      <c r="AJ50" s="82">
        <v>1500</v>
      </c>
      <c r="AK50" s="63">
        <f>Table_SiteMilestoneTracking[[#This Row],[SiteReadyForCW_BL]]+t3_CivilWorksBL</f>
        <v>44033</v>
      </c>
      <c r="AL50" s="84">
        <v>44034</v>
      </c>
      <c r="AM50" s="64">
        <f>IF(ISBLANK(Table_SiteMilestoneTracking[[#This Row],[SiteReadyForPower_AC]])=FALSE,Table_SiteMilestoneTracking[[#This Row],[SiteReadyForPower_AC]]-Table_SiteMilestoneTracking[[#This Row],[SiteReadyForPower_BL]],"-")</f>
        <v>1</v>
      </c>
      <c r="AN50" s="64">
        <f>IF(ISBLANK(Table_SiteMilestoneTracking[[#This Row],[SiteReadyForPower_AC]])=FALSE,Table_SiteMilestoneTracking[[#This Row],[SiteReadyForPower_AC]]-Table_SiteMilestoneTracking[[#This Row],[SiteReadyForCW_AC]],"-")</f>
        <v>9</v>
      </c>
      <c r="AO50" s="64">
        <f t="shared" si="10"/>
        <v>500</v>
      </c>
      <c r="AP50" s="82">
        <v>600</v>
      </c>
      <c r="AQ50" s="63">
        <f>Table_SiteMilestoneTracking[[#This Row],[SiteReadyForPower_BL]]+t4_PowerInstallBL</f>
        <v>44038</v>
      </c>
      <c r="AR50" s="84">
        <v>44039</v>
      </c>
      <c r="AS50" s="64">
        <f>IF(ISBLANK(Table_SiteMilestoneTracking[[#This Row],[TXReady_AC]])=FALSE,Table_SiteMilestoneTracking[[#This Row],[TXReady_AC]]-Table_SiteMilestoneTracking[[#This Row],[TXReady_BL]],"-")</f>
        <v>1</v>
      </c>
      <c r="AT50" s="64">
        <f>IF(ISBLANK(Table_SiteMilestoneTracking[[#This Row],[TXReady_AC]])=FALSE,Table_SiteMilestoneTracking[[#This Row],[TXReady_AC]]-Table_SiteMilestoneTracking[[#This Row],[SiteReadyForPower_AC]],"-")</f>
        <v>5</v>
      </c>
      <c r="AU50" s="64">
        <f>$AU$2</f>
        <v>500</v>
      </c>
      <c r="AV50" s="82">
        <v>700</v>
      </c>
      <c r="AW50" s="63">
        <f>Table_SiteMilestoneTracking[[#This Row],[TXReady_BL]]+t5_TxintegrationBL</f>
        <v>44045</v>
      </c>
      <c r="AX50" s="84">
        <v>44047</v>
      </c>
      <c r="AY50" s="64">
        <f>IF(ISBLANK(Table_SiteMilestoneTracking[[#This Row],[SiteReadyForInstallation_AC]])=FALSE,Table_SiteMilestoneTracking[[#This Row],[SiteReadyForInstallation_AC]]-Table_SiteMilestoneTracking[[#This Row],[SiteReadyForInstallation_BL]],"-")</f>
        <v>2</v>
      </c>
      <c r="AZ50" s="64">
        <f>IF(ISBLANK(Table_SiteMilestoneTracking[[#This Row],[SiteReadyForInstallation_AC]])=FALSE,Table_SiteMilestoneTracking[[#This Row],[SiteReadyForInstallation_AC]]-Table_SiteMilestoneTracking[[#This Row],[TXReady_AC]],"-")</f>
        <v>8</v>
      </c>
      <c r="BA50" s="64">
        <f>$BA$2</f>
        <v>2500</v>
      </c>
      <c r="BB50" s="82"/>
      <c r="BC50" s="63">
        <f>Table_SiteMilestoneTracking[[#This Row],[SiteReadyForInstallation_BL]]+t6_InstallationBL</f>
        <v>44049</v>
      </c>
      <c r="BD50" s="84"/>
      <c r="BE50" s="64" t="str">
        <f>IF(ISBLANK(Table_SiteMilestoneTracking[[#This Row],[SiteReadyForIntegration_AC]])=FALSE,Table_SiteMilestoneTracking[[#This Row],[SiteReadyForIntegration_AC]]-Table_SiteMilestoneTracking[[#This Row],[SiteReadyForIntegration_BL]],"-")</f>
        <v>-</v>
      </c>
      <c r="BF50" s="64" t="str">
        <f>IF(ISBLANK(Table_SiteMilestoneTracking[[#This Row],[SiteReadyForIntegration_AC]])=FALSE,Table_SiteMilestoneTracking[[#This Row],[SiteReadyForIntegration_AC]]-Table_SiteMilestoneTracking[[#This Row],[SiteReadyForInstallation_AC]],"-")</f>
        <v>-</v>
      </c>
      <c r="BG50" s="64">
        <f>$BG$2</f>
        <v>500</v>
      </c>
      <c r="BH50" s="82"/>
      <c r="BI50" s="63">
        <f>Table_SiteMilestoneTracking[[#This Row],[SiteReadyForIntegration_BL]]+t7_IntegrationBL</f>
        <v>44053</v>
      </c>
      <c r="BJ50" s="84"/>
      <c r="BK50" s="64" t="str">
        <f>IF(ISBLANK(Table_SiteMilestoneTracking[[#This Row],[SiteOnAir_AC]])=FALSE,Table_SiteMilestoneTracking[[#This Row],[SiteOnAir_AC]]-Table_SiteMilestoneTracking[[#This Row],[SiteOnAir_BL]],"-")</f>
        <v>-</v>
      </c>
      <c r="BL50" s="64" t="str">
        <f>IF(ISBLANK(Table_SiteMilestoneTracking[[#This Row],[SiteOnAir_AC]])=FALSE,Table_SiteMilestoneTracking[[#This Row],[SiteOnAir_AC]]-Table_SiteMilestoneTracking[[#This Row],[SiteReadyForIntegration_AC]],"-")</f>
        <v>-</v>
      </c>
      <c r="BM50" s="64">
        <f>$BM$2</f>
        <v>250</v>
      </c>
      <c r="BN50" s="82"/>
      <c r="BO50" s="63">
        <f>Table_SiteMilestoneTracking[[#This Row],[SiteOnAir_BL]]+t8_AcceptanceBL</f>
        <v>44057</v>
      </c>
      <c r="BP50" s="84"/>
      <c r="BQ50" s="64" t="str">
        <f>IF(ISBLANK(Table_SiteMilestoneTracking[[#This Row],[SiteAccepted_AC]])=FALSE,Table_SiteMilestoneTracking[[#This Row],[SiteAccepted_AC]]-Table_SiteMilestoneTracking[[#This Row],[SiteAccepted_BL]],"-")</f>
        <v>-</v>
      </c>
      <c r="BR50" s="64" t="str">
        <f>IF(ISBLANK(Table_SiteMilestoneTracking[[#This Row],[SiteAccepted_AC]])=FALSE,Table_SiteMilestoneTracking[[#This Row],[SiteAccepted_AC]]-Table_SiteMilestoneTracking[[#This Row],[SiteOnAir_AC]],"-")</f>
        <v>-</v>
      </c>
      <c r="BS50" s="64">
        <f>$BS$2</f>
        <v>200</v>
      </c>
      <c r="BT50" s="82"/>
      <c r="BU50" s="63">
        <f>Table_SiteMilestoneTracking[[#This Row],[SiteAccepted_BL]]+t9_HandoverBL</f>
        <v>44065</v>
      </c>
      <c r="BV50" s="84"/>
      <c r="BW50" s="64" t="str">
        <f>IF(ISBLANK(Table_SiteMilestoneTracking[[#This Row],[SiteInOperations_AC]])=FALSE,Table_SiteMilestoneTracking[[#This Row],[SiteInOperations_AC]]-Table_SiteMilestoneTracking[[#This Row],[SiteInOperations_BL]],"-")</f>
        <v>-</v>
      </c>
      <c r="BX50" s="66">
        <f>Table_SiteMilestoneTracking[[#This Row],[SiteInOperations_BL]]-Table_SiteMilestoneTracking[[#This Row],[SiteDesignReady_BL]]</f>
        <v>55</v>
      </c>
      <c r="BY50" s="66" t="str">
        <f>IF(Table_SiteMilestoneTracking[[#This Row],[CurrentSiteMilestone]]="SiteInOperations",Table_SiteMilestoneTracking[[#This Row],[SiteInOperations_AC]]-Table_SiteMilestoneTracking[[#This Row],[SiteDesignReady_AC]],"")</f>
        <v/>
      </c>
      <c r="BZ50" s="66" t="str">
        <f>IFERROR(Table_SiteMilestoneTracking[[#This Row],[E2E_Site_AC]]-Table_SiteMilestoneTracking[[#This Row],[E2E_Site_BL]],"")</f>
        <v/>
      </c>
      <c r="CA50" s="66" t="str">
        <f>IF(Table_SiteMilestoneTracking[[#This Row],[CurrentSiteMilestone]]="SiteInOperations",Table_SiteMilestoneTracking[[#This Row],[SiteInOperations_AC]]-Table_SiteMilestoneTracking[[#This Row],[SiteAccepted_AC]],"")</f>
        <v/>
      </c>
      <c r="CB50" s="79"/>
      <c r="CC50" s="89"/>
      <c r="CD50" s="89"/>
      <c r="CE50" s="70"/>
      <c r="CF50" s="70"/>
      <c r="CG50" s="70"/>
      <c r="CH50" s="70"/>
      <c r="CI50" s="70"/>
      <c r="CJ50" s="70"/>
      <c r="CK50" s="70"/>
      <c r="CL50" s="70"/>
      <c r="CM50" s="70"/>
      <c r="CN50" s="70"/>
      <c r="CO50" s="70"/>
      <c r="CP50" s="70"/>
      <c r="CQ50" s="70"/>
      <c r="CR50" s="70"/>
      <c r="CS50" s="70"/>
      <c r="CT50" s="70"/>
      <c r="CU50" s="70"/>
      <c r="CV50" s="70"/>
      <c r="CW50" s="70"/>
      <c r="CX50" s="70"/>
      <c r="CY50" s="70"/>
      <c r="CZ50" s="70"/>
      <c r="DA50" s="70"/>
      <c r="DB50" s="70"/>
      <c r="DC50" s="70"/>
      <c r="DD50" s="70"/>
      <c r="DE50" s="70"/>
      <c r="DF50" s="70"/>
      <c r="DG50" s="70"/>
      <c r="DH50" s="70"/>
      <c r="DI50" s="70"/>
      <c r="DJ50" s="70"/>
      <c r="DK50" s="70"/>
      <c r="DL50" s="70"/>
      <c r="DM50" s="70"/>
      <c r="DN50" s="70"/>
      <c r="DO50" s="70"/>
      <c r="DP50" s="70"/>
      <c r="DQ50" s="70"/>
      <c r="DR50" s="70"/>
      <c r="DS50" s="70"/>
      <c r="DT50" s="70"/>
      <c r="DU50" s="70"/>
      <c r="DV50" s="70"/>
    </row>
    <row r="51" spans="1:126" x14ac:dyDescent="0.3">
      <c r="A51" s="79" t="str">
        <f>'4. Design Tracking Summary'!A52</f>
        <v>PI00170</v>
      </c>
      <c r="B51" s="79" t="str">
        <f>'4. Design Tracking Summary'!B52</f>
        <v>South</v>
      </c>
      <c r="C51" s="79" t="str">
        <f>'4. Design Tracking Summary'!C52</f>
        <v>CHI</v>
      </c>
      <c r="D51" s="79" t="str">
        <f>'4. Design Tracking Summary'!D52</f>
        <v>SMALL</v>
      </c>
      <c r="E51" s="79" t="s">
        <v>58</v>
      </c>
      <c r="F51" s="79"/>
      <c r="G51" s="60" t="str">
        <f>IFERROR(INDEX(Table_SiteMilestonesNames[SiteMilestoneName],COUNTA(Table_SiteMilestoneTracking[[#This Row],[SiteDesignStarted_AC]],Table_SiteMilestoneTracking[[#This Row],[SiteDesignReady_AC]],Table_SiteMilestoneTracking[[#This Row],[SiteSurveyCompleted_AC]],Table_SiteMilestoneTracking[[#This Row],[SiteAcquired_AC]],Table_SiteMilestoneTracking[[#This Row],[SiteReadyForCW_AC]],Table_SiteMilestoneTracking[[#This Row],[SiteReadyForPower_AC]],Table_SiteMilestoneTracking[[#This Row],[TXReady_AC]],Table_SiteMilestoneTracking[[#This Row],[SiteReadyForInstallation_AC]],Table_SiteMilestoneTracking[[#This Row],[SiteReadyForIntegration_AC]],Table_SiteMilestoneTracking[[#This Row],[SiteOnAir_AC]],Table_SiteMilestoneTracking[[#This Row],[SiteAccepted_AC]],Table_SiteMilestoneTracking[[#This Row],[SiteInOperations_AC]])+1),"Invalid Milestone")</f>
        <v>SiteReadyForInstallation</v>
      </c>
      <c r="H51" s="61">
        <f>Table_SiteMilestoneTracking[[#This Row],[c0_SiteDesignCostBL]]+Table_SiteMilestoneTracking[[#This Row],[c1_SiteSurveyCostBL]]+Table_SiteMilestoneTracking[[#This Row],[c2_SiteAcquisitionCostBL]]+Table_SiteMilestoneTracking[[#This Row],[c3_CivilWorksCostBL]]+Table_SiteMilestoneTracking[[#This Row],[c4_PowerInstallCostBL]]+Table_SiteMilestoneTracking[[#This Row],[c5_TxintegrationCostBL]]+Table_SiteMilestoneTracking[[#This Row],[c6_InstallationCostBL]]+Table_SiteMilestoneTracking[[#This Row],[c7_IntegrationCostBL]]+Table_SiteMilestoneTracking[[#This Row],[c8_AcceptanceCostBL]]+Table_SiteMilestoneTracking[[#This Row],[c9_HandoverCostBL]]</f>
        <v>7550</v>
      </c>
      <c r="I51" s="62">
        <f>Table_SiteMilestoneTracking[[#This Row],[c0_SiteDesignCostAC]]+Table_SiteMilestoneTracking[[#This Row],[c1_SiteSurveyCostAC]]+Table_SiteMilestoneTracking[[#This Row],[c2_SiteAcquisitionCostAC]]+Table_SiteMilestoneTracking[[#This Row],[c3_CivilWorksCostAC]]+Table_SiteMilestoneTracking[[#This Row],[c4_PowerInstallCostAC]]+Table_SiteMilestoneTracking[[#This Row],[c5_TxintegrationCostAC]]+Table_SiteMilestoneTracking[[#This Row],[c6_InstallationCostAC]]+Table_SiteMilestoneTracking[[#This Row],[c7_IntegrationCostAC]]+Table_SiteMilestoneTracking[[#This Row],[c8_AcceptanceCostAC]]+Table_SiteMilestoneTracking[[#This Row],[c9_HandoverCostAC]]</f>
        <v>4575</v>
      </c>
      <c r="J51" s="84">
        <v>44008</v>
      </c>
      <c r="K51" s="84">
        <v>44010</v>
      </c>
      <c r="L51" s="64">
        <f>IF(ISBLANK(Table_SiteMilestoneTracking[[#This Row],[SiteDesignStarted_AC]])=FALSE,Table_SiteMilestoneTracking[[#This Row],[SiteDesignStarted_AC]]-Table_SiteMilestoneTracking[[#This Row],[SiteDesignStarted_BL]],"")</f>
        <v>2</v>
      </c>
      <c r="M51" s="64">
        <f t="shared" si="6"/>
        <v>500</v>
      </c>
      <c r="N51" s="87">
        <v>460</v>
      </c>
      <c r="O51" s="63">
        <f>Table_SiteMilestoneTracking[[#This Row],[SiteDesignStarted_BL]]+t0_SiteDesignDelayBL</f>
        <v>44010</v>
      </c>
      <c r="P51" s="84">
        <v>44013</v>
      </c>
      <c r="Q51" s="64">
        <f>IF(ISBLANK(Table_SiteMilestoneTracking[[#This Row],[SiteDesignReady_AC]])=FALSE,Table_SiteMilestoneTracking[[#This Row],[SiteDesignReady_AC]]-Table_SiteMilestoneTracking[[#This Row],[SiteDesignReady_BL]],"-")</f>
        <v>3</v>
      </c>
      <c r="R51" s="64">
        <f t="shared" si="5"/>
        <v>500</v>
      </c>
      <c r="S51" s="82">
        <v>675</v>
      </c>
      <c r="T51" s="63">
        <f>Table_SiteMilestoneTracking[[#This Row],[SiteDesignReady_BL]]+t1_SiteSurveyBL</f>
        <v>44012</v>
      </c>
      <c r="U51" s="84">
        <v>44015</v>
      </c>
      <c r="V51" s="64">
        <f>IF(ISBLANK(Table_SiteMilestoneTracking[[#This Row],[SiteSurveyCompleted_AC]])=FALSE,Table_SiteMilestoneTracking[[#This Row],[SiteSurveyCompleted_AC]]-Table_SiteMilestoneTracking[[#This Row],[SiteDesignReady_AC]],"-")</f>
        <v>2</v>
      </c>
      <c r="W51" s="64">
        <f t="shared" si="7"/>
        <v>600</v>
      </c>
      <c r="X51" s="82">
        <v>840</v>
      </c>
      <c r="Y51" s="63">
        <f>Table_SiteMilestoneTracking[[#This Row],[SiteSurveyCompleted_BL]]+t2_SiteAcquisitionBL</f>
        <v>44023</v>
      </c>
      <c r="Z51" s="84">
        <v>44026</v>
      </c>
      <c r="AA51" s="65">
        <f>IF(ISBLANK(Table_SiteMilestoneTracking[[#This Row],[SiteAcquired_AC]])=FALSE,Table_SiteMilestoneTracking[[#This Row],[SiteAcquired_AC]]-Table_SiteMilestoneTracking[[#This Row],[SiteAcquired_BL]],"-")</f>
        <v>3</v>
      </c>
      <c r="AB51" s="65">
        <f>IF(ISBLANK(Table_SiteMilestoneTracking[[#This Row],[SiteAcquired_AC]])=FALSE,Table_SiteMilestoneTracking[[#This Row],[SiteAcquired_AC]]-Table_SiteMilestoneTracking[[#This Row],[SiteSurveyCompleted_AC]],"-")</f>
        <v>11</v>
      </c>
      <c r="AC51" s="64">
        <f t="shared" si="8"/>
        <v>150</v>
      </c>
      <c r="AD51" s="82">
        <v>120</v>
      </c>
      <c r="AE51" s="63">
        <f>Table_SiteMilestoneTracking[[#This Row],[SiteAcquired_BL]]+t2a_SiteCWReadinessBL</f>
        <v>44025</v>
      </c>
      <c r="AF51" s="85">
        <v>44029</v>
      </c>
      <c r="AG51" s="66">
        <f>IF(ISBLANK(Table_SiteMilestoneTracking[[#This Row],[SiteReadyForCW_AC]])=FALSE,Table_SiteMilestoneTracking[[#This Row],[SiteReadyForCW_AC]]-Table_SiteMilestoneTracking[[#This Row],[SiteReadyForCW_BL]],"-")</f>
        <v>4</v>
      </c>
      <c r="AH51" s="66">
        <f>IF(ISBLANK(Table_SiteMilestoneTracking[[#This Row],[SiteReadyForCW_AC]])=FALSE,Table_SiteMilestoneTracking[[#This Row],[SiteReadyForCW_AC]]-Table_SiteMilestoneTracking[[#This Row],[SiteDesignReady_AC]],"-")</f>
        <v>16</v>
      </c>
      <c r="AI51" s="64">
        <f t="shared" si="9"/>
        <v>1500</v>
      </c>
      <c r="AJ51" s="82">
        <v>1200</v>
      </c>
      <c r="AK51" s="63">
        <f>Table_SiteMilestoneTracking[[#This Row],[SiteReadyForCW_BL]]+t3_CivilWorksBL</f>
        <v>44033</v>
      </c>
      <c r="AL51" s="84">
        <v>44038</v>
      </c>
      <c r="AM51" s="64">
        <f>IF(ISBLANK(Table_SiteMilestoneTracking[[#This Row],[SiteReadyForPower_AC]])=FALSE,Table_SiteMilestoneTracking[[#This Row],[SiteReadyForPower_AC]]-Table_SiteMilestoneTracking[[#This Row],[SiteReadyForPower_BL]],"-")</f>
        <v>5</v>
      </c>
      <c r="AN51" s="64">
        <f>IF(ISBLANK(Table_SiteMilestoneTracking[[#This Row],[SiteReadyForPower_AC]])=FALSE,Table_SiteMilestoneTracking[[#This Row],[SiteReadyForPower_AC]]-Table_SiteMilestoneTracking[[#This Row],[SiteReadyForCW_AC]],"-")</f>
        <v>9</v>
      </c>
      <c r="AO51" s="64">
        <f t="shared" si="10"/>
        <v>500</v>
      </c>
      <c r="AP51" s="82">
        <v>700</v>
      </c>
      <c r="AQ51" s="63">
        <f>Table_SiteMilestoneTracking[[#This Row],[SiteReadyForPower_BL]]+t4_PowerInstallBL</f>
        <v>44038</v>
      </c>
      <c r="AR51" s="84">
        <v>44044</v>
      </c>
      <c r="AS51" s="64">
        <f>IF(ISBLANK(Table_SiteMilestoneTracking[[#This Row],[TXReady_AC]])=FALSE,Table_SiteMilestoneTracking[[#This Row],[TXReady_AC]]-Table_SiteMilestoneTracking[[#This Row],[TXReady_BL]],"-")</f>
        <v>6</v>
      </c>
      <c r="AT51" s="64">
        <f>IF(ISBLANK(Table_SiteMilestoneTracking[[#This Row],[TXReady_AC]])=FALSE,Table_SiteMilestoneTracking[[#This Row],[TXReady_AC]]-Table_SiteMilestoneTracking[[#This Row],[SiteReadyForPower_AC]],"-")</f>
        <v>6</v>
      </c>
      <c r="AU51" s="64">
        <f>$AU$2</f>
        <v>500</v>
      </c>
      <c r="AV51" s="82">
        <v>700</v>
      </c>
      <c r="AW51" s="63">
        <f>Table_SiteMilestoneTracking[[#This Row],[TXReady_BL]]+t5_TxintegrationBL</f>
        <v>44045</v>
      </c>
      <c r="AX51" s="84">
        <v>44051</v>
      </c>
      <c r="AY51" s="64">
        <f>IF(ISBLANK(Table_SiteMilestoneTracking[[#This Row],[SiteReadyForInstallation_AC]])=FALSE,Table_SiteMilestoneTracking[[#This Row],[SiteReadyForInstallation_AC]]-Table_SiteMilestoneTracking[[#This Row],[SiteReadyForInstallation_BL]],"-")</f>
        <v>6</v>
      </c>
      <c r="AZ51" s="64">
        <f>IF(ISBLANK(Table_SiteMilestoneTracking[[#This Row],[SiteReadyForInstallation_AC]])=FALSE,Table_SiteMilestoneTracking[[#This Row],[SiteReadyForInstallation_AC]]-Table_SiteMilestoneTracking[[#This Row],[TXReady_AC]],"-")</f>
        <v>7</v>
      </c>
      <c r="BA51" s="64">
        <f>$BA$2</f>
        <v>2500</v>
      </c>
      <c r="BB51" s="82"/>
      <c r="BC51" s="63">
        <f>Table_SiteMilestoneTracking[[#This Row],[SiteReadyForInstallation_BL]]+t6_InstallationBL</f>
        <v>44049</v>
      </c>
      <c r="BD51" s="84"/>
      <c r="BE51" s="64" t="str">
        <f>IF(ISBLANK(Table_SiteMilestoneTracking[[#This Row],[SiteReadyForIntegration_AC]])=FALSE,Table_SiteMilestoneTracking[[#This Row],[SiteReadyForIntegration_AC]]-Table_SiteMilestoneTracking[[#This Row],[SiteReadyForIntegration_BL]],"-")</f>
        <v>-</v>
      </c>
      <c r="BF51" s="64" t="str">
        <f>IF(ISBLANK(Table_SiteMilestoneTracking[[#This Row],[SiteReadyForIntegration_AC]])=FALSE,Table_SiteMilestoneTracking[[#This Row],[SiteReadyForIntegration_AC]]-Table_SiteMilestoneTracking[[#This Row],[SiteReadyForInstallation_AC]],"-")</f>
        <v>-</v>
      </c>
      <c r="BG51" s="64">
        <f>$BG$2</f>
        <v>500</v>
      </c>
      <c r="BH51" s="82"/>
      <c r="BI51" s="63">
        <f>Table_SiteMilestoneTracking[[#This Row],[SiteReadyForIntegration_BL]]+t7_IntegrationBL</f>
        <v>44053</v>
      </c>
      <c r="BJ51" s="84"/>
      <c r="BK51" s="64" t="str">
        <f>IF(ISBLANK(Table_SiteMilestoneTracking[[#This Row],[SiteOnAir_AC]])=FALSE,Table_SiteMilestoneTracking[[#This Row],[SiteOnAir_AC]]-Table_SiteMilestoneTracking[[#This Row],[SiteOnAir_BL]],"-")</f>
        <v>-</v>
      </c>
      <c r="BL51" s="64" t="str">
        <f>IF(ISBLANK(Table_SiteMilestoneTracking[[#This Row],[SiteOnAir_AC]])=FALSE,Table_SiteMilestoneTracking[[#This Row],[SiteOnAir_AC]]-Table_SiteMilestoneTracking[[#This Row],[SiteReadyForIntegration_AC]],"-")</f>
        <v>-</v>
      </c>
      <c r="BM51" s="64">
        <f>$BM$2</f>
        <v>250</v>
      </c>
      <c r="BN51" s="82"/>
      <c r="BO51" s="63">
        <f>Table_SiteMilestoneTracking[[#This Row],[SiteOnAir_BL]]+t8_AcceptanceBL</f>
        <v>44057</v>
      </c>
      <c r="BP51" s="84"/>
      <c r="BQ51" s="64" t="str">
        <f>IF(ISBLANK(Table_SiteMilestoneTracking[[#This Row],[SiteAccepted_AC]])=FALSE,Table_SiteMilestoneTracking[[#This Row],[SiteAccepted_AC]]-Table_SiteMilestoneTracking[[#This Row],[SiteAccepted_BL]],"-")</f>
        <v>-</v>
      </c>
      <c r="BR51" s="64" t="str">
        <f>IF(ISBLANK(Table_SiteMilestoneTracking[[#This Row],[SiteAccepted_AC]])=FALSE,Table_SiteMilestoneTracking[[#This Row],[SiteAccepted_AC]]-Table_SiteMilestoneTracking[[#This Row],[SiteOnAir_AC]],"-")</f>
        <v>-</v>
      </c>
      <c r="BS51" s="64">
        <f>$BS$2</f>
        <v>200</v>
      </c>
      <c r="BT51" s="82"/>
      <c r="BU51" s="63">
        <f>Table_SiteMilestoneTracking[[#This Row],[SiteAccepted_BL]]+t9_HandoverBL</f>
        <v>44065</v>
      </c>
      <c r="BV51" s="84"/>
      <c r="BW51" s="64" t="str">
        <f>IF(ISBLANK(Table_SiteMilestoneTracking[[#This Row],[SiteInOperations_AC]])=FALSE,Table_SiteMilestoneTracking[[#This Row],[SiteInOperations_AC]]-Table_SiteMilestoneTracking[[#This Row],[SiteInOperations_BL]],"-")</f>
        <v>-</v>
      </c>
      <c r="BX51" s="66">
        <f>Table_SiteMilestoneTracking[[#This Row],[SiteInOperations_BL]]-Table_SiteMilestoneTracking[[#This Row],[SiteDesignReady_BL]]</f>
        <v>55</v>
      </c>
      <c r="BY51" s="66" t="str">
        <f>IF(Table_SiteMilestoneTracking[[#This Row],[CurrentSiteMilestone]]="SiteInOperations",Table_SiteMilestoneTracking[[#This Row],[SiteInOperations_AC]]-Table_SiteMilestoneTracking[[#This Row],[SiteDesignReady_AC]],"")</f>
        <v/>
      </c>
      <c r="BZ51" s="66" t="str">
        <f>IFERROR(Table_SiteMilestoneTracking[[#This Row],[E2E_Site_AC]]-Table_SiteMilestoneTracking[[#This Row],[E2E_Site_BL]],"")</f>
        <v/>
      </c>
      <c r="CA51" s="66" t="str">
        <f>IF(Table_SiteMilestoneTracking[[#This Row],[CurrentSiteMilestone]]="SiteInOperations",Table_SiteMilestoneTracking[[#This Row],[SiteInOperations_AC]]-Table_SiteMilestoneTracking[[#This Row],[SiteAccepted_AC]],"")</f>
        <v/>
      </c>
      <c r="CB51" s="79"/>
      <c r="CC51" s="89"/>
      <c r="CD51" s="89"/>
      <c r="CE51" s="70"/>
      <c r="CF51" s="70"/>
      <c r="CG51" s="70"/>
      <c r="CH51" s="70"/>
      <c r="CI51" s="70"/>
      <c r="CJ51" s="70"/>
      <c r="CK51" s="70"/>
      <c r="CL51" s="70"/>
      <c r="CM51" s="70"/>
      <c r="CN51" s="70"/>
      <c r="CO51" s="70"/>
      <c r="CP51" s="70"/>
      <c r="CQ51" s="70"/>
      <c r="CR51" s="70"/>
      <c r="CS51" s="70"/>
      <c r="CT51" s="70"/>
      <c r="CU51" s="70"/>
      <c r="CV51" s="70"/>
      <c r="CW51" s="70"/>
      <c r="CX51" s="70"/>
      <c r="CY51" s="70"/>
      <c r="CZ51" s="70"/>
      <c r="DA51" s="70"/>
      <c r="DB51" s="70"/>
      <c r="DC51" s="70"/>
      <c r="DD51" s="70"/>
      <c r="DE51" s="70"/>
      <c r="DF51" s="70"/>
      <c r="DG51" s="70"/>
      <c r="DH51" s="70"/>
      <c r="DI51" s="70"/>
      <c r="DJ51" s="70"/>
      <c r="DK51" s="70"/>
      <c r="DL51" s="70"/>
      <c r="DM51" s="70"/>
      <c r="DN51" s="70"/>
      <c r="DO51" s="70"/>
      <c r="DP51" s="70"/>
      <c r="DQ51" s="70"/>
      <c r="DR51" s="70"/>
      <c r="DS51" s="70"/>
      <c r="DT51" s="70"/>
      <c r="DU51" s="70"/>
      <c r="DV51" s="70"/>
    </row>
    <row r="52" spans="1:126" x14ac:dyDescent="0.3">
      <c r="A52" s="79" t="str">
        <f>'4. Design Tracking Summary'!A53</f>
        <v>PI00179</v>
      </c>
      <c r="B52" s="79" t="str">
        <f>'4. Design Tracking Summary'!B53</f>
        <v>North</v>
      </c>
      <c r="C52" s="79" t="str">
        <f>'4. Design Tracking Summary'!C53</f>
        <v>ZAC</v>
      </c>
      <c r="D52" s="79" t="str">
        <f>'4. Design Tracking Summary'!D53</f>
        <v>MACRO</v>
      </c>
      <c r="E52" s="79" t="s">
        <v>57</v>
      </c>
      <c r="F52" s="79"/>
      <c r="G52" s="60" t="str">
        <f>IFERROR(INDEX(Table_SiteMilestonesNames[SiteMilestoneName],COUNTA(Table_SiteMilestoneTracking[[#This Row],[SiteDesignStarted_AC]],Table_SiteMilestoneTracking[[#This Row],[SiteDesignReady_AC]],Table_SiteMilestoneTracking[[#This Row],[SiteSurveyCompleted_AC]],Table_SiteMilestoneTracking[[#This Row],[SiteAcquired_AC]],Table_SiteMilestoneTracking[[#This Row],[SiteReadyForCW_AC]],Table_SiteMilestoneTracking[[#This Row],[SiteReadyForPower_AC]],Table_SiteMilestoneTracking[[#This Row],[TXReady_AC]],Table_SiteMilestoneTracking[[#This Row],[SiteReadyForInstallation_AC]],Table_SiteMilestoneTracking[[#This Row],[SiteReadyForIntegration_AC]],Table_SiteMilestoneTracking[[#This Row],[SiteOnAir_AC]],Table_SiteMilestoneTracking[[#This Row],[SiteAccepted_AC]],Table_SiteMilestoneTracking[[#This Row],[SiteInOperations_AC]])+1),"Invalid Milestone")</f>
        <v>SiteReadyForInstallation</v>
      </c>
      <c r="H52" s="61">
        <f>Table_SiteMilestoneTracking[[#This Row],[c0_SiteDesignCostBL]]+Table_SiteMilestoneTracking[[#This Row],[c1_SiteSurveyCostBL]]+Table_SiteMilestoneTracking[[#This Row],[c2_SiteAcquisitionCostBL]]+Table_SiteMilestoneTracking[[#This Row],[c3_CivilWorksCostBL]]+Table_SiteMilestoneTracking[[#This Row],[c4_PowerInstallCostBL]]+Table_SiteMilestoneTracking[[#This Row],[c5_TxintegrationCostBL]]+Table_SiteMilestoneTracking[[#This Row],[c6_InstallationCostBL]]+Table_SiteMilestoneTracking[[#This Row],[c7_IntegrationCostBL]]+Table_SiteMilestoneTracking[[#This Row],[c8_AcceptanceCostBL]]+Table_SiteMilestoneTracking[[#This Row],[c9_HandoverCostBL]]</f>
        <v>7550</v>
      </c>
      <c r="I52" s="62">
        <f>Table_SiteMilestoneTracking[[#This Row],[c0_SiteDesignCostAC]]+Table_SiteMilestoneTracking[[#This Row],[c1_SiteSurveyCostAC]]+Table_SiteMilestoneTracking[[#This Row],[c2_SiteAcquisitionCostAC]]+Table_SiteMilestoneTracking[[#This Row],[c3_CivilWorksCostAC]]+Table_SiteMilestoneTracking[[#This Row],[c4_PowerInstallCostAC]]+Table_SiteMilestoneTracking[[#This Row],[c5_TxintegrationCostAC]]+Table_SiteMilestoneTracking[[#This Row],[c6_InstallationCostAC]]+Table_SiteMilestoneTracking[[#This Row],[c7_IntegrationCostAC]]+Table_SiteMilestoneTracking[[#This Row],[c8_AcceptanceCostAC]]+Table_SiteMilestoneTracking[[#This Row],[c9_HandoverCostAC]]</f>
        <v>4155</v>
      </c>
      <c r="J52" s="84">
        <v>44008</v>
      </c>
      <c r="K52" s="84">
        <v>44009</v>
      </c>
      <c r="L52" s="64">
        <f>IF(ISBLANK(Table_SiteMilestoneTracking[[#This Row],[SiteDesignStarted_AC]])=FALSE,Table_SiteMilestoneTracking[[#This Row],[SiteDesignStarted_AC]]-Table_SiteMilestoneTracking[[#This Row],[SiteDesignStarted_BL]],"")</f>
        <v>1</v>
      </c>
      <c r="M52" s="64">
        <f t="shared" si="6"/>
        <v>500</v>
      </c>
      <c r="N52" s="87">
        <v>580</v>
      </c>
      <c r="O52" s="63">
        <f>Table_SiteMilestoneTracking[[#This Row],[SiteDesignStarted_BL]]+t0_SiteDesignDelayBL</f>
        <v>44010</v>
      </c>
      <c r="P52" s="84">
        <v>44012</v>
      </c>
      <c r="Q52" s="64">
        <f>IF(ISBLANK(Table_SiteMilestoneTracking[[#This Row],[SiteDesignReady_AC]])=FALSE,Table_SiteMilestoneTracking[[#This Row],[SiteDesignReady_AC]]-Table_SiteMilestoneTracking[[#This Row],[SiteDesignReady_BL]],"-")</f>
        <v>2</v>
      </c>
      <c r="R52" s="64">
        <f t="shared" si="5"/>
        <v>500</v>
      </c>
      <c r="S52" s="82">
        <v>575</v>
      </c>
      <c r="T52" s="63">
        <f>Table_SiteMilestoneTracking[[#This Row],[SiteDesignReady_BL]]+t1_SiteSurveyBL</f>
        <v>44012</v>
      </c>
      <c r="U52" s="84">
        <v>44015</v>
      </c>
      <c r="V52" s="64">
        <f>IF(ISBLANK(Table_SiteMilestoneTracking[[#This Row],[SiteSurveyCompleted_AC]])=FALSE,Table_SiteMilestoneTracking[[#This Row],[SiteSurveyCompleted_AC]]-Table_SiteMilestoneTracking[[#This Row],[SiteDesignReady_AC]],"-")</f>
        <v>3</v>
      </c>
      <c r="W52" s="64">
        <f t="shared" si="7"/>
        <v>600</v>
      </c>
      <c r="X52" s="82">
        <v>600</v>
      </c>
      <c r="Y52" s="63">
        <f>Table_SiteMilestoneTracking[[#This Row],[SiteSurveyCompleted_BL]]+t2_SiteAcquisitionBL</f>
        <v>44023</v>
      </c>
      <c r="Z52" s="84">
        <v>44026</v>
      </c>
      <c r="AA52" s="65">
        <f>IF(ISBLANK(Table_SiteMilestoneTracking[[#This Row],[SiteAcquired_AC]])=FALSE,Table_SiteMilestoneTracking[[#This Row],[SiteAcquired_AC]]-Table_SiteMilestoneTracking[[#This Row],[SiteAcquired_BL]],"-")</f>
        <v>3</v>
      </c>
      <c r="AB52" s="65">
        <f>IF(ISBLANK(Table_SiteMilestoneTracking[[#This Row],[SiteAcquired_AC]])=FALSE,Table_SiteMilestoneTracking[[#This Row],[SiteAcquired_AC]]-Table_SiteMilestoneTracking[[#This Row],[SiteSurveyCompleted_AC]],"-")</f>
        <v>11</v>
      </c>
      <c r="AC52" s="64">
        <f t="shared" si="8"/>
        <v>150</v>
      </c>
      <c r="AD52" s="82">
        <v>150</v>
      </c>
      <c r="AE52" s="63">
        <f>Table_SiteMilestoneTracking[[#This Row],[SiteAcquired_BL]]+t2a_SiteCWReadinessBL</f>
        <v>44025</v>
      </c>
      <c r="AF52" s="85">
        <v>44028</v>
      </c>
      <c r="AG52" s="66">
        <f>IF(ISBLANK(Table_SiteMilestoneTracking[[#This Row],[SiteReadyForCW_AC]])=FALSE,Table_SiteMilestoneTracking[[#This Row],[SiteReadyForCW_AC]]-Table_SiteMilestoneTracking[[#This Row],[SiteReadyForCW_BL]],"-")</f>
        <v>3</v>
      </c>
      <c r="AH52" s="66">
        <f>IF(ISBLANK(Table_SiteMilestoneTracking[[#This Row],[SiteReadyForCW_AC]])=FALSE,Table_SiteMilestoneTracking[[#This Row],[SiteReadyForCW_AC]]-Table_SiteMilestoneTracking[[#This Row],[SiteDesignReady_AC]],"-")</f>
        <v>16</v>
      </c>
      <c r="AI52" s="64">
        <f t="shared" si="9"/>
        <v>1500</v>
      </c>
      <c r="AJ52" s="82">
        <v>1650</v>
      </c>
      <c r="AK52" s="63">
        <f>Table_SiteMilestoneTracking[[#This Row],[SiteReadyForCW_BL]]+t3_CivilWorksBL</f>
        <v>44033</v>
      </c>
      <c r="AL52" s="84">
        <v>44037</v>
      </c>
      <c r="AM52" s="64">
        <f>IF(ISBLANK(Table_SiteMilestoneTracking[[#This Row],[SiteReadyForPower_AC]])=FALSE,Table_SiteMilestoneTracking[[#This Row],[SiteReadyForPower_AC]]-Table_SiteMilestoneTracking[[#This Row],[SiteReadyForPower_BL]],"-")</f>
        <v>4</v>
      </c>
      <c r="AN52" s="64">
        <f>IF(ISBLANK(Table_SiteMilestoneTracking[[#This Row],[SiteReadyForPower_AC]])=FALSE,Table_SiteMilestoneTracking[[#This Row],[SiteReadyForPower_AC]]-Table_SiteMilestoneTracking[[#This Row],[SiteReadyForCW_AC]],"-")</f>
        <v>9</v>
      </c>
      <c r="AO52" s="64">
        <f t="shared" si="10"/>
        <v>500</v>
      </c>
      <c r="AP52" s="82">
        <v>500</v>
      </c>
      <c r="AQ52" s="63">
        <f>Table_SiteMilestoneTracking[[#This Row],[SiteReadyForPower_BL]]+t4_PowerInstallBL</f>
        <v>44038</v>
      </c>
      <c r="AR52" s="84">
        <v>44043</v>
      </c>
      <c r="AS52" s="64">
        <f>IF(ISBLANK(Table_SiteMilestoneTracking[[#This Row],[TXReady_AC]])=FALSE,Table_SiteMilestoneTracking[[#This Row],[TXReady_AC]]-Table_SiteMilestoneTracking[[#This Row],[TXReady_BL]],"-")</f>
        <v>5</v>
      </c>
      <c r="AT52" s="64">
        <f>IF(ISBLANK(Table_SiteMilestoneTracking[[#This Row],[TXReady_AC]])=FALSE,Table_SiteMilestoneTracking[[#This Row],[TXReady_AC]]-Table_SiteMilestoneTracking[[#This Row],[SiteReadyForPower_AC]],"-")</f>
        <v>6</v>
      </c>
      <c r="AU52" s="64">
        <f>$AU$2</f>
        <v>500</v>
      </c>
      <c r="AV52" s="82">
        <v>250</v>
      </c>
      <c r="AW52" s="63">
        <f>Table_SiteMilestoneTracking[[#This Row],[TXReady_BL]]+t5_TxintegrationBL</f>
        <v>44045</v>
      </c>
      <c r="AX52" s="84">
        <v>44051</v>
      </c>
      <c r="AY52" s="64">
        <f>IF(ISBLANK(Table_SiteMilestoneTracking[[#This Row],[SiteReadyForInstallation_AC]])=FALSE,Table_SiteMilestoneTracking[[#This Row],[SiteReadyForInstallation_AC]]-Table_SiteMilestoneTracking[[#This Row],[SiteReadyForInstallation_BL]],"-")</f>
        <v>6</v>
      </c>
      <c r="AZ52" s="64">
        <f>IF(ISBLANK(Table_SiteMilestoneTracking[[#This Row],[SiteReadyForInstallation_AC]])=FALSE,Table_SiteMilestoneTracking[[#This Row],[SiteReadyForInstallation_AC]]-Table_SiteMilestoneTracking[[#This Row],[TXReady_AC]],"-")</f>
        <v>8</v>
      </c>
      <c r="BA52" s="64">
        <f>$BA$2</f>
        <v>2500</v>
      </c>
      <c r="BB52" s="82"/>
      <c r="BC52" s="63">
        <f>Table_SiteMilestoneTracking[[#This Row],[SiteReadyForInstallation_BL]]+t6_InstallationBL</f>
        <v>44049</v>
      </c>
      <c r="BD52" s="84"/>
      <c r="BE52" s="64" t="str">
        <f>IF(ISBLANK(Table_SiteMilestoneTracking[[#This Row],[SiteReadyForIntegration_AC]])=FALSE,Table_SiteMilestoneTracking[[#This Row],[SiteReadyForIntegration_AC]]-Table_SiteMilestoneTracking[[#This Row],[SiteReadyForIntegration_BL]],"-")</f>
        <v>-</v>
      </c>
      <c r="BF52" s="64" t="str">
        <f>IF(ISBLANK(Table_SiteMilestoneTracking[[#This Row],[SiteReadyForIntegration_AC]])=FALSE,Table_SiteMilestoneTracking[[#This Row],[SiteReadyForIntegration_AC]]-Table_SiteMilestoneTracking[[#This Row],[SiteReadyForInstallation_AC]],"-")</f>
        <v>-</v>
      </c>
      <c r="BG52" s="64">
        <f>$BG$2</f>
        <v>500</v>
      </c>
      <c r="BH52" s="82"/>
      <c r="BI52" s="63">
        <f>Table_SiteMilestoneTracking[[#This Row],[SiteReadyForIntegration_BL]]+t7_IntegrationBL</f>
        <v>44053</v>
      </c>
      <c r="BJ52" s="84"/>
      <c r="BK52" s="64" t="str">
        <f>IF(ISBLANK(Table_SiteMilestoneTracking[[#This Row],[SiteOnAir_AC]])=FALSE,Table_SiteMilestoneTracking[[#This Row],[SiteOnAir_AC]]-Table_SiteMilestoneTracking[[#This Row],[SiteOnAir_BL]],"-")</f>
        <v>-</v>
      </c>
      <c r="BL52" s="64" t="str">
        <f>IF(ISBLANK(Table_SiteMilestoneTracking[[#This Row],[SiteOnAir_AC]])=FALSE,Table_SiteMilestoneTracking[[#This Row],[SiteOnAir_AC]]-Table_SiteMilestoneTracking[[#This Row],[SiteReadyForIntegration_AC]],"-")</f>
        <v>-</v>
      </c>
      <c r="BM52" s="64">
        <f>$BM$2</f>
        <v>250</v>
      </c>
      <c r="BN52" s="82"/>
      <c r="BO52" s="63">
        <f>Table_SiteMilestoneTracking[[#This Row],[SiteOnAir_BL]]+t8_AcceptanceBL</f>
        <v>44057</v>
      </c>
      <c r="BP52" s="84"/>
      <c r="BQ52" s="64" t="str">
        <f>IF(ISBLANK(Table_SiteMilestoneTracking[[#This Row],[SiteAccepted_AC]])=FALSE,Table_SiteMilestoneTracking[[#This Row],[SiteAccepted_AC]]-Table_SiteMilestoneTracking[[#This Row],[SiteAccepted_BL]],"-")</f>
        <v>-</v>
      </c>
      <c r="BR52" s="64" t="str">
        <f>IF(ISBLANK(Table_SiteMilestoneTracking[[#This Row],[SiteAccepted_AC]])=FALSE,Table_SiteMilestoneTracking[[#This Row],[SiteAccepted_AC]]-Table_SiteMilestoneTracking[[#This Row],[SiteOnAir_AC]],"-")</f>
        <v>-</v>
      </c>
      <c r="BS52" s="64">
        <f>$BS$2</f>
        <v>200</v>
      </c>
      <c r="BT52" s="82"/>
      <c r="BU52" s="63">
        <f>Table_SiteMilestoneTracking[[#This Row],[SiteAccepted_BL]]+t9_HandoverBL</f>
        <v>44065</v>
      </c>
      <c r="BV52" s="84"/>
      <c r="BW52" s="64" t="str">
        <f>IF(ISBLANK(Table_SiteMilestoneTracking[[#This Row],[SiteInOperations_AC]])=FALSE,Table_SiteMilestoneTracking[[#This Row],[SiteInOperations_AC]]-Table_SiteMilestoneTracking[[#This Row],[SiteInOperations_BL]],"-")</f>
        <v>-</v>
      </c>
      <c r="BX52" s="66">
        <f>Table_SiteMilestoneTracking[[#This Row],[SiteInOperations_BL]]-Table_SiteMilestoneTracking[[#This Row],[SiteDesignReady_BL]]</f>
        <v>55</v>
      </c>
      <c r="BY52" s="66" t="str">
        <f>IF(Table_SiteMilestoneTracking[[#This Row],[CurrentSiteMilestone]]="SiteInOperations",Table_SiteMilestoneTracking[[#This Row],[SiteInOperations_AC]]-Table_SiteMilestoneTracking[[#This Row],[SiteDesignReady_AC]],"")</f>
        <v/>
      </c>
      <c r="BZ52" s="66" t="str">
        <f>IFERROR(Table_SiteMilestoneTracking[[#This Row],[E2E_Site_AC]]-Table_SiteMilestoneTracking[[#This Row],[E2E_Site_BL]],"")</f>
        <v/>
      </c>
      <c r="CA52" s="66" t="str">
        <f>IF(Table_SiteMilestoneTracking[[#This Row],[CurrentSiteMilestone]]="SiteInOperations",Table_SiteMilestoneTracking[[#This Row],[SiteInOperations_AC]]-Table_SiteMilestoneTracking[[#This Row],[SiteAccepted_AC]],"")</f>
        <v/>
      </c>
      <c r="CB52" s="79"/>
      <c r="CC52" s="89"/>
      <c r="CD52" s="89"/>
      <c r="CE52" s="70"/>
      <c r="CF52" s="70"/>
      <c r="CG52" s="70"/>
      <c r="CH52" s="70"/>
      <c r="CI52" s="70"/>
      <c r="CJ52" s="70"/>
      <c r="CK52" s="70"/>
      <c r="CL52" s="70"/>
      <c r="CM52" s="70"/>
      <c r="CN52" s="70"/>
      <c r="CO52" s="70"/>
      <c r="CP52" s="70"/>
      <c r="CQ52" s="70"/>
      <c r="CR52" s="70"/>
      <c r="CS52" s="70"/>
      <c r="CT52" s="70"/>
      <c r="CU52" s="70"/>
      <c r="CV52" s="70"/>
      <c r="CW52" s="70"/>
      <c r="CX52" s="70"/>
      <c r="CY52" s="70"/>
      <c r="CZ52" s="70"/>
      <c r="DA52" s="70"/>
      <c r="DB52" s="70"/>
      <c r="DC52" s="70"/>
      <c r="DD52" s="70"/>
      <c r="DE52" s="70"/>
      <c r="DF52" s="70"/>
      <c r="DG52" s="70"/>
      <c r="DH52" s="70"/>
      <c r="DI52" s="70"/>
      <c r="DJ52" s="70"/>
      <c r="DK52" s="70"/>
      <c r="DL52" s="70"/>
      <c r="DM52" s="70"/>
      <c r="DN52" s="70"/>
      <c r="DO52" s="70"/>
      <c r="DP52" s="70"/>
      <c r="DQ52" s="70"/>
      <c r="DR52" s="70"/>
      <c r="DS52" s="70"/>
      <c r="DT52" s="70"/>
      <c r="DU52" s="70"/>
      <c r="DV52" s="70"/>
    </row>
    <row r="53" spans="1:126" x14ac:dyDescent="0.3">
      <c r="A53" s="79" t="str">
        <f>'4. Design Tracking Summary'!A54</f>
        <v>PI00244</v>
      </c>
      <c r="B53" s="79" t="str">
        <f>'4. Design Tracking Summary'!B54</f>
        <v>North</v>
      </c>
      <c r="C53" s="79" t="str">
        <f>'4. Design Tracking Summary'!C54</f>
        <v>GTO</v>
      </c>
      <c r="D53" s="79" t="str">
        <f>'4. Design Tracking Summary'!D54</f>
        <v>MINI</v>
      </c>
      <c r="E53" s="79" t="s">
        <v>58</v>
      </c>
      <c r="F53" s="79"/>
      <c r="G53" s="60" t="str">
        <f>IFERROR(INDEX(Table_SiteMilestonesNames[SiteMilestoneName],COUNTA(Table_SiteMilestoneTracking[[#This Row],[SiteDesignStarted_AC]],Table_SiteMilestoneTracking[[#This Row],[SiteDesignReady_AC]],Table_SiteMilestoneTracking[[#This Row],[SiteSurveyCompleted_AC]],Table_SiteMilestoneTracking[[#This Row],[SiteAcquired_AC]],Table_SiteMilestoneTracking[[#This Row],[SiteReadyForCW_AC]],Table_SiteMilestoneTracking[[#This Row],[SiteReadyForPower_AC]],Table_SiteMilestoneTracking[[#This Row],[TXReady_AC]],Table_SiteMilestoneTracking[[#This Row],[SiteReadyForInstallation_AC]],Table_SiteMilestoneTracking[[#This Row],[SiteReadyForIntegration_AC]],Table_SiteMilestoneTracking[[#This Row],[SiteOnAir_AC]],Table_SiteMilestoneTracking[[#This Row],[SiteAccepted_AC]],Table_SiteMilestoneTracking[[#This Row],[SiteInOperations_AC]])+1),"Invalid Milestone")</f>
        <v>SiteReadyForInstallation</v>
      </c>
      <c r="H53" s="61">
        <f>Table_SiteMilestoneTracking[[#This Row],[c0_SiteDesignCostBL]]+Table_SiteMilestoneTracking[[#This Row],[c1_SiteSurveyCostBL]]+Table_SiteMilestoneTracking[[#This Row],[c2_SiteAcquisitionCostBL]]+Table_SiteMilestoneTracking[[#This Row],[c3_CivilWorksCostBL]]+Table_SiteMilestoneTracking[[#This Row],[c4_PowerInstallCostBL]]+Table_SiteMilestoneTracking[[#This Row],[c5_TxintegrationCostBL]]+Table_SiteMilestoneTracking[[#This Row],[c6_InstallationCostBL]]+Table_SiteMilestoneTracking[[#This Row],[c7_IntegrationCostBL]]+Table_SiteMilestoneTracking[[#This Row],[c8_AcceptanceCostBL]]+Table_SiteMilestoneTracking[[#This Row],[c9_HandoverCostBL]]</f>
        <v>7550</v>
      </c>
      <c r="I53" s="62">
        <f>Table_SiteMilestoneTracking[[#This Row],[c0_SiteDesignCostAC]]+Table_SiteMilestoneTracking[[#This Row],[c1_SiteSurveyCostAC]]+Table_SiteMilestoneTracking[[#This Row],[c2_SiteAcquisitionCostAC]]+Table_SiteMilestoneTracking[[#This Row],[c3_CivilWorksCostAC]]+Table_SiteMilestoneTracking[[#This Row],[c4_PowerInstallCostAC]]+Table_SiteMilestoneTracking[[#This Row],[c5_TxintegrationCostAC]]+Table_SiteMilestoneTracking[[#This Row],[c6_InstallationCostAC]]+Table_SiteMilestoneTracking[[#This Row],[c7_IntegrationCostAC]]+Table_SiteMilestoneTracking[[#This Row],[c8_AcceptanceCostAC]]+Table_SiteMilestoneTracking[[#This Row],[c9_HandoverCostAC]]</f>
        <v>3685</v>
      </c>
      <c r="J53" s="84">
        <v>44008</v>
      </c>
      <c r="K53" s="84">
        <v>44010</v>
      </c>
      <c r="L53" s="64">
        <f>IF(ISBLANK(Table_SiteMilestoneTracking[[#This Row],[SiteDesignStarted_AC]])=FALSE,Table_SiteMilestoneTracking[[#This Row],[SiteDesignStarted_AC]]-Table_SiteMilestoneTracking[[#This Row],[SiteDesignStarted_BL]],"")</f>
        <v>2</v>
      </c>
      <c r="M53" s="64">
        <f t="shared" si="6"/>
        <v>500</v>
      </c>
      <c r="N53" s="87">
        <v>580</v>
      </c>
      <c r="O53" s="63">
        <f>Table_SiteMilestoneTracking[[#This Row],[SiteDesignStarted_BL]]+t0_SiteDesignDelayBL</f>
        <v>44010</v>
      </c>
      <c r="P53" s="84">
        <v>44010</v>
      </c>
      <c r="Q53" s="64">
        <f>IF(ISBLANK(Table_SiteMilestoneTracking[[#This Row],[SiteDesignReady_AC]])=FALSE,Table_SiteMilestoneTracking[[#This Row],[SiteDesignReady_AC]]-Table_SiteMilestoneTracking[[#This Row],[SiteDesignReady_BL]],"-")</f>
        <v>0</v>
      </c>
      <c r="R53" s="64">
        <f t="shared" si="5"/>
        <v>500</v>
      </c>
      <c r="S53" s="82">
        <v>375</v>
      </c>
      <c r="T53" s="63">
        <f>Table_SiteMilestoneTracking[[#This Row],[SiteDesignReady_BL]]+t1_SiteSurveyBL</f>
        <v>44012</v>
      </c>
      <c r="U53" s="84">
        <v>44012</v>
      </c>
      <c r="V53" s="64">
        <f>IF(ISBLANK(Table_SiteMilestoneTracking[[#This Row],[SiteSurveyCompleted_AC]])=FALSE,Table_SiteMilestoneTracking[[#This Row],[SiteSurveyCompleted_AC]]-Table_SiteMilestoneTracking[[#This Row],[SiteDesignReady_AC]],"-")</f>
        <v>2</v>
      </c>
      <c r="W53" s="64">
        <f t="shared" si="7"/>
        <v>600</v>
      </c>
      <c r="X53" s="82">
        <v>780</v>
      </c>
      <c r="Y53" s="63">
        <f>Table_SiteMilestoneTracking[[#This Row],[SiteSurveyCompleted_BL]]+t2_SiteAcquisitionBL</f>
        <v>44023</v>
      </c>
      <c r="Z53" s="84">
        <v>44024</v>
      </c>
      <c r="AA53" s="65">
        <f>IF(ISBLANK(Table_SiteMilestoneTracking[[#This Row],[SiteAcquired_AC]])=FALSE,Table_SiteMilestoneTracking[[#This Row],[SiteAcquired_AC]]-Table_SiteMilestoneTracking[[#This Row],[SiteAcquired_BL]],"-")</f>
        <v>1</v>
      </c>
      <c r="AB53" s="65">
        <f>IF(ISBLANK(Table_SiteMilestoneTracking[[#This Row],[SiteAcquired_AC]])=FALSE,Table_SiteMilestoneTracking[[#This Row],[SiteAcquired_AC]]-Table_SiteMilestoneTracking[[#This Row],[SiteSurveyCompleted_AC]],"-")</f>
        <v>12</v>
      </c>
      <c r="AC53" s="64">
        <f t="shared" si="8"/>
        <v>150</v>
      </c>
      <c r="AD53" s="82">
        <v>165</v>
      </c>
      <c r="AE53" s="63">
        <f>Table_SiteMilestoneTracking[[#This Row],[SiteAcquired_BL]]+t2a_SiteCWReadinessBL</f>
        <v>44025</v>
      </c>
      <c r="AF53" s="85">
        <v>44027</v>
      </c>
      <c r="AG53" s="66">
        <f>IF(ISBLANK(Table_SiteMilestoneTracking[[#This Row],[SiteReadyForCW_AC]])=FALSE,Table_SiteMilestoneTracking[[#This Row],[SiteReadyForCW_AC]]-Table_SiteMilestoneTracking[[#This Row],[SiteReadyForCW_BL]],"-")</f>
        <v>2</v>
      </c>
      <c r="AH53" s="66">
        <f>IF(ISBLANK(Table_SiteMilestoneTracking[[#This Row],[SiteReadyForCW_AC]])=FALSE,Table_SiteMilestoneTracking[[#This Row],[SiteReadyForCW_AC]]-Table_SiteMilestoneTracking[[#This Row],[SiteDesignReady_AC]],"-")</f>
        <v>17</v>
      </c>
      <c r="AI53" s="64">
        <f t="shared" si="9"/>
        <v>1500</v>
      </c>
      <c r="AJ53" s="82">
        <v>1050</v>
      </c>
      <c r="AK53" s="63">
        <f>Table_SiteMilestoneTracking[[#This Row],[SiteReadyForCW_BL]]+t3_CivilWorksBL</f>
        <v>44033</v>
      </c>
      <c r="AL53" s="84">
        <v>44036</v>
      </c>
      <c r="AM53" s="64">
        <f>IF(ISBLANK(Table_SiteMilestoneTracking[[#This Row],[SiteReadyForPower_AC]])=FALSE,Table_SiteMilestoneTracking[[#This Row],[SiteReadyForPower_AC]]-Table_SiteMilestoneTracking[[#This Row],[SiteReadyForPower_BL]],"-")</f>
        <v>3</v>
      </c>
      <c r="AN53" s="64">
        <f>IF(ISBLANK(Table_SiteMilestoneTracking[[#This Row],[SiteReadyForPower_AC]])=FALSE,Table_SiteMilestoneTracking[[#This Row],[SiteReadyForPower_AC]]-Table_SiteMilestoneTracking[[#This Row],[SiteReadyForCW_AC]],"-")</f>
        <v>9</v>
      </c>
      <c r="AO53" s="64">
        <f t="shared" si="10"/>
        <v>500</v>
      </c>
      <c r="AP53" s="82">
        <v>600</v>
      </c>
      <c r="AQ53" s="63">
        <f>Table_SiteMilestoneTracking[[#This Row],[SiteReadyForPower_BL]]+t4_PowerInstallBL</f>
        <v>44038</v>
      </c>
      <c r="AR53" s="84">
        <v>44041</v>
      </c>
      <c r="AS53" s="64">
        <f>IF(ISBLANK(Table_SiteMilestoneTracking[[#This Row],[TXReady_AC]])=FALSE,Table_SiteMilestoneTracking[[#This Row],[TXReady_AC]]-Table_SiteMilestoneTracking[[#This Row],[TXReady_BL]],"-")</f>
        <v>3</v>
      </c>
      <c r="AT53" s="64">
        <f>IF(ISBLANK(Table_SiteMilestoneTracking[[#This Row],[TXReady_AC]])=FALSE,Table_SiteMilestoneTracking[[#This Row],[TXReady_AC]]-Table_SiteMilestoneTracking[[#This Row],[SiteReadyForPower_AC]],"-")</f>
        <v>5</v>
      </c>
      <c r="AU53" s="64">
        <f>$AU$2</f>
        <v>500</v>
      </c>
      <c r="AV53" s="82">
        <v>300</v>
      </c>
      <c r="AW53" s="63">
        <f>Table_SiteMilestoneTracking[[#This Row],[TXReady_BL]]+t5_TxintegrationBL</f>
        <v>44045</v>
      </c>
      <c r="AX53" s="84">
        <v>44048</v>
      </c>
      <c r="AY53" s="64">
        <f>IF(ISBLANK(Table_SiteMilestoneTracking[[#This Row],[SiteReadyForInstallation_AC]])=FALSE,Table_SiteMilestoneTracking[[#This Row],[SiteReadyForInstallation_AC]]-Table_SiteMilestoneTracking[[#This Row],[SiteReadyForInstallation_BL]],"-")</f>
        <v>3</v>
      </c>
      <c r="AZ53" s="64">
        <f>IF(ISBLANK(Table_SiteMilestoneTracking[[#This Row],[SiteReadyForInstallation_AC]])=FALSE,Table_SiteMilestoneTracking[[#This Row],[SiteReadyForInstallation_AC]]-Table_SiteMilestoneTracking[[#This Row],[TXReady_AC]],"-")</f>
        <v>7</v>
      </c>
      <c r="BA53" s="64">
        <f>$BA$2</f>
        <v>2500</v>
      </c>
      <c r="BB53" s="82"/>
      <c r="BC53" s="63">
        <f>Table_SiteMilestoneTracking[[#This Row],[SiteReadyForInstallation_BL]]+t6_InstallationBL</f>
        <v>44049</v>
      </c>
      <c r="BD53" s="84"/>
      <c r="BE53" s="64" t="str">
        <f>IF(ISBLANK(Table_SiteMilestoneTracking[[#This Row],[SiteReadyForIntegration_AC]])=FALSE,Table_SiteMilestoneTracking[[#This Row],[SiteReadyForIntegration_AC]]-Table_SiteMilestoneTracking[[#This Row],[SiteReadyForIntegration_BL]],"-")</f>
        <v>-</v>
      </c>
      <c r="BF53" s="64" t="str">
        <f>IF(ISBLANK(Table_SiteMilestoneTracking[[#This Row],[SiteReadyForIntegration_AC]])=FALSE,Table_SiteMilestoneTracking[[#This Row],[SiteReadyForIntegration_AC]]-Table_SiteMilestoneTracking[[#This Row],[SiteReadyForInstallation_AC]],"-")</f>
        <v>-</v>
      </c>
      <c r="BG53" s="64">
        <f>$BG$2</f>
        <v>500</v>
      </c>
      <c r="BH53" s="82"/>
      <c r="BI53" s="63">
        <f>Table_SiteMilestoneTracking[[#This Row],[SiteReadyForIntegration_BL]]+t7_IntegrationBL</f>
        <v>44053</v>
      </c>
      <c r="BJ53" s="84"/>
      <c r="BK53" s="64" t="str">
        <f>IF(ISBLANK(Table_SiteMilestoneTracking[[#This Row],[SiteOnAir_AC]])=FALSE,Table_SiteMilestoneTracking[[#This Row],[SiteOnAir_AC]]-Table_SiteMilestoneTracking[[#This Row],[SiteOnAir_BL]],"-")</f>
        <v>-</v>
      </c>
      <c r="BL53" s="64" t="str">
        <f>IF(ISBLANK(Table_SiteMilestoneTracking[[#This Row],[SiteOnAir_AC]])=FALSE,Table_SiteMilestoneTracking[[#This Row],[SiteOnAir_AC]]-Table_SiteMilestoneTracking[[#This Row],[SiteReadyForIntegration_AC]],"-")</f>
        <v>-</v>
      </c>
      <c r="BM53" s="64">
        <f>$BM$2</f>
        <v>250</v>
      </c>
      <c r="BN53" s="82"/>
      <c r="BO53" s="63">
        <f>Table_SiteMilestoneTracking[[#This Row],[SiteOnAir_BL]]+t8_AcceptanceBL</f>
        <v>44057</v>
      </c>
      <c r="BP53" s="84"/>
      <c r="BQ53" s="64" t="str">
        <f>IF(ISBLANK(Table_SiteMilestoneTracking[[#This Row],[SiteAccepted_AC]])=FALSE,Table_SiteMilestoneTracking[[#This Row],[SiteAccepted_AC]]-Table_SiteMilestoneTracking[[#This Row],[SiteAccepted_BL]],"-")</f>
        <v>-</v>
      </c>
      <c r="BR53" s="64" t="str">
        <f>IF(ISBLANK(Table_SiteMilestoneTracking[[#This Row],[SiteAccepted_AC]])=FALSE,Table_SiteMilestoneTracking[[#This Row],[SiteAccepted_AC]]-Table_SiteMilestoneTracking[[#This Row],[SiteOnAir_AC]],"-")</f>
        <v>-</v>
      </c>
      <c r="BS53" s="64">
        <f>$BS$2</f>
        <v>200</v>
      </c>
      <c r="BT53" s="82"/>
      <c r="BU53" s="63">
        <f>Table_SiteMilestoneTracking[[#This Row],[SiteAccepted_BL]]+t9_HandoverBL</f>
        <v>44065</v>
      </c>
      <c r="BV53" s="84"/>
      <c r="BW53" s="64" t="str">
        <f>IF(ISBLANK(Table_SiteMilestoneTracking[[#This Row],[SiteInOperations_AC]])=FALSE,Table_SiteMilestoneTracking[[#This Row],[SiteInOperations_AC]]-Table_SiteMilestoneTracking[[#This Row],[SiteInOperations_BL]],"-")</f>
        <v>-</v>
      </c>
      <c r="BX53" s="66">
        <f>Table_SiteMilestoneTracking[[#This Row],[SiteInOperations_BL]]-Table_SiteMilestoneTracking[[#This Row],[SiteDesignReady_BL]]</f>
        <v>55</v>
      </c>
      <c r="BY53" s="66" t="str">
        <f>IF(Table_SiteMilestoneTracking[[#This Row],[CurrentSiteMilestone]]="SiteInOperations",Table_SiteMilestoneTracking[[#This Row],[SiteInOperations_AC]]-Table_SiteMilestoneTracking[[#This Row],[SiteDesignReady_AC]],"")</f>
        <v/>
      </c>
      <c r="BZ53" s="66" t="str">
        <f>IFERROR(Table_SiteMilestoneTracking[[#This Row],[E2E_Site_AC]]-Table_SiteMilestoneTracking[[#This Row],[E2E_Site_BL]],"")</f>
        <v/>
      </c>
      <c r="CA53" s="66" t="str">
        <f>IF(Table_SiteMilestoneTracking[[#This Row],[CurrentSiteMilestone]]="SiteInOperations",Table_SiteMilestoneTracking[[#This Row],[SiteInOperations_AC]]-Table_SiteMilestoneTracking[[#This Row],[SiteAccepted_AC]],"")</f>
        <v/>
      </c>
      <c r="CB53" s="79"/>
      <c r="CC53" s="89"/>
      <c r="CD53" s="89"/>
      <c r="CE53" s="70"/>
      <c r="CF53" s="70"/>
      <c r="CG53" s="70"/>
      <c r="CH53" s="70"/>
      <c r="CI53" s="70"/>
      <c r="CJ53" s="70"/>
      <c r="CK53" s="70"/>
      <c r="CL53" s="70"/>
      <c r="CM53" s="70"/>
      <c r="CN53" s="70"/>
      <c r="CO53" s="70"/>
      <c r="CP53" s="70"/>
      <c r="CQ53" s="70"/>
      <c r="CR53" s="70"/>
      <c r="CS53" s="70"/>
      <c r="CT53" s="70"/>
      <c r="CU53" s="70"/>
      <c r="CV53" s="70"/>
      <c r="CW53" s="70"/>
      <c r="CX53" s="70"/>
      <c r="CY53" s="70"/>
      <c r="CZ53" s="70"/>
      <c r="DA53" s="70"/>
      <c r="DB53" s="70"/>
      <c r="DC53" s="70"/>
      <c r="DD53" s="70"/>
      <c r="DE53" s="70"/>
      <c r="DF53" s="70"/>
      <c r="DG53" s="70"/>
      <c r="DH53" s="70"/>
      <c r="DI53" s="70"/>
      <c r="DJ53" s="70"/>
      <c r="DK53" s="70"/>
      <c r="DL53" s="70"/>
      <c r="DM53" s="70"/>
      <c r="DN53" s="70"/>
      <c r="DO53" s="70"/>
      <c r="DP53" s="70"/>
      <c r="DQ53" s="70"/>
      <c r="DR53" s="70"/>
      <c r="DS53" s="70"/>
      <c r="DT53" s="70"/>
      <c r="DU53" s="70"/>
      <c r="DV53" s="70"/>
    </row>
    <row r="54" spans="1:126" x14ac:dyDescent="0.3">
      <c r="A54" s="79" t="str">
        <f>'4. Design Tracking Summary'!A55</f>
        <v>PI00265</v>
      </c>
      <c r="B54" s="79" t="str">
        <f>'4. Design Tracking Summary'!B55</f>
        <v>Center</v>
      </c>
      <c r="C54" s="79" t="str">
        <f>'4. Design Tracking Summary'!C55</f>
        <v>QRO</v>
      </c>
      <c r="D54" s="79" t="str">
        <f>'4. Design Tracking Summary'!D55</f>
        <v>SMALL</v>
      </c>
      <c r="E54" s="79" t="s">
        <v>58</v>
      </c>
      <c r="F54" s="79"/>
      <c r="G54" s="60" t="str">
        <f>IFERROR(INDEX(Table_SiteMilestonesNames[SiteMilestoneName],COUNTA(Table_SiteMilestoneTracking[[#This Row],[SiteDesignStarted_AC]],Table_SiteMilestoneTracking[[#This Row],[SiteDesignReady_AC]],Table_SiteMilestoneTracking[[#This Row],[SiteSurveyCompleted_AC]],Table_SiteMilestoneTracking[[#This Row],[SiteAcquired_AC]],Table_SiteMilestoneTracking[[#This Row],[SiteReadyForCW_AC]],Table_SiteMilestoneTracking[[#This Row],[SiteReadyForPower_AC]],Table_SiteMilestoneTracking[[#This Row],[TXReady_AC]],Table_SiteMilestoneTracking[[#This Row],[SiteReadyForInstallation_AC]],Table_SiteMilestoneTracking[[#This Row],[SiteReadyForIntegration_AC]],Table_SiteMilestoneTracking[[#This Row],[SiteOnAir_AC]],Table_SiteMilestoneTracking[[#This Row],[SiteAccepted_AC]],Table_SiteMilestoneTracking[[#This Row],[SiteInOperations_AC]])+1),"Invalid Milestone")</f>
        <v>SiteReadyForInstallation</v>
      </c>
      <c r="H54" s="61">
        <f>Table_SiteMilestoneTracking[[#This Row],[c0_SiteDesignCostBL]]+Table_SiteMilestoneTracking[[#This Row],[c1_SiteSurveyCostBL]]+Table_SiteMilestoneTracking[[#This Row],[c2_SiteAcquisitionCostBL]]+Table_SiteMilestoneTracking[[#This Row],[c3_CivilWorksCostBL]]+Table_SiteMilestoneTracking[[#This Row],[c4_PowerInstallCostBL]]+Table_SiteMilestoneTracking[[#This Row],[c5_TxintegrationCostBL]]+Table_SiteMilestoneTracking[[#This Row],[c6_InstallationCostBL]]+Table_SiteMilestoneTracking[[#This Row],[c7_IntegrationCostBL]]+Table_SiteMilestoneTracking[[#This Row],[c8_AcceptanceCostBL]]+Table_SiteMilestoneTracking[[#This Row],[c9_HandoverCostBL]]</f>
        <v>7550</v>
      </c>
      <c r="I54" s="62">
        <f>Table_SiteMilestoneTracking[[#This Row],[c0_SiteDesignCostAC]]+Table_SiteMilestoneTracking[[#This Row],[c1_SiteSurveyCostAC]]+Table_SiteMilestoneTracking[[#This Row],[c2_SiteAcquisitionCostAC]]+Table_SiteMilestoneTracking[[#This Row],[c3_CivilWorksCostAC]]+Table_SiteMilestoneTracking[[#This Row],[c4_PowerInstallCostAC]]+Table_SiteMilestoneTracking[[#This Row],[c5_TxintegrationCostAC]]+Table_SiteMilestoneTracking[[#This Row],[c6_InstallationCostAC]]+Table_SiteMilestoneTracking[[#This Row],[c7_IntegrationCostAC]]+Table_SiteMilestoneTracking[[#This Row],[c8_AcceptanceCostAC]]+Table_SiteMilestoneTracking[[#This Row],[c9_HandoverCostAC]]</f>
        <v>4815</v>
      </c>
      <c r="J54" s="84">
        <v>44008</v>
      </c>
      <c r="K54" s="84">
        <v>44009</v>
      </c>
      <c r="L54" s="64">
        <f>IF(ISBLANK(Table_SiteMilestoneTracking[[#This Row],[SiteDesignStarted_AC]])=FALSE,Table_SiteMilestoneTracking[[#This Row],[SiteDesignStarted_AC]]-Table_SiteMilestoneTracking[[#This Row],[SiteDesignStarted_BL]],"")</f>
        <v>1</v>
      </c>
      <c r="M54" s="64">
        <f t="shared" si="6"/>
        <v>500</v>
      </c>
      <c r="N54" s="87">
        <v>440</v>
      </c>
      <c r="O54" s="63">
        <f>Table_SiteMilestoneTracking[[#This Row],[SiteDesignStarted_BL]]+t0_SiteDesignDelayBL</f>
        <v>44010</v>
      </c>
      <c r="P54" s="84">
        <v>44013</v>
      </c>
      <c r="Q54" s="64">
        <f>IF(ISBLANK(Table_SiteMilestoneTracking[[#This Row],[SiteDesignReady_AC]])=FALSE,Table_SiteMilestoneTracking[[#This Row],[SiteDesignReady_AC]]-Table_SiteMilestoneTracking[[#This Row],[SiteDesignReady_BL]],"-")</f>
        <v>3</v>
      </c>
      <c r="R54" s="64">
        <f t="shared" si="5"/>
        <v>500</v>
      </c>
      <c r="S54" s="82">
        <v>675</v>
      </c>
      <c r="T54" s="63">
        <f>Table_SiteMilestoneTracking[[#This Row],[SiteDesignReady_BL]]+t1_SiteSurveyBL</f>
        <v>44012</v>
      </c>
      <c r="U54" s="84">
        <v>44016</v>
      </c>
      <c r="V54" s="64">
        <f>IF(ISBLANK(Table_SiteMilestoneTracking[[#This Row],[SiteSurveyCompleted_AC]])=FALSE,Table_SiteMilestoneTracking[[#This Row],[SiteSurveyCompleted_AC]]-Table_SiteMilestoneTracking[[#This Row],[SiteDesignReady_AC]],"-")</f>
        <v>3</v>
      </c>
      <c r="W54" s="64">
        <f t="shared" si="7"/>
        <v>600</v>
      </c>
      <c r="X54" s="82">
        <v>900</v>
      </c>
      <c r="Y54" s="63">
        <f>Table_SiteMilestoneTracking[[#This Row],[SiteSurveyCompleted_BL]]+t2_SiteAcquisitionBL</f>
        <v>44023</v>
      </c>
      <c r="Z54" s="84">
        <v>44028</v>
      </c>
      <c r="AA54" s="65">
        <f>IF(ISBLANK(Table_SiteMilestoneTracking[[#This Row],[SiteAcquired_AC]])=FALSE,Table_SiteMilestoneTracking[[#This Row],[SiteAcquired_AC]]-Table_SiteMilestoneTracking[[#This Row],[SiteAcquired_BL]],"-")</f>
        <v>5</v>
      </c>
      <c r="AB54" s="65">
        <f>IF(ISBLANK(Table_SiteMilestoneTracking[[#This Row],[SiteAcquired_AC]])=FALSE,Table_SiteMilestoneTracking[[#This Row],[SiteAcquired_AC]]-Table_SiteMilestoneTracking[[#This Row],[SiteSurveyCompleted_AC]],"-")</f>
        <v>12</v>
      </c>
      <c r="AC54" s="64">
        <f t="shared" si="8"/>
        <v>150</v>
      </c>
      <c r="AD54" s="82">
        <v>165</v>
      </c>
      <c r="AE54" s="63">
        <f>Table_SiteMilestoneTracking[[#This Row],[SiteAcquired_BL]]+t2a_SiteCWReadinessBL</f>
        <v>44025</v>
      </c>
      <c r="AF54" s="85">
        <v>44031</v>
      </c>
      <c r="AG54" s="66">
        <f>IF(ISBLANK(Table_SiteMilestoneTracking[[#This Row],[SiteReadyForCW_AC]])=FALSE,Table_SiteMilestoneTracking[[#This Row],[SiteReadyForCW_AC]]-Table_SiteMilestoneTracking[[#This Row],[SiteReadyForCW_BL]],"-")</f>
        <v>6</v>
      </c>
      <c r="AH54" s="66">
        <f>IF(ISBLANK(Table_SiteMilestoneTracking[[#This Row],[SiteReadyForCW_AC]])=FALSE,Table_SiteMilestoneTracking[[#This Row],[SiteReadyForCW_AC]]-Table_SiteMilestoneTracking[[#This Row],[SiteDesignReady_AC]],"-")</f>
        <v>18</v>
      </c>
      <c r="AI54" s="64">
        <f t="shared" si="9"/>
        <v>1500</v>
      </c>
      <c r="AJ54" s="82">
        <v>1650</v>
      </c>
      <c r="AK54" s="63">
        <f>Table_SiteMilestoneTracking[[#This Row],[SiteReadyForCW_BL]]+t3_CivilWorksBL</f>
        <v>44033</v>
      </c>
      <c r="AL54" s="84">
        <v>44040</v>
      </c>
      <c r="AM54" s="64">
        <f>IF(ISBLANK(Table_SiteMilestoneTracking[[#This Row],[SiteReadyForPower_AC]])=FALSE,Table_SiteMilestoneTracking[[#This Row],[SiteReadyForPower_AC]]-Table_SiteMilestoneTracking[[#This Row],[SiteReadyForPower_BL]],"-")</f>
        <v>7</v>
      </c>
      <c r="AN54" s="64">
        <f>IF(ISBLANK(Table_SiteMilestoneTracking[[#This Row],[SiteReadyForPower_AC]])=FALSE,Table_SiteMilestoneTracking[[#This Row],[SiteReadyForPower_AC]]-Table_SiteMilestoneTracking[[#This Row],[SiteReadyForCW_AC]],"-")</f>
        <v>9</v>
      </c>
      <c r="AO54" s="64">
        <f t="shared" si="10"/>
        <v>500</v>
      </c>
      <c r="AP54" s="82">
        <v>700</v>
      </c>
      <c r="AQ54" s="63">
        <f>Table_SiteMilestoneTracking[[#This Row],[SiteReadyForPower_BL]]+t4_PowerInstallBL</f>
        <v>44038</v>
      </c>
      <c r="AR54" s="84">
        <v>44046</v>
      </c>
      <c r="AS54" s="64">
        <f>IF(ISBLANK(Table_SiteMilestoneTracking[[#This Row],[TXReady_AC]])=FALSE,Table_SiteMilestoneTracking[[#This Row],[TXReady_AC]]-Table_SiteMilestoneTracking[[#This Row],[TXReady_BL]],"-")</f>
        <v>8</v>
      </c>
      <c r="AT54" s="64">
        <f>IF(ISBLANK(Table_SiteMilestoneTracking[[#This Row],[TXReady_AC]])=FALSE,Table_SiteMilestoneTracking[[#This Row],[TXReady_AC]]-Table_SiteMilestoneTracking[[#This Row],[SiteReadyForPower_AC]],"-")</f>
        <v>6</v>
      </c>
      <c r="AU54" s="64">
        <f>$AU$2</f>
        <v>500</v>
      </c>
      <c r="AV54" s="82">
        <v>450</v>
      </c>
      <c r="AW54" s="63">
        <f>Table_SiteMilestoneTracking[[#This Row],[TXReady_BL]]+t5_TxintegrationBL</f>
        <v>44045</v>
      </c>
      <c r="AX54" s="84">
        <v>44053</v>
      </c>
      <c r="AY54" s="64">
        <f>IF(ISBLANK(Table_SiteMilestoneTracking[[#This Row],[SiteReadyForInstallation_AC]])=FALSE,Table_SiteMilestoneTracking[[#This Row],[SiteReadyForInstallation_AC]]-Table_SiteMilestoneTracking[[#This Row],[SiteReadyForInstallation_BL]],"-")</f>
        <v>8</v>
      </c>
      <c r="AZ54" s="64">
        <f>IF(ISBLANK(Table_SiteMilestoneTracking[[#This Row],[SiteReadyForInstallation_AC]])=FALSE,Table_SiteMilestoneTracking[[#This Row],[SiteReadyForInstallation_AC]]-Table_SiteMilestoneTracking[[#This Row],[TXReady_AC]],"-")</f>
        <v>7</v>
      </c>
      <c r="BA54" s="64">
        <f>$BA$2</f>
        <v>2500</v>
      </c>
      <c r="BB54" s="82"/>
      <c r="BC54" s="63">
        <f>Table_SiteMilestoneTracking[[#This Row],[SiteReadyForInstallation_BL]]+t6_InstallationBL</f>
        <v>44049</v>
      </c>
      <c r="BD54" s="84"/>
      <c r="BE54" s="64" t="str">
        <f>IF(ISBLANK(Table_SiteMilestoneTracking[[#This Row],[SiteReadyForIntegration_AC]])=FALSE,Table_SiteMilestoneTracking[[#This Row],[SiteReadyForIntegration_AC]]-Table_SiteMilestoneTracking[[#This Row],[SiteReadyForIntegration_BL]],"-")</f>
        <v>-</v>
      </c>
      <c r="BF54" s="64" t="str">
        <f>IF(ISBLANK(Table_SiteMilestoneTracking[[#This Row],[SiteReadyForIntegration_AC]])=FALSE,Table_SiteMilestoneTracking[[#This Row],[SiteReadyForIntegration_AC]]-Table_SiteMilestoneTracking[[#This Row],[SiteReadyForInstallation_AC]],"-")</f>
        <v>-</v>
      </c>
      <c r="BG54" s="64">
        <f>$BG$2</f>
        <v>500</v>
      </c>
      <c r="BH54" s="82"/>
      <c r="BI54" s="63">
        <f>Table_SiteMilestoneTracking[[#This Row],[SiteReadyForIntegration_BL]]+t7_IntegrationBL</f>
        <v>44053</v>
      </c>
      <c r="BJ54" s="84"/>
      <c r="BK54" s="64" t="str">
        <f>IF(ISBLANK(Table_SiteMilestoneTracking[[#This Row],[SiteOnAir_AC]])=FALSE,Table_SiteMilestoneTracking[[#This Row],[SiteOnAir_AC]]-Table_SiteMilestoneTracking[[#This Row],[SiteOnAir_BL]],"-")</f>
        <v>-</v>
      </c>
      <c r="BL54" s="64" t="str">
        <f>IF(ISBLANK(Table_SiteMilestoneTracking[[#This Row],[SiteOnAir_AC]])=FALSE,Table_SiteMilestoneTracking[[#This Row],[SiteOnAir_AC]]-Table_SiteMilestoneTracking[[#This Row],[SiteReadyForIntegration_AC]],"-")</f>
        <v>-</v>
      </c>
      <c r="BM54" s="64">
        <f>$BM$2</f>
        <v>250</v>
      </c>
      <c r="BN54" s="82"/>
      <c r="BO54" s="63">
        <f>Table_SiteMilestoneTracking[[#This Row],[SiteOnAir_BL]]+t8_AcceptanceBL</f>
        <v>44057</v>
      </c>
      <c r="BP54" s="84"/>
      <c r="BQ54" s="64" t="str">
        <f>IF(ISBLANK(Table_SiteMilestoneTracking[[#This Row],[SiteAccepted_AC]])=FALSE,Table_SiteMilestoneTracking[[#This Row],[SiteAccepted_AC]]-Table_SiteMilestoneTracking[[#This Row],[SiteAccepted_BL]],"-")</f>
        <v>-</v>
      </c>
      <c r="BR54" s="64" t="str">
        <f>IF(ISBLANK(Table_SiteMilestoneTracking[[#This Row],[SiteAccepted_AC]])=FALSE,Table_SiteMilestoneTracking[[#This Row],[SiteAccepted_AC]]-Table_SiteMilestoneTracking[[#This Row],[SiteOnAir_AC]],"-")</f>
        <v>-</v>
      </c>
      <c r="BS54" s="64">
        <f>$BS$2</f>
        <v>200</v>
      </c>
      <c r="BT54" s="82"/>
      <c r="BU54" s="63">
        <f>Table_SiteMilestoneTracking[[#This Row],[SiteAccepted_BL]]+t9_HandoverBL</f>
        <v>44065</v>
      </c>
      <c r="BV54" s="84"/>
      <c r="BW54" s="64" t="str">
        <f>IF(ISBLANK(Table_SiteMilestoneTracking[[#This Row],[SiteInOperations_AC]])=FALSE,Table_SiteMilestoneTracking[[#This Row],[SiteInOperations_AC]]-Table_SiteMilestoneTracking[[#This Row],[SiteInOperations_BL]],"-")</f>
        <v>-</v>
      </c>
      <c r="BX54" s="66">
        <f>Table_SiteMilestoneTracking[[#This Row],[SiteInOperations_BL]]-Table_SiteMilestoneTracking[[#This Row],[SiteDesignReady_BL]]</f>
        <v>55</v>
      </c>
      <c r="BY54" s="66" t="str">
        <f>IF(Table_SiteMilestoneTracking[[#This Row],[CurrentSiteMilestone]]="SiteInOperations",Table_SiteMilestoneTracking[[#This Row],[SiteInOperations_AC]]-Table_SiteMilestoneTracking[[#This Row],[SiteDesignReady_AC]],"")</f>
        <v/>
      </c>
      <c r="BZ54" s="66" t="str">
        <f>IFERROR(Table_SiteMilestoneTracking[[#This Row],[E2E_Site_AC]]-Table_SiteMilestoneTracking[[#This Row],[E2E_Site_BL]],"")</f>
        <v/>
      </c>
      <c r="CA54" s="66" t="str">
        <f>IF(Table_SiteMilestoneTracking[[#This Row],[CurrentSiteMilestone]]="SiteInOperations",Table_SiteMilestoneTracking[[#This Row],[SiteInOperations_AC]]-Table_SiteMilestoneTracking[[#This Row],[SiteAccepted_AC]],"")</f>
        <v/>
      </c>
      <c r="CB54" s="79"/>
      <c r="CC54" s="89"/>
      <c r="CD54" s="89"/>
      <c r="CE54" s="70"/>
      <c r="CF54" s="70"/>
      <c r="CG54" s="70"/>
      <c r="CH54" s="70"/>
      <c r="CI54" s="70"/>
      <c r="CJ54" s="70"/>
      <c r="CK54" s="70"/>
      <c r="CL54" s="70"/>
      <c r="CM54" s="70"/>
      <c r="CN54" s="70"/>
      <c r="CO54" s="70"/>
      <c r="CP54" s="70"/>
      <c r="CQ54" s="70"/>
      <c r="CR54" s="70"/>
      <c r="CS54" s="70"/>
      <c r="CT54" s="70"/>
      <c r="CU54" s="70"/>
      <c r="CV54" s="70"/>
      <c r="CW54" s="70"/>
      <c r="CX54" s="70"/>
      <c r="CY54" s="70"/>
      <c r="CZ54" s="70"/>
      <c r="DA54" s="70"/>
      <c r="DB54" s="70"/>
      <c r="DC54" s="70"/>
      <c r="DD54" s="70"/>
      <c r="DE54" s="70"/>
      <c r="DF54" s="70"/>
      <c r="DG54" s="70"/>
      <c r="DH54" s="70"/>
      <c r="DI54" s="70"/>
      <c r="DJ54" s="70"/>
      <c r="DK54" s="70"/>
      <c r="DL54" s="70"/>
      <c r="DM54" s="70"/>
      <c r="DN54" s="70"/>
      <c r="DO54" s="70"/>
      <c r="DP54" s="70"/>
      <c r="DQ54" s="70"/>
      <c r="DR54" s="70"/>
      <c r="DS54" s="70"/>
      <c r="DT54" s="70"/>
      <c r="DU54" s="70"/>
      <c r="DV54" s="70"/>
    </row>
    <row r="55" spans="1:126" x14ac:dyDescent="0.3">
      <c r="A55" s="79" t="str">
        <f>'4. Design Tracking Summary'!A56</f>
        <v>PI00309</v>
      </c>
      <c r="B55" s="79" t="str">
        <f>'4. Design Tracking Summary'!B56</f>
        <v>Center</v>
      </c>
      <c r="C55" s="79" t="str">
        <f>'4. Design Tracking Summary'!C56</f>
        <v>VER</v>
      </c>
      <c r="D55" s="79" t="str">
        <f>'4. Design Tracking Summary'!D56</f>
        <v>MACRO</v>
      </c>
      <c r="E55" s="79" t="s">
        <v>56</v>
      </c>
      <c r="F55" s="79"/>
      <c r="G55" s="60" t="str">
        <f>IFERROR(INDEX(Table_SiteMilestonesNames[SiteMilestoneName],COUNTA(Table_SiteMilestoneTracking[[#This Row],[SiteDesignStarted_AC]],Table_SiteMilestoneTracking[[#This Row],[SiteDesignReady_AC]],Table_SiteMilestoneTracking[[#This Row],[SiteSurveyCompleted_AC]],Table_SiteMilestoneTracking[[#This Row],[SiteAcquired_AC]],Table_SiteMilestoneTracking[[#This Row],[SiteReadyForCW_AC]],Table_SiteMilestoneTracking[[#This Row],[SiteReadyForPower_AC]],Table_SiteMilestoneTracking[[#This Row],[TXReady_AC]],Table_SiteMilestoneTracking[[#This Row],[SiteReadyForInstallation_AC]],Table_SiteMilestoneTracking[[#This Row],[SiteReadyForIntegration_AC]],Table_SiteMilestoneTracking[[#This Row],[SiteOnAir_AC]],Table_SiteMilestoneTracking[[#This Row],[SiteAccepted_AC]],Table_SiteMilestoneTracking[[#This Row],[SiteInOperations_AC]])+1),"Invalid Milestone")</f>
        <v>TX_Ready</v>
      </c>
      <c r="H55" s="61">
        <f>Table_SiteMilestoneTracking[[#This Row],[c0_SiteDesignCostBL]]+Table_SiteMilestoneTracking[[#This Row],[c1_SiteSurveyCostBL]]+Table_SiteMilestoneTracking[[#This Row],[c2_SiteAcquisitionCostBL]]+Table_SiteMilestoneTracking[[#This Row],[c3_CivilWorksCostBL]]+Table_SiteMilestoneTracking[[#This Row],[c4_PowerInstallCostBL]]+Table_SiteMilestoneTracking[[#This Row],[c5_TxintegrationCostBL]]+Table_SiteMilestoneTracking[[#This Row],[c6_InstallationCostBL]]+Table_SiteMilestoneTracking[[#This Row],[c7_IntegrationCostBL]]+Table_SiteMilestoneTracking[[#This Row],[c8_AcceptanceCostBL]]+Table_SiteMilestoneTracking[[#This Row],[c9_HandoverCostBL]]</f>
        <v>7550</v>
      </c>
      <c r="I55" s="62">
        <f>Table_SiteMilestoneTracking[[#This Row],[c0_SiteDesignCostAC]]+Table_SiteMilestoneTracking[[#This Row],[c1_SiteSurveyCostAC]]+Table_SiteMilestoneTracking[[#This Row],[c2_SiteAcquisitionCostAC]]+Table_SiteMilestoneTracking[[#This Row],[c3_CivilWorksCostAC]]+Table_SiteMilestoneTracking[[#This Row],[c4_PowerInstallCostAC]]+Table_SiteMilestoneTracking[[#This Row],[c5_TxintegrationCostAC]]+Table_SiteMilestoneTracking[[#This Row],[c6_InstallationCostAC]]+Table_SiteMilestoneTracking[[#This Row],[c7_IntegrationCostAC]]+Table_SiteMilestoneTracking[[#This Row],[c8_AcceptanceCostAC]]+Table_SiteMilestoneTracking[[#This Row],[c9_HandoverCostAC]]</f>
        <v>3095</v>
      </c>
      <c r="J55" s="84">
        <v>44011</v>
      </c>
      <c r="K55" s="84">
        <v>44012</v>
      </c>
      <c r="L55" s="64">
        <f>IF(ISBLANK(Table_SiteMilestoneTracking[[#This Row],[SiteDesignStarted_AC]])=FALSE,Table_SiteMilestoneTracking[[#This Row],[SiteDesignStarted_AC]]-Table_SiteMilestoneTracking[[#This Row],[SiteDesignStarted_BL]],"")</f>
        <v>1</v>
      </c>
      <c r="M55" s="64">
        <f t="shared" si="6"/>
        <v>500</v>
      </c>
      <c r="N55" s="87">
        <v>460</v>
      </c>
      <c r="O55" s="63">
        <f>Table_SiteMilestoneTracking[[#This Row],[SiteDesignStarted_BL]]+t0_SiteDesignDelayBL</f>
        <v>44013</v>
      </c>
      <c r="P55" s="84">
        <v>44015</v>
      </c>
      <c r="Q55" s="64">
        <f>IF(ISBLANK(Table_SiteMilestoneTracking[[#This Row],[SiteDesignReady_AC]])=FALSE,Table_SiteMilestoneTracking[[#This Row],[SiteDesignReady_AC]]-Table_SiteMilestoneTracking[[#This Row],[SiteDesignReady_BL]],"-")</f>
        <v>2</v>
      </c>
      <c r="R55" s="64">
        <f t="shared" si="5"/>
        <v>500</v>
      </c>
      <c r="S55" s="82">
        <v>525</v>
      </c>
      <c r="T55" s="63">
        <f>Table_SiteMilestoneTracking[[#This Row],[SiteDesignReady_BL]]+t1_SiteSurveyBL</f>
        <v>44015</v>
      </c>
      <c r="U55" s="84">
        <v>44018</v>
      </c>
      <c r="V55" s="64">
        <f>IF(ISBLANK(Table_SiteMilestoneTracking[[#This Row],[SiteSurveyCompleted_AC]])=FALSE,Table_SiteMilestoneTracking[[#This Row],[SiteSurveyCompleted_AC]]-Table_SiteMilestoneTracking[[#This Row],[SiteDesignReady_AC]],"-")</f>
        <v>3</v>
      </c>
      <c r="W55" s="64">
        <f t="shared" si="7"/>
        <v>600</v>
      </c>
      <c r="X55" s="82">
        <v>660</v>
      </c>
      <c r="Y55" s="63">
        <f>Table_SiteMilestoneTracking[[#This Row],[SiteSurveyCompleted_BL]]+t2_SiteAcquisitionBL</f>
        <v>44026</v>
      </c>
      <c r="Z55" s="84">
        <v>44030</v>
      </c>
      <c r="AA55" s="65">
        <f>IF(ISBLANK(Table_SiteMilestoneTracking[[#This Row],[SiteAcquired_AC]])=FALSE,Table_SiteMilestoneTracking[[#This Row],[SiteAcquired_AC]]-Table_SiteMilestoneTracking[[#This Row],[SiteAcquired_BL]],"-")</f>
        <v>4</v>
      </c>
      <c r="AB55" s="65">
        <f>IF(ISBLANK(Table_SiteMilestoneTracking[[#This Row],[SiteAcquired_AC]])=FALSE,Table_SiteMilestoneTracking[[#This Row],[SiteAcquired_AC]]-Table_SiteMilestoneTracking[[#This Row],[SiteSurveyCompleted_AC]],"-")</f>
        <v>12</v>
      </c>
      <c r="AC55" s="64">
        <f t="shared" si="8"/>
        <v>150</v>
      </c>
      <c r="AD55" s="82">
        <v>135</v>
      </c>
      <c r="AE55" s="63">
        <f>Table_SiteMilestoneTracking[[#This Row],[SiteAcquired_BL]]+t2a_SiteCWReadinessBL</f>
        <v>44028</v>
      </c>
      <c r="AF55" s="85">
        <v>44032</v>
      </c>
      <c r="AG55" s="66">
        <f>IF(ISBLANK(Table_SiteMilestoneTracking[[#This Row],[SiteReadyForCW_AC]])=FALSE,Table_SiteMilestoneTracking[[#This Row],[SiteReadyForCW_AC]]-Table_SiteMilestoneTracking[[#This Row],[SiteReadyForCW_BL]],"-")</f>
        <v>4</v>
      </c>
      <c r="AH55" s="66">
        <f>IF(ISBLANK(Table_SiteMilestoneTracking[[#This Row],[SiteReadyForCW_AC]])=FALSE,Table_SiteMilestoneTracking[[#This Row],[SiteReadyForCW_AC]]-Table_SiteMilestoneTracking[[#This Row],[SiteDesignReady_AC]],"-")</f>
        <v>17</v>
      </c>
      <c r="AI55" s="64">
        <f t="shared" si="9"/>
        <v>1500</v>
      </c>
      <c r="AJ55" s="82">
        <v>1200</v>
      </c>
      <c r="AK55" s="63">
        <f>Table_SiteMilestoneTracking[[#This Row],[SiteReadyForCW_BL]]+t3_CivilWorksBL</f>
        <v>44036</v>
      </c>
      <c r="AL55" s="84">
        <v>44040</v>
      </c>
      <c r="AM55" s="64">
        <f>IF(ISBLANK(Table_SiteMilestoneTracking[[#This Row],[SiteReadyForPower_AC]])=FALSE,Table_SiteMilestoneTracking[[#This Row],[SiteReadyForPower_AC]]-Table_SiteMilestoneTracking[[#This Row],[SiteReadyForPower_BL]],"-")</f>
        <v>4</v>
      </c>
      <c r="AN55" s="64">
        <f>IF(ISBLANK(Table_SiteMilestoneTracking[[#This Row],[SiteReadyForPower_AC]])=FALSE,Table_SiteMilestoneTracking[[#This Row],[SiteReadyForPower_AC]]-Table_SiteMilestoneTracking[[#This Row],[SiteReadyForCW_AC]],"-")</f>
        <v>8</v>
      </c>
      <c r="AO55" s="64">
        <f t="shared" si="10"/>
        <v>500</v>
      </c>
      <c r="AP55" s="82">
        <v>250</v>
      </c>
      <c r="AQ55" s="63">
        <f>Table_SiteMilestoneTracking[[#This Row],[SiteReadyForPower_BL]]+t4_PowerInstallBL</f>
        <v>44041</v>
      </c>
      <c r="AR55" s="84">
        <v>44046</v>
      </c>
      <c r="AS55" s="64">
        <f>IF(ISBLANK(Table_SiteMilestoneTracking[[#This Row],[TXReady_AC]])=FALSE,Table_SiteMilestoneTracking[[#This Row],[TXReady_AC]]-Table_SiteMilestoneTracking[[#This Row],[TXReady_BL]],"-")</f>
        <v>5</v>
      </c>
      <c r="AT55" s="64">
        <f>IF(ISBLANK(Table_SiteMilestoneTracking[[#This Row],[TXReady_AC]])=FALSE,Table_SiteMilestoneTracking[[#This Row],[TXReady_AC]]-Table_SiteMilestoneTracking[[#This Row],[SiteReadyForPower_AC]],"-")</f>
        <v>6</v>
      </c>
      <c r="AU55" s="64">
        <f>$AU$2</f>
        <v>500</v>
      </c>
      <c r="AV55" s="82"/>
      <c r="AW55" s="63">
        <f>Table_SiteMilestoneTracking[[#This Row],[TXReady_BL]]+t5_TxintegrationBL</f>
        <v>44048</v>
      </c>
      <c r="AX55" s="84"/>
      <c r="AY55" s="64" t="str">
        <f>IF(ISBLANK(Table_SiteMilestoneTracking[[#This Row],[SiteReadyForInstallation_AC]])=FALSE,Table_SiteMilestoneTracking[[#This Row],[SiteReadyForInstallation_AC]]-Table_SiteMilestoneTracking[[#This Row],[SiteReadyForInstallation_BL]],"-")</f>
        <v>-</v>
      </c>
      <c r="AZ55" s="64" t="str">
        <f>IF(ISBLANK(Table_SiteMilestoneTracking[[#This Row],[SiteReadyForInstallation_AC]])=FALSE,Table_SiteMilestoneTracking[[#This Row],[SiteReadyForInstallation_AC]]-Table_SiteMilestoneTracking[[#This Row],[TXReady_AC]],"-")</f>
        <v>-</v>
      </c>
      <c r="BA55" s="64">
        <f>$BA$2</f>
        <v>2500</v>
      </c>
      <c r="BB55" s="82"/>
      <c r="BC55" s="63">
        <f>Table_SiteMilestoneTracking[[#This Row],[SiteReadyForInstallation_BL]]+t6_InstallationBL</f>
        <v>44052</v>
      </c>
      <c r="BD55" s="84"/>
      <c r="BE55" s="64" t="str">
        <f>IF(ISBLANK(Table_SiteMilestoneTracking[[#This Row],[SiteReadyForIntegration_AC]])=FALSE,Table_SiteMilestoneTracking[[#This Row],[SiteReadyForIntegration_AC]]-Table_SiteMilestoneTracking[[#This Row],[SiteReadyForIntegration_BL]],"-")</f>
        <v>-</v>
      </c>
      <c r="BF55" s="64" t="str">
        <f>IF(ISBLANK(Table_SiteMilestoneTracking[[#This Row],[SiteReadyForIntegration_AC]])=FALSE,Table_SiteMilestoneTracking[[#This Row],[SiteReadyForIntegration_AC]]-Table_SiteMilestoneTracking[[#This Row],[SiteReadyForInstallation_AC]],"-")</f>
        <v>-</v>
      </c>
      <c r="BG55" s="64">
        <f>$BG$2</f>
        <v>500</v>
      </c>
      <c r="BH55" s="82"/>
      <c r="BI55" s="63">
        <f>Table_SiteMilestoneTracking[[#This Row],[SiteReadyForIntegration_BL]]+t7_IntegrationBL</f>
        <v>44056</v>
      </c>
      <c r="BJ55" s="84"/>
      <c r="BK55" s="64" t="str">
        <f>IF(ISBLANK(Table_SiteMilestoneTracking[[#This Row],[SiteOnAir_AC]])=FALSE,Table_SiteMilestoneTracking[[#This Row],[SiteOnAir_AC]]-Table_SiteMilestoneTracking[[#This Row],[SiteOnAir_BL]],"-")</f>
        <v>-</v>
      </c>
      <c r="BL55" s="64" t="str">
        <f>IF(ISBLANK(Table_SiteMilestoneTracking[[#This Row],[SiteOnAir_AC]])=FALSE,Table_SiteMilestoneTracking[[#This Row],[SiteOnAir_AC]]-Table_SiteMilestoneTracking[[#This Row],[SiteReadyForIntegration_AC]],"-")</f>
        <v>-</v>
      </c>
      <c r="BM55" s="64">
        <f>$BM$2</f>
        <v>250</v>
      </c>
      <c r="BN55" s="82"/>
      <c r="BO55" s="63">
        <f>Table_SiteMilestoneTracking[[#This Row],[SiteOnAir_BL]]+t8_AcceptanceBL</f>
        <v>44060</v>
      </c>
      <c r="BP55" s="84"/>
      <c r="BQ55" s="64" t="str">
        <f>IF(ISBLANK(Table_SiteMilestoneTracking[[#This Row],[SiteAccepted_AC]])=FALSE,Table_SiteMilestoneTracking[[#This Row],[SiteAccepted_AC]]-Table_SiteMilestoneTracking[[#This Row],[SiteAccepted_BL]],"-")</f>
        <v>-</v>
      </c>
      <c r="BR55" s="64" t="str">
        <f>IF(ISBLANK(Table_SiteMilestoneTracking[[#This Row],[SiteAccepted_AC]])=FALSE,Table_SiteMilestoneTracking[[#This Row],[SiteAccepted_AC]]-Table_SiteMilestoneTracking[[#This Row],[SiteOnAir_AC]],"-")</f>
        <v>-</v>
      </c>
      <c r="BS55" s="64">
        <f>$BS$2</f>
        <v>200</v>
      </c>
      <c r="BT55" s="82"/>
      <c r="BU55" s="63">
        <f>Table_SiteMilestoneTracking[[#This Row],[SiteAccepted_BL]]+t9_HandoverBL</f>
        <v>44068</v>
      </c>
      <c r="BV55" s="84"/>
      <c r="BW55" s="64" t="str">
        <f>IF(ISBLANK(Table_SiteMilestoneTracking[[#This Row],[SiteInOperations_AC]])=FALSE,Table_SiteMilestoneTracking[[#This Row],[SiteInOperations_AC]]-Table_SiteMilestoneTracking[[#This Row],[SiteInOperations_BL]],"-")</f>
        <v>-</v>
      </c>
      <c r="BX55" s="66">
        <f>Table_SiteMilestoneTracking[[#This Row],[SiteInOperations_BL]]-Table_SiteMilestoneTracking[[#This Row],[SiteDesignReady_BL]]</f>
        <v>55</v>
      </c>
      <c r="BY55" s="66" t="str">
        <f>IF(Table_SiteMilestoneTracking[[#This Row],[CurrentSiteMilestone]]="SiteInOperations",Table_SiteMilestoneTracking[[#This Row],[SiteInOperations_AC]]-Table_SiteMilestoneTracking[[#This Row],[SiteDesignReady_AC]],"")</f>
        <v/>
      </c>
      <c r="BZ55" s="66" t="str">
        <f>IFERROR(Table_SiteMilestoneTracking[[#This Row],[E2E_Site_AC]]-Table_SiteMilestoneTracking[[#This Row],[E2E_Site_BL]],"")</f>
        <v/>
      </c>
      <c r="CA55" s="66" t="str">
        <f>IF(Table_SiteMilestoneTracking[[#This Row],[CurrentSiteMilestone]]="SiteInOperations",Table_SiteMilestoneTracking[[#This Row],[SiteInOperations_AC]]-Table_SiteMilestoneTracking[[#This Row],[SiteAccepted_AC]],"")</f>
        <v/>
      </c>
      <c r="CB55" s="79"/>
      <c r="CC55" s="89"/>
      <c r="CD55" s="89"/>
      <c r="CE55" s="70"/>
      <c r="CF55" s="70"/>
      <c r="CG55" s="70"/>
      <c r="CH55" s="70"/>
      <c r="CI55" s="70"/>
      <c r="CJ55" s="70"/>
      <c r="CK55" s="70"/>
      <c r="CL55" s="70"/>
      <c r="CM55" s="70"/>
      <c r="CN55" s="70"/>
      <c r="CO55" s="70"/>
      <c r="CP55" s="70"/>
      <c r="CQ55" s="70"/>
      <c r="CR55" s="70"/>
      <c r="CS55" s="70"/>
      <c r="CT55" s="70"/>
      <c r="CU55" s="70"/>
      <c r="CV55" s="70"/>
      <c r="CW55" s="70"/>
      <c r="CX55" s="70"/>
      <c r="CY55" s="70"/>
      <c r="CZ55" s="70"/>
      <c r="DA55" s="70"/>
      <c r="DB55" s="70"/>
      <c r="DC55" s="70"/>
      <c r="DD55" s="70"/>
      <c r="DE55" s="70"/>
      <c r="DF55" s="70"/>
      <c r="DG55" s="70"/>
      <c r="DH55" s="70"/>
      <c r="DI55" s="70"/>
      <c r="DJ55" s="70"/>
      <c r="DK55" s="70"/>
      <c r="DL55" s="70"/>
      <c r="DM55" s="70"/>
      <c r="DN55" s="70"/>
      <c r="DO55" s="70"/>
      <c r="DP55" s="70"/>
      <c r="DQ55" s="70"/>
      <c r="DR55" s="70"/>
      <c r="DS55" s="70"/>
      <c r="DT55" s="70"/>
      <c r="DU55" s="70"/>
      <c r="DV55" s="70"/>
    </row>
    <row r="56" spans="1:126" x14ac:dyDescent="0.3">
      <c r="A56" s="79" t="str">
        <f>'4. Design Tracking Summary'!A57</f>
        <v>PI00188</v>
      </c>
      <c r="B56" s="79" t="str">
        <f>'4. Design Tracking Summary'!B57</f>
        <v>South</v>
      </c>
      <c r="C56" s="79" t="str">
        <f>'4. Design Tracking Summary'!C57</f>
        <v>CHI</v>
      </c>
      <c r="D56" s="79" t="str">
        <f>'4. Design Tracking Summary'!D57</f>
        <v>MINI</v>
      </c>
      <c r="E56" s="79" t="s">
        <v>57</v>
      </c>
      <c r="F56" s="79"/>
      <c r="G56" s="60" t="str">
        <f>IFERROR(INDEX(Table_SiteMilestonesNames[SiteMilestoneName],COUNTA(Table_SiteMilestoneTracking[[#This Row],[SiteDesignStarted_AC]],Table_SiteMilestoneTracking[[#This Row],[SiteDesignReady_AC]],Table_SiteMilestoneTracking[[#This Row],[SiteSurveyCompleted_AC]],Table_SiteMilestoneTracking[[#This Row],[SiteAcquired_AC]],Table_SiteMilestoneTracking[[#This Row],[SiteReadyForCW_AC]],Table_SiteMilestoneTracking[[#This Row],[SiteReadyForPower_AC]],Table_SiteMilestoneTracking[[#This Row],[TXReady_AC]],Table_SiteMilestoneTracking[[#This Row],[SiteReadyForInstallation_AC]],Table_SiteMilestoneTracking[[#This Row],[SiteReadyForIntegration_AC]],Table_SiteMilestoneTracking[[#This Row],[SiteOnAir_AC]],Table_SiteMilestoneTracking[[#This Row],[SiteAccepted_AC]],Table_SiteMilestoneTracking[[#This Row],[SiteInOperations_AC]])+1),"Invalid Milestone")</f>
        <v>TX_Ready</v>
      </c>
      <c r="H56" s="61">
        <f>Table_SiteMilestoneTracking[[#This Row],[c0_SiteDesignCostBL]]+Table_SiteMilestoneTracking[[#This Row],[c1_SiteSurveyCostBL]]+Table_SiteMilestoneTracking[[#This Row],[c2_SiteAcquisitionCostBL]]+Table_SiteMilestoneTracking[[#This Row],[c3_CivilWorksCostBL]]+Table_SiteMilestoneTracking[[#This Row],[c4_PowerInstallCostBL]]+Table_SiteMilestoneTracking[[#This Row],[c5_TxintegrationCostBL]]+Table_SiteMilestoneTracking[[#This Row],[c6_InstallationCostBL]]+Table_SiteMilestoneTracking[[#This Row],[c7_IntegrationCostBL]]+Table_SiteMilestoneTracking[[#This Row],[c8_AcceptanceCostBL]]+Table_SiteMilestoneTracking[[#This Row],[c9_HandoverCostBL]]</f>
        <v>7550</v>
      </c>
      <c r="I56" s="62">
        <f>Table_SiteMilestoneTracking[[#This Row],[c0_SiteDesignCostAC]]+Table_SiteMilestoneTracking[[#This Row],[c1_SiteSurveyCostAC]]+Table_SiteMilestoneTracking[[#This Row],[c2_SiteAcquisitionCostAC]]+Table_SiteMilestoneTracking[[#This Row],[c3_CivilWorksCostAC]]+Table_SiteMilestoneTracking[[#This Row],[c4_PowerInstallCostAC]]+Table_SiteMilestoneTracking[[#This Row],[c5_TxintegrationCostAC]]+Table_SiteMilestoneTracking[[#This Row],[c6_InstallationCostAC]]+Table_SiteMilestoneTracking[[#This Row],[c7_IntegrationCostAC]]+Table_SiteMilestoneTracking[[#This Row],[c8_AcceptanceCostAC]]+Table_SiteMilestoneTracking[[#This Row],[c9_HandoverCostAC]]</f>
        <v>4415</v>
      </c>
      <c r="J56" s="84">
        <v>44011</v>
      </c>
      <c r="K56" s="84">
        <v>44013</v>
      </c>
      <c r="L56" s="64">
        <f>IF(ISBLANK(Table_SiteMilestoneTracking[[#This Row],[SiteDesignStarted_AC]])=FALSE,Table_SiteMilestoneTracking[[#This Row],[SiteDesignStarted_AC]]-Table_SiteMilestoneTracking[[#This Row],[SiteDesignStarted_BL]],"")</f>
        <v>2</v>
      </c>
      <c r="M56" s="64">
        <f t="shared" si="6"/>
        <v>500</v>
      </c>
      <c r="N56" s="87">
        <v>520</v>
      </c>
      <c r="O56" s="63">
        <f>Table_SiteMilestoneTracking[[#This Row],[SiteDesignStarted_BL]]+t0_SiteDesignDelayBL</f>
        <v>44013</v>
      </c>
      <c r="P56" s="84">
        <v>44013</v>
      </c>
      <c r="Q56" s="64">
        <f>IF(ISBLANK(Table_SiteMilestoneTracking[[#This Row],[SiteDesignReady_AC]])=FALSE,Table_SiteMilestoneTracking[[#This Row],[SiteDesignReady_AC]]-Table_SiteMilestoneTracking[[#This Row],[SiteDesignReady_BL]],"-")</f>
        <v>0</v>
      </c>
      <c r="R56" s="64">
        <f t="shared" si="5"/>
        <v>500</v>
      </c>
      <c r="S56" s="82">
        <v>625</v>
      </c>
      <c r="T56" s="63">
        <f>Table_SiteMilestoneTracking[[#This Row],[SiteDesignReady_BL]]+t1_SiteSurveyBL</f>
        <v>44015</v>
      </c>
      <c r="U56" s="84">
        <v>44015</v>
      </c>
      <c r="V56" s="64">
        <f>IF(ISBLANK(Table_SiteMilestoneTracking[[#This Row],[SiteSurveyCompleted_AC]])=FALSE,Table_SiteMilestoneTracking[[#This Row],[SiteSurveyCompleted_AC]]-Table_SiteMilestoneTracking[[#This Row],[SiteDesignReady_AC]],"-")</f>
        <v>2</v>
      </c>
      <c r="W56" s="64">
        <f t="shared" si="7"/>
        <v>600</v>
      </c>
      <c r="X56" s="82">
        <v>420</v>
      </c>
      <c r="Y56" s="63">
        <f>Table_SiteMilestoneTracking[[#This Row],[SiteSurveyCompleted_BL]]+t2_SiteAcquisitionBL</f>
        <v>44026</v>
      </c>
      <c r="Z56" s="84">
        <v>44026</v>
      </c>
      <c r="AA56" s="65">
        <f>IF(ISBLANK(Table_SiteMilestoneTracking[[#This Row],[SiteAcquired_AC]])=FALSE,Table_SiteMilestoneTracking[[#This Row],[SiteAcquired_AC]]-Table_SiteMilestoneTracking[[#This Row],[SiteAcquired_BL]],"-")</f>
        <v>0</v>
      </c>
      <c r="AB56" s="65">
        <f>IF(ISBLANK(Table_SiteMilestoneTracking[[#This Row],[SiteAcquired_AC]])=FALSE,Table_SiteMilestoneTracking[[#This Row],[SiteAcquired_AC]]-Table_SiteMilestoneTracking[[#This Row],[SiteSurveyCompleted_AC]],"-")</f>
        <v>11</v>
      </c>
      <c r="AC56" s="64">
        <f t="shared" si="8"/>
        <v>150</v>
      </c>
      <c r="AD56" s="82">
        <v>180.00000000000003</v>
      </c>
      <c r="AE56" s="63">
        <f>Table_SiteMilestoneTracking[[#This Row],[SiteAcquired_BL]]+t2a_SiteCWReadinessBL</f>
        <v>44028</v>
      </c>
      <c r="AF56" s="85">
        <v>44028</v>
      </c>
      <c r="AG56" s="66">
        <f>IF(ISBLANK(Table_SiteMilestoneTracking[[#This Row],[SiteReadyForCW_AC]])=FALSE,Table_SiteMilestoneTracking[[#This Row],[SiteReadyForCW_AC]]-Table_SiteMilestoneTracking[[#This Row],[SiteReadyForCW_BL]],"-")</f>
        <v>0</v>
      </c>
      <c r="AH56" s="66">
        <f>IF(ISBLANK(Table_SiteMilestoneTracking[[#This Row],[SiteReadyForCW_AC]])=FALSE,Table_SiteMilestoneTracking[[#This Row],[SiteReadyForCW_AC]]-Table_SiteMilestoneTracking[[#This Row],[SiteDesignReady_AC]],"-")</f>
        <v>15</v>
      </c>
      <c r="AI56" s="64">
        <f t="shared" si="9"/>
        <v>1500</v>
      </c>
      <c r="AJ56" s="82">
        <v>2250</v>
      </c>
      <c r="AK56" s="63">
        <f>Table_SiteMilestoneTracking[[#This Row],[SiteReadyForCW_BL]]+t3_CivilWorksBL</f>
        <v>44036</v>
      </c>
      <c r="AL56" s="84">
        <v>44036</v>
      </c>
      <c r="AM56" s="64">
        <f>IF(ISBLANK(Table_SiteMilestoneTracking[[#This Row],[SiteReadyForPower_AC]])=FALSE,Table_SiteMilestoneTracking[[#This Row],[SiteReadyForPower_AC]]-Table_SiteMilestoneTracking[[#This Row],[SiteReadyForPower_BL]],"-")</f>
        <v>0</v>
      </c>
      <c r="AN56" s="64">
        <f>IF(ISBLANK(Table_SiteMilestoneTracking[[#This Row],[SiteReadyForPower_AC]])=FALSE,Table_SiteMilestoneTracking[[#This Row],[SiteReadyForPower_AC]]-Table_SiteMilestoneTracking[[#This Row],[SiteReadyForCW_AC]],"-")</f>
        <v>8</v>
      </c>
      <c r="AO56" s="64">
        <f t="shared" si="10"/>
        <v>500</v>
      </c>
      <c r="AP56" s="82">
        <v>600</v>
      </c>
      <c r="AQ56" s="63">
        <f>Table_SiteMilestoneTracking[[#This Row],[SiteReadyForPower_BL]]+t4_PowerInstallBL</f>
        <v>44041</v>
      </c>
      <c r="AR56" s="84">
        <v>44041</v>
      </c>
      <c r="AS56" s="64">
        <f>IF(ISBLANK(Table_SiteMilestoneTracking[[#This Row],[TXReady_AC]])=FALSE,Table_SiteMilestoneTracking[[#This Row],[TXReady_AC]]-Table_SiteMilestoneTracking[[#This Row],[TXReady_BL]],"-")</f>
        <v>0</v>
      </c>
      <c r="AT56" s="64">
        <f>IF(ISBLANK(Table_SiteMilestoneTracking[[#This Row],[TXReady_AC]])=FALSE,Table_SiteMilestoneTracking[[#This Row],[TXReady_AC]]-Table_SiteMilestoneTracking[[#This Row],[SiteReadyForPower_AC]],"-")</f>
        <v>5</v>
      </c>
      <c r="AU56" s="64">
        <f>$AU$2</f>
        <v>500</v>
      </c>
      <c r="AV56" s="82"/>
      <c r="AW56" s="63">
        <f>Table_SiteMilestoneTracking[[#This Row],[TXReady_BL]]+t5_TxintegrationBL</f>
        <v>44048</v>
      </c>
      <c r="AX56" s="84"/>
      <c r="AY56" s="64" t="str">
        <f>IF(ISBLANK(Table_SiteMilestoneTracking[[#This Row],[SiteReadyForInstallation_AC]])=FALSE,Table_SiteMilestoneTracking[[#This Row],[SiteReadyForInstallation_AC]]-Table_SiteMilestoneTracking[[#This Row],[SiteReadyForInstallation_BL]],"-")</f>
        <v>-</v>
      </c>
      <c r="AZ56" s="64" t="str">
        <f>IF(ISBLANK(Table_SiteMilestoneTracking[[#This Row],[SiteReadyForInstallation_AC]])=FALSE,Table_SiteMilestoneTracking[[#This Row],[SiteReadyForInstallation_AC]]-Table_SiteMilestoneTracking[[#This Row],[TXReady_AC]],"-")</f>
        <v>-</v>
      </c>
      <c r="BA56" s="64">
        <f>$BA$2</f>
        <v>2500</v>
      </c>
      <c r="BB56" s="82"/>
      <c r="BC56" s="63">
        <f>Table_SiteMilestoneTracking[[#This Row],[SiteReadyForInstallation_BL]]+t6_InstallationBL</f>
        <v>44052</v>
      </c>
      <c r="BD56" s="84"/>
      <c r="BE56" s="64" t="str">
        <f>IF(ISBLANK(Table_SiteMilestoneTracking[[#This Row],[SiteReadyForIntegration_AC]])=FALSE,Table_SiteMilestoneTracking[[#This Row],[SiteReadyForIntegration_AC]]-Table_SiteMilestoneTracking[[#This Row],[SiteReadyForIntegration_BL]],"-")</f>
        <v>-</v>
      </c>
      <c r="BF56" s="64" t="str">
        <f>IF(ISBLANK(Table_SiteMilestoneTracking[[#This Row],[SiteReadyForIntegration_AC]])=FALSE,Table_SiteMilestoneTracking[[#This Row],[SiteReadyForIntegration_AC]]-Table_SiteMilestoneTracking[[#This Row],[SiteReadyForInstallation_AC]],"-")</f>
        <v>-</v>
      </c>
      <c r="BG56" s="64">
        <f>$BG$2</f>
        <v>500</v>
      </c>
      <c r="BH56" s="82"/>
      <c r="BI56" s="63">
        <f>Table_SiteMilestoneTracking[[#This Row],[SiteReadyForIntegration_BL]]+t7_IntegrationBL</f>
        <v>44056</v>
      </c>
      <c r="BJ56" s="84"/>
      <c r="BK56" s="64" t="str">
        <f>IF(ISBLANK(Table_SiteMilestoneTracking[[#This Row],[SiteOnAir_AC]])=FALSE,Table_SiteMilestoneTracking[[#This Row],[SiteOnAir_AC]]-Table_SiteMilestoneTracking[[#This Row],[SiteOnAir_BL]],"-")</f>
        <v>-</v>
      </c>
      <c r="BL56" s="64" t="str">
        <f>IF(ISBLANK(Table_SiteMilestoneTracking[[#This Row],[SiteOnAir_AC]])=FALSE,Table_SiteMilestoneTracking[[#This Row],[SiteOnAir_AC]]-Table_SiteMilestoneTracking[[#This Row],[SiteReadyForIntegration_AC]],"-")</f>
        <v>-</v>
      </c>
      <c r="BM56" s="64">
        <f>$BM$2</f>
        <v>250</v>
      </c>
      <c r="BN56" s="82"/>
      <c r="BO56" s="63">
        <f>Table_SiteMilestoneTracking[[#This Row],[SiteOnAir_BL]]+t8_AcceptanceBL</f>
        <v>44060</v>
      </c>
      <c r="BP56" s="84"/>
      <c r="BQ56" s="64" t="str">
        <f>IF(ISBLANK(Table_SiteMilestoneTracking[[#This Row],[SiteAccepted_AC]])=FALSE,Table_SiteMilestoneTracking[[#This Row],[SiteAccepted_AC]]-Table_SiteMilestoneTracking[[#This Row],[SiteAccepted_BL]],"-")</f>
        <v>-</v>
      </c>
      <c r="BR56" s="64" t="str">
        <f>IF(ISBLANK(Table_SiteMilestoneTracking[[#This Row],[SiteAccepted_AC]])=FALSE,Table_SiteMilestoneTracking[[#This Row],[SiteAccepted_AC]]-Table_SiteMilestoneTracking[[#This Row],[SiteOnAir_AC]],"-")</f>
        <v>-</v>
      </c>
      <c r="BS56" s="64">
        <f>$BS$2</f>
        <v>200</v>
      </c>
      <c r="BT56" s="82"/>
      <c r="BU56" s="63">
        <f>Table_SiteMilestoneTracking[[#This Row],[SiteAccepted_BL]]+t9_HandoverBL</f>
        <v>44068</v>
      </c>
      <c r="BV56" s="84"/>
      <c r="BW56" s="64" t="str">
        <f>IF(ISBLANK(Table_SiteMilestoneTracking[[#This Row],[SiteInOperations_AC]])=FALSE,Table_SiteMilestoneTracking[[#This Row],[SiteInOperations_AC]]-Table_SiteMilestoneTracking[[#This Row],[SiteInOperations_BL]],"-")</f>
        <v>-</v>
      </c>
      <c r="BX56" s="66">
        <f>Table_SiteMilestoneTracking[[#This Row],[SiteInOperations_BL]]-Table_SiteMilestoneTracking[[#This Row],[SiteDesignReady_BL]]</f>
        <v>55</v>
      </c>
      <c r="BY56" s="66" t="str">
        <f>IF(Table_SiteMilestoneTracking[[#This Row],[CurrentSiteMilestone]]="SiteInOperations",Table_SiteMilestoneTracking[[#This Row],[SiteInOperations_AC]]-Table_SiteMilestoneTracking[[#This Row],[SiteDesignReady_AC]],"")</f>
        <v/>
      </c>
      <c r="BZ56" s="66" t="str">
        <f>IFERROR(Table_SiteMilestoneTracking[[#This Row],[E2E_Site_AC]]-Table_SiteMilestoneTracking[[#This Row],[E2E_Site_BL]],"")</f>
        <v/>
      </c>
      <c r="CA56" s="66" t="str">
        <f>IF(Table_SiteMilestoneTracking[[#This Row],[CurrentSiteMilestone]]="SiteInOperations",Table_SiteMilestoneTracking[[#This Row],[SiteInOperations_AC]]-Table_SiteMilestoneTracking[[#This Row],[SiteAccepted_AC]],"")</f>
        <v/>
      </c>
      <c r="CB56" s="79"/>
      <c r="CC56" s="89"/>
      <c r="CD56" s="89"/>
      <c r="CE56" s="70"/>
      <c r="CF56" s="70"/>
      <c r="CG56" s="70"/>
      <c r="CH56" s="70"/>
      <c r="CI56" s="70"/>
      <c r="CJ56" s="70"/>
      <c r="CK56" s="70"/>
      <c r="CL56" s="70"/>
      <c r="CM56" s="70"/>
      <c r="CN56" s="70"/>
      <c r="CO56" s="70"/>
      <c r="CP56" s="70"/>
      <c r="CQ56" s="70"/>
      <c r="CR56" s="70"/>
      <c r="CS56" s="70"/>
      <c r="CT56" s="70"/>
      <c r="CU56" s="70"/>
      <c r="CV56" s="70"/>
      <c r="CW56" s="70"/>
      <c r="CX56" s="70"/>
      <c r="CY56" s="70"/>
      <c r="CZ56" s="70"/>
      <c r="DA56" s="70"/>
      <c r="DB56" s="70"/>
      <c r="DC56" s="70"/>
      <c r="DD56" s="70"/>
      <c r="DE56" s="70"/>
      <c r="DF56" s="70"/>
      <c r="DG56" s="70"/>
      <c r="DH56" s="70"/>
      <c r="DI56" s="70"/>
      <c r="DJ56" s="70"/>
      <c r="DK56" s="70"/>
      <c r="DL56" s="70"/>
      <c r="DM56" s="70"/>
      <c r="DN56" s="70"/>
      <c r="DO56" s="70"/>
      <c r="DP56" s="70"/>
      <c r="DQ56" s="70"/>
      <c r="DR56" s="70"/>
      <c r="DS56" s="70"/>
      <c r="DT56" s="70"/>
      <c r="DU56" s="70"/>
      <c r="DV56" s="70"/>
    </row>
    <row r="57" spans="1:126" x14ac:dyDescent="0.3">
      <c r="A57" s="79" t="str">
        <f>'4. Design Tracking Summary'!A58</f>
        <v>PI00269</v>
      </c>
      <c r="B57" s="79" t="str">
        <f>'4. Design Tracking Summary'!B58</f>
        <v>South</v>
      </c>
      <c r="C57" s="79" t="str">
        <f>'4. Design Tracking Summary'!C58</f>
        <v>MTY</v>
      </c>
      <c r="D57" s="79" t="str">
        <f>'4. Design Tracking Summary'!D58</f>
        <v>SMALL</v>
      </c>
      <c r="E57" s="79" t="s">
        <v>58</v>
      </c>
      <c r="F57" s="79"/>
      <c r="G57" s="60" t="str">
        <f>IFERROR(INDEX(Table_SiteMilestonesNames[SiteMilestoneName],COUNTA(Table_SiteMilestoneTracking[[#This Row],[SiteDesignStarted_AC]],Table_SiteMilestoneTracking[[#This Row],[SiteDesignReady_AC]],Table_SiteMilestoneTracking[[#This Row],[SiteSurveyCompleted_AC]],Table_SiteMilestoneTracking[[#This Row],[SiteAcquired_AC]],Table_SiteMilestoneTracking[[#This Row],[SiteReadyForCW_AC]],Table_SiteMilestoneTracking[[#This Row],[SiteReadyForPower_AC]],Table_SiteMilestoneTracking[[#This Row],[TXReady_AC]],Table_SiteMilestoneTracking[[#This Row],[SiteReadyForInstallation_AC]],Table_SiteMilestoneTracking[[#This Row],[SiteReadyForIntegration_AC]],Table_SiteMilestoneTracking[[#This Row],[SiteOnAir_AC]],Table_SiteMilestoneTracking[[#This Row],[SiteAccepted_AC]],Table_SiteMilestoneTracking[[#This Row],[SiteInOperations_AC]])+1),"Invalid Milestone")</f>
        <v>TX_Ready</v>
      </c>
      <c r="H57" s="61">
        <f>Table_SiteMilestoneTracking[[#This Row],[c0_SiteDesignCostBL]]+Table_SiteMilestoneTracking[[#This Row],[c1_SiteSurveyCostBL]]+Table_SiteMilestoneTracking[[#This Row],[c2_SiteAcquisitionCostBL]]+Table_SiteMilestoneTracking[[#This Row],[c3_CivilWorksCostBL]]+Table_SiteMilestoneTracking[[#This Row],[c4_PowerInstallCostBL]]+Table_SiteMilestoneTracking[[#This Row],[c5_TxintegrationCostBL]]+Table_SiteMilestoneTracking[[#This Row],[c6_InstallationCostBL]]+Table_SiteMilestoneTracking[[#This Row],[c7_IntegrationCostBL]]+Table_SiteMilestoneTracking[[#This Row],[c8_AcceptanceCostBL]]+Table_SiteMilestoneTracking[[#This Row],[c9_HandoverCostBL]]</f>
        <v>7550</v>
      </c>
      <c r="I57" s="62">
        <f>Table_SiteMilestoneTracking[[#This Row],[c0_SiteDesignCostAC]]+Table_SiteMilestoneTracking[[#This Row],[c1_SiteSurveyCostAC]]+Table_SiteMilestoneTracking[[#This Row],[c2_SiteAcquisitionCostAC]]+Table_SiteMilestoneTracking[[#This Row],[c3_CivilWorksCostAC]]+Table_SiteMilestoneTracking[[#This Row],[c4_PowerInstallCostAC]]+Table_SiteMilestoneTracking[[#This Row],[c5_TxintegrationCostAC]]+Table_SiteMilestoneTracking[[#This Row],[c6_InstallationCostAC]]+Table_SiteMilestoneTracking[[#This Row],[c7_IntegrationCostAC]]+Table_SiteMilestoneTracking[[#This Row],[c8_AcceptanceCostAC]]+Table_SiteMilestoneTracking[[#This Row],[c9_HandoverCostAC]]</f>
        <v>3585</v>
      </c>
      <c r="J57" s="84">
        <v>44011</v>
      </c>
      <c r="K57" s="84">
        <v>44013</v>
      </c>
      <c r="L57" s="64">
        <f>IF(ISBLANK(Table_SiteMilestoneTracking[[#This Row],[SiteDesignStarted_AC]])=FALSE,Table_SiteMilestoneTracking[[#This Row],[SiteDesignStarted_AC]]-Table_SiteMilestoneTracking[[#This Row],[SiteDesignStarted_BL]],"")</f>
        <v>2</v>
      </c>
      <c r="M57" s="64">
        <f t="shared" si="6"/>
        <v>500</v>
      </c>
      <c r="N57" s="87">
        <v>440</v>
      </c>
      <c r="O57" s="63">
        <f>Table_SiteMilestoneTracking[[#This Row],[SiteDesignStarted_BL]]+t0_SiteDesignDelayBL</f>
        <v>44013</v>
      </c>
      <c r="P57" s="84">
        <v>44014</v>
      </c>
      <c r="Q57" s="64">
        <f>IF(ISBLANK(Table_SiteMilestoneTracking[[#This Row],[SiteDesignReady_AC]])=FALSE,Table_SiteMilestoneTracking[[#This Row],[SiteDesignReady_AC]]-Table_SiteMilestoneTracking[[#This Row],[SiteDesignReady_BL]],"-")</f>
        <v>1</v>
      </c>
      <c r="R57" s="64">
        <f t="shared" si="5"/>
        <v>500</v>
      </c>
      <c r="S57" s="82">
        <v>675</v>
      </c>
      <c r="T57" s="63">
        <f>Table_SiteMilestoneTracking[[#This Row],[SiteDesignReady_BL]]+t1_SiteSurveyBL</f>
        <v>44015</v>
      </c>
      <c r="U57" s="84">
        <v>44016</v>
      </c>
      <c r="V57" s="64">
        <f>IF(ISBLANK(Table_SiteMilestoneTracking[[#This Row],[SiteSurveyCompleted_AC]])=FALSE,Table_SiteMilestoneTracking[[#This Row],[SiteSurveyCompleted_AC]]-Table_SiteMilestoneTracking[[#This Row],[SiteDesignReady_AC]],"-")</f>
        <v>2</v>
      </c>
      <c r="W57" s="64">
        <f t="shared" si="7"/>
        <v>600</v>
      </c>
      <c r="X57" s="82">
        <v>720</v>
      </c>
      <c r="Y57" s="63">
        <f>Table_SiteMilestoneTracking[[#This Row],[SiteSurveyCompleted_BL]]+t2_SiteAcquisitionBL</f>
        <v>44026</v>
      </c>
      <c r="Z57" s="84">
        <v>44028</v>
      </c>
      <c r="AA57" s="65">
        <f>IF(ISBLANK(Table_SiteMilestoneTracking[[#This Row],[SiteAcquired_AC]])=FALSE,Table_SiteMilestoneTracking[[#This Row],[SiteAcquired_AC]]-Table_SiteMilestoneTracking[[#This Row],[SiteAcquired_BL]],"-")</f>
        <v>2</v>
      </c>
      <c r="AB57" s="65">
        <f>IF(ISBLANK(Table_SiteMilestoneTracking[[#This Row],[SiteAcquired_AC]])=FALSE,Table_SiteMilestoneTracking[[#This Row],[SiteAcquired_AC]]-Table_SiteMilestoneTracking[[#This Row],[SiteSurveyCompleted_AC]],"-")</f>
        <v>12</v>
      </c>
      <c r="AC57" s="64">
        <f t="shared" si="8"/>
        <v>150</v>
      </c>
      <c r="AD57" s="82">
        <v>165</v>
      </c>
      <c r="AE57" s="63">
        <f>Table_SiteMilestoneTracking[[#This Row],[SiteAcquired_BL]]+t2a_SiteCWReadinessBL</f>
        <v>44028</v>
      </c>
      <c r="AF57" s="85">
        <v>44031</v>
      </c>
      <c r="AG57" s="66">
        <f>IF(ISBLANK(Table_SiteMilestoneTracking[[#This Row],[SiteReadyForCW_AC]])=FALSE,Table_SiteMilestoneTracking[[#This Row],[SiteReadyForCW_AC]]-Table_SiteMilestoneTracking[[#This Row],[SiteReadyForCW_BL]],"-")</f>
        <v>3</v>
      </c>
      <c r="AH57" s="66">
        <f>IF(ISBLANK(Table_SiteMilestoneTracking[[#This Row],[SiteReadyForCW_AC]])=FALSE,Table_SiteMilestoneTracking[[#This Row],[SiteReadyForCW_AC]]-Table_SiteMilestoneTracking[[#This Row],[SiteDesignReady_AC]],"-")</f>
        <v>17</v>
      </c>
      <c r="AI57" s="64">
        <f t="shared" si="9"/>
        <v>1500</v>
      </c>
      <c r="AJ57" s="82">
        <v>1350</v>
      </c>
      <c r="AK57" s="63">
        <f>Table_SiteMilestoneTracking[[#This Row],[SiteReadyForCW_BL]]+t3_CivilWorksBL</f>
        <v>44036</v>
      </c>
      <c r="AL57" s="84">
        <v>44040</v>
      </c>
      <c r="AM57" s="64">
        <f>IF(ISBLANK(Table_SiteMilestoneTracking[[#This Row],[SiteReadyForPower_AC]])=FALSE,Table_SiteMilestoneTracking[[#This Row],[SiteReadyForPower_AC]]-Table_SiteMilestoneTracking[[#This Row],[SiteReadyForPower_BL]],"-")</f>
        <v>4</v>
      </c>
      <c r="AN57" s="64">
        <f>IF(ISBLANK(Table_SiteMilestoneTracking[[#This Row],[SiteReadyForPower_AC]])=FALSE,Table_SiteMilestoneTracking[[#This Row],[SiteReadyForPower_AC]]-Table_SiteMilestoneTracking[[#This Row],[SiteReadyForCW_AC]],"-")</f>
        <v>9</v>
      </c>
      <c r="AO57" s="64">
        <f t="shared" si="10"/>
        <v>500</v>
      </c>
      <c r="AP57" s="82">
        <v>400</v>
      </c>
      <c r="AQ57" s="63">
        <f>Table_SiteMilestoneTracking[[#This Row],[SiteReadyForPower_BL]]+t4_PowerInstallBL</f>
        <v>44041</v>
      </c>
      <c r="AR57" s="84">
        <v>44046</v>
      </c>
      <c r="AS57" s="64">
        <f>IF(ISBLANK(Table_SiteMilestoneTracking[[#This Row],[TXReady_AC]])=FALSE,Table_SiteMilestoneTracking[[#This Row],[TXReady_AC]]-Table_SiteMilestoneTracking[[#This Row],[TXReady_BL]],"-")</f>
        <v>5</v>
      </c>
      <c r="AT57" s="64">
        <f>IF(ISBLANK(Table_SiteMilestoneTracking[[#This Row],[TXReady_AC]])=FALSE,Table_SiteMilestoneTracking[[#This Row],[TXReady_AC]]-Table_SiteMilestoneTracking[[#This Row],[SiteReadyForPower_AC]],"-")</f>
        <v>6</v>
      </c>
      <c r="AU57" s="64">
        <f>$AU$2</f>
        <v>500</v>
      </c>
      <c r="AV57" s="82"/>
      <c r="AW57" s="63">
        <f>Table_SiteMilestoneTracking[[#This Row],[TXReady_BL]]+t5_TxintegrationBL</f>
        <v>44048</v>
      </c>
      <c r="AX57" s="84"/>
      <c r="AY57" s="64" t="str">
        <f>IF(ISBLANK(Table_SiteMilestoneTracking[[#This Row],[SiteReadyForInstallation_AC]])=FALSE,Table_SiteMilestoneTracking[[#This Row],[SiteReadyForInstallation_AC]]-Table_SiteMilestoneTracking[[#This Row],[SiteReadyForInstallation_BL]],"-")</f>
        <v>-</v>
      </c>
      <c r="AZ57" s="64" t="str">
        <f>IF(ISBLANK(Table_SiteMilestoneTracking[[#This Row],[SiteReadyForInstallation_AC]])=FALSE,Table_SiteMilestoneTracking[[#This Row],[SiteReadyForInstallation_AC]]-Table_SiteMilestoneTracking[[#This Row],[TXReady_AC]],"-")</f>
        <v>-</v>
      </c>
      <c r="BA57" s="64">
        <f>$BA$2</f>
        <v>2500</v>
      </c>
      <c r="BB57" s="82"/>
      <c r="BC57" s="63">
        <f>Table_SiteMilestoneTracking[[#This Row],[SiteReadyForInstallation_BL]]+t6_InstallationBL</f>
        <v>44052</v>
      </c>
      <c r="BD57" s="84"/>
      <c r="BE57" s="64" t="str">
        <f>IF(ISBLANK(Table_SiteMilestoneTracking[[#This Row],[SiteReadyForIntegration_AC]])=FALSE,Table_SiteMilestoneTracking[[#This Row],[SiteReadyForIntegration_AC]]-Table_SiteMilestoneTracking[[#This Row],[SiteReadyForIntegration_BL]],"-")</f>
        <v>-</v>
      </c>
      <c r="BF57" s="64" t="str">
        <f>IF(ISBLANK(Table_SiteMilestoneTracking[[#This Row],[SiteReadyForIntegration_AC]])=FALSE,Table_SiteMilestoneTracking[[#This Row],[SiteReadyForIntegration_AC]]-Table_SiteMilestoneTracking[[#This Row],[SiteReadyForInstallation_AC]],"-")</f>
        <v>-</v>
      </c>
      <c r="BG57" s="64">
        <f>$BG$2</f>
        <v>500</v>
      </c>
      <c r="BH57" s="82"/>
      <c r="BI57" s="63">
        <f>Table_SiteMilestoneTracking[[#This Row],[SiteReadyForIntegration_BL]]+t7_IntegrationBL</f>
        <v>44056</v>
      </c>
      <c r="BJ57" s="84"/>
      <c r="BK57" s="64" t="str">
        <f>IF(ISBLANK(Table_SiteMilestoneTracking[[#This Row],[SiteOnAir_AC]])=FALSE,Table_SiteMilestoneTracking[[#This Row],[SiteOnAir_AC]]-Table_SiteMilestoneTracking[[#This Row],[SiteOnAir_BL]],"-")</f>
        <v>-</v>
      </c>
      <c r="BL57" s="64" t="str">
        <f>IF(ISBLANK(Table_SiteMilestoneTracking[[#This Row],[SiteOnAir_AC]])=FALSE,Table_SiteMilestoneTracking[[#This Row],[SiteOnAir_AC]]-Table_SiteMilestoneTracking[[#This Row],[SiteReadyForIntegration_AC]],"-")</f>
        <v>-</v>
      </c>
      <c r="BM57" s="64">
        <f>$BM$2</f>
        <v>250</v>
      </c>
      <c r="BN57" s="82"/>
      <c r="BO57" s="63">
        <f>Table_SiteMilestoneTracking[[#This Row],[SiteOnAir_BL]]+t8_AcceptanceBL</f>
        <v>44060</v>
      </c>
      <c r="BP57" s="84"/>
      <c r="BQ57" s="64" t="str">
        <f>IF(ISBLANK(Table_SiteMilestoneTracking[[#This Row],[SiteAccepted_AC]])=FALSE,Table_SiteMilestoneTracking[[#This Row],[SiteAccepted_AC]]-Table_SiteMilestoneTracking[[#This Row],[SiteAccepted_BL]],"-")</f>
        <v>-</v>
      </c>
      <c r="BR57" s="64" t="str">
        <f>IF(ISBLANK(Table_SiteMilestoneTracking[[#This Row],[SiteAccepted_AC]])=FALSE,Table_SiteMilestoneTracking[[#This Row],[SiteAccepted_AC]]-Table_SiteMilestoneTracking[[#This Row],[SiteOnAir_AC]],"-")</f>
        <v>-</v>
      </c>
      <c r="BS57" s="64">
        <f>$BS$2</f>
        <v>200</v>
      </c>
      <c r="BT57" s="82"/>
      <c r="BU57" s="63">
        <f>Table_SiteMilestoneTracking[[#This Row],[SiteAccepted_BL]]+t9_HandoverBL</f>
        <v>44068</v>
      </c>
      <c r="BV57" s="84"/>
      <c r="BW57" s="64" t="str">
        <f>IF(ISBLANK(Table_SiteMilestoneTracking[[#This Row],[SiteInOperations_AC]])=FALSE,Table_SiteMilestoneTracking[[#This Row],[SiteInOperations_AC]]-Table_SiteMilestoneTracking[[#This Row],[SiteInOperations_BL]],"-")</f>
        <v>-</v>
      </c>
      <c r="BX57" s="66">
        <f>Table_SiteMilestoneTracking[[#This Row],[SiteInOperations_BL]]-Table_SiteMilestoneTracking[[#This Row],[SiteDesignReady_BL]]</f>
        <v>55</v>
      </c>
      <c r="BY57" s="66" t="str">
        <f>IF(Table_SiteMilestoneTracking[[#This Row],[CurrentSiteMilestone]]="SiteInOperations",Table_SiteMilestoneTracking[[#This Row],[SiteInOperations_AC]]-Table_SiteMilestoneTracking[[#This Row],[SiteDesignReady_AC]],"")</f>
        <v/>
      </c>
      <c r="BZ57" s="66" t="str">
        <f>IFERROR(Table_SiteMilestoneTracking[[#This Row],[E2E_Site_AC]]-Table_SiteMilestoneTracking[[#This Row],[E2E_Site_BL]],"")</f>
        <v/>
      </c>
      <c r="CA57" s="66" t="str">
        <f>IF(Table_SiteMilestoneTracking[[#This Row],[CurrentSiteMilestone]]="SiteInOperations",Table_SiteMilestoneTracking[[#This Row],[SiteInOperations_AC]]-Table_SiteMilestoneTracking[[#This Row],[SiteAccepted_AC]],"")</f>
        <v/>
      </c>
      <c r="CB57" s="79"/>
      <c r="CC57" s="89"/>
      <c r="CD57" s="89"/>
      <c r="CE57" s="70"/>
      <c r="CF57" s="70"/>
      <c r="CG57" s="70"/>
      <c r="CH57" s="70"/>
      <c r="CI57" s="70"/>
      <c r="CJ57" s="70"/>
      <c r="CK57" s="70"/>
      <c r="CL57" s="70"/>
      <c r="CM57" s="70"/>
      <c r="CN57" s="70"/>
      <c r="CO57" s="70"/>
      <c r="CP57" s="70"/>
      <c r="CQ57" s="70"/>
      <c r="CR57" s="70"/>
      <c r="CS57" s="70"/>
      <c r="CT57" s="70"/>
      <c r="CU57" s="70"/>
      <c r="CV57" s="70"/>
      <c r="CW57" s="70"/>
      <c r="CX57" s="70"/>
      <c r="CY57" s="70"/>
      <c r="CZ57" s="70"/>
      <c r="DA57" s="70"/>
      <c r="DB57" s="70"/>
      <c r="DC57" s="70"/>
      <c r="DD57" s="70"/>
      <c r="DE57" s="70"/>
      <c r="DF57" s="70"/>
      <c r="DG57" s="70"/>
      <c r="DH57" s="70"/>
      <c r="DI57" s="70"/>
      <c r="DJ57" s="70"/>
      <c r="DK57" s="70"/>
      <c r="DL57" s="70"/>
      <c r="DM57" s="70"/>
      <c r="DN57" s="70"/>
      <c r="DO57" s="70"/>
      <c r="DP57" s="70"/>
      <c r="DQ57" s="70"/>
      <c r="DR57" s="70"/>
      <c r="DS57" s="70"/>
      <c r="DT57" s="70"/>
      <c r="DU57" s="70"/>
      <c r="DV57" s="70"/>
    </row>
    <row r="58" spans="1:126" x14ac:dyDescent="0.3">
      <c r="A58" s="79" t="str">
        <f>'4. Design Tracking Summary'!A59</f>
        <v>PI00213</v>
      </c>
      <c r="B58" s="79" t="str">
        <f>'4. Design Tracking Summary'!B59</f>
        <v>North</v>
      </c>
      <c r="C58" s="79" t="str">
        <f>'4. Design Tracking Summary'!C59</f>
        <v>ZAC</v>
      </c>
      <c r="D58" s="79" t="str">
        <f>'4. Design Tracking Summary'!D59</f>
        <v>MACRO</v>
      </c>
      <c r="E58" s="79" t="s">
        <v>58</v>
      </c>
      <c r="F58" s="79"/>
      <c r="G58" s="60" t="str">
        <f>IFERROR(INDEX(Table_SiteMilestonesNames[SiteMilestoneName],COUNTA(Table_SiteMilestoneTracking[[#This Row],[SiteDesignStarted_AC]],Table_SiteMilestoneTracking[[#This Row],[SiteDesignReady_AC]],Table_SiteMilestoneTracking[[#This Row],[SiteSurveyCompleted_AC]],Table_SiteMilestoneTracking[[#This Row],[SiteAcquired_AC]],Table_SiteMilestoneTracking[[#This Row],[SiteReadyForCW_AC]],Table_SiteMilestoneTracking[[#This Row],[SiteReadyForPower_AC]],Table_SiteMilestoneTracking[[#This Row],[TXReady_AC]],Table_SiteMilestoneTracking[[#This Row],[SiteReadyForInstallation_AC]],Table_SiteMilestoneTracking[[#This Row],[SiteReadyForIntegration_AC]],Table_SiteMilestoneTracking[[#This Row],[SiteOnAir_AC]],Table_SiteMilestoneTracking[[#This Row],[SiteAccepted_AC]],Table_SiteMilestoneTracking[[#This Row],[SiteInOperations_AC]])+1),"Invalid Milestone")</f>
        <v>TX_Ready</v>
      </c>
      <c r="H58" s="61">
        <f>Table_SiteMilestoneTracking[[#This Row],[c0_SiteDesignCostBL]]+Table_SiteMilestoneTracking[[#This Row],[c1_SiteSurveyCostBL]]+Table_SiteMilestoneTracking[[#This Row],[c2_SiteAcquisitionCostBL]]+Table_SiteMilestoneTracking[[#This Row],[c3_CivilWorksCostBL]]+Table_SiteMilestoneTracking[[#This Row],[c4_PowerInstallCostBL]]+Table_SiteMilestoneTracking[[#This Row],[c5_TxintegrationCostBL]]+Table_SiteMilestoneTracking[[#This Row],[c6_InstallationCostBL]]+Table_SiteMilestoneTracking[[#This Row],[c7_IntegrationCostBL]]+Table_SiteMilestoneTracking[[#This Row],[c8_AcceptanceCostBL]]+Table_SiteMilestoneTracking[[#This Row],[c9_HandoverCostBL]]</f>
        <v>7550</v>
      </c>
      <c r="I58" s="62">
        <f>Table_SiteMilestoneTracking[[#This Row],[c0_SiteDesignCostAC]]+Table_SiteMilestoneTracking[[#This Row],[c1_SiteSurveyCostAC]]+Table_SiteMilestoneTracking[[#This Row],[c2_SiteAcquisitionCostAC]]+Table_SiteMilestoneTracking[[#This Row],[c3_CivilWorksCostAC]]+Table_SiteMilestoneTracking[[#This Row],[c4_PowerInstallCostAC]]+Table_SiteMilestoneTracking[[#This Row],[c5_TxintegrationCostAC]]+Table_SiteMilestoneTracking[[#This Row],[c6_InstallationCostAC]]+Table_SiteMilestoneTracking[[#This Row],[c7_IntegrationCostAC]]+Table_SiteMilestoneTracking[[#This Row],[c8_AcceptanceCostAC]]+Table_SiteMilestoneTracking[[#This Row],[c9_HandoverCostAC]]</f>
        <v>4285</v>
      </c>
      <c r="J58" s="84">
        <v>44011</v>
      </c>
      <c r="K58" s="84">
        <v>44013</v>
      </c>
      <c r="L58" s="64">
        <f>IF(ISBLANK(Table_SiteMilestoneTracking[[#This Row],[SiteDesignStarted_AC]])=FALSE,Table_SiteMilestoneTracking[[#This Row],[SiteDesignStarted_AC]]-Table_SiteMilestoneTracking[[#This Row],[SiteDesignStarted_BL]],"")</f>
        <v>2</v>
      </c>
      <c r="M58" s="64">
        <f t="shared" si="6"/>
        <v>500</v>
      </c>
      <c r="N58" s="87">
        <v>480</v>
      </c>
      <c r="O58" s="63">
        <f>Table_SiteMilestoneTracking[[#This Row],[SiteDesignStarted_BL]]+t0_SiteDesignDelayBL</f>
        <v>44013</v>
      </c>
      <c r="P58" s="84">
        <v>44017</v>
      </c>
      <c r="Q58" s="64">
        <f>IF(ISBLANK(Table_SiteMilestoneTracking[[#This Row],[SiteDesignReady_AC]])=FALSE,Table_SiteMilestoneTracking[[#This Row],[SiteDesignReady_AC]]-Table_SiteMilestoneTracking[[#This Row],[SiteDesignReady_BL]],"-")</f>
        <v>4</v>
      </c>
      <c r="R58" s="64">
        <f t="shared" si="5"/>
        <v>500</v>
      </c>
      <c r="S58" s="82">
        <v>825</v>
      </c>
      <c r="T58" s="63">
        <f>Table_SiteMilestoneTracking[[#This Row],[SiteDesignReady_BL]]+t1_SiteSurveyBL</f>
        <v>44015</v>
      </c>
      <c r="U58" s="84">
        <v>44020</v>
      </c>
      <c r="V58" s="64">
        <f>IF(ISBLANK(Table_SiteMilestoneTracking[[#This Row],[SiteSurveyCompleted_AC]])=FALSE,Table_SiteMilestoneTracking[[#This Row],[SiteSurveyCompleted_AC]]-Table_SiteMilestoneTracking[[#This Row],[SiteDesignReady_AC]],"-")</f>
        <v>3</v>
      </c>
      <c r="W58" s="64">
        <f t="shared" si="7"/>
        <v>600</v>
      </c>
      <c r="X58" s="82">
        <v>480</v>
      </c>
      <c r="Y58" s="63">
        <f>Table_SiteMilestoneTracking[[#This Row],[SiteSurveyCompleted_BL]]+t2_SiteAcquisitionBL</f>
        <v>44026</v>
      </c>
      <c r="Z58" s="84">
        <v>44031</v>
      </c>
      <c r="AA58" s="65">
        <f>IF(ISBLANK(Table_SiteMilestoneTracking[[#This Row],[SiteAcquired_AC]])=FALSE,Table_SiteMilestoneTracking[[#This Row],[SiteAcquired_AC]]-Table_SiteMilestoneTracking[[#This Row],[SiteAcquired_BL]],"-")</f>
        <v>5</v>
      </c>
      <c r="AB58" s="65">
        <f>IF(ISBLANK(Table_SiteMilestoneTracking[[#This Row],[SiteAcquired_AC]])=FALSE,Table_SiteMilestoneTracking[[#This Row],[SiteAcquired_AC]]-Table_SiteMilestoneTracking[[#This Row],[SiteSurveyCompleted_AC]],"-")</f>
        <v>11</v>
      </c>
      <c r="AC58" s="64">
        <f t="shared" si="8"/>
        <v>150</v>
      </c>
      <c r="AD58" s="82">
        <v>165</v>
      </c>
      <c r="AE58" s="63">
        <f>Table_SiteMilestoneTracking[[#This Row],[SiteAcquired_BL]]+t2a_SiteCWReadinessBL</f>
        <v>44028</v>
      </c>
      <c r="AF58" s="85">
        <v>44033</v>
      </c>
      <c r="AG58" s="66">
        <f>IF(ISBLANK(Table_SiteMilestoneTracking[[#This Row],[SiteReadyForCW_AC]])=FALSE,Table_SiteMilestoneTracking[[#This Row],[SiteReadyForCW_AC]]-Table_SiteMilestoneTracking[[#This Row],[SiteReadyForCW_BL]],"-")</f>
        <v>5</v>
      </c>
      <c r="AH58" s="66">
        <f>IF(ISBLANK(Table_SiteMilestoneTracking[[#This Row],[SiteReadyForCW_AC]])=FALSE,Table_SiteMilestoneTracking[[#This Row],[SiteReadyForCW_AC]]-Table_SiteMilestoneTracking[[#This Row],[SiteDesignReady_AC]],"-")</f>
        <v>16</v>
      </c>
      <c r="AI58" s="64">
        <f t="shared" si="9"/>
        <v>1500</v>
      </c>
      <c r="AJ58" s="82">
        <v>2250</v>
      </c>
      <c r="AK58" s="63">
        <f>Table_SiteMilestoneTracking[[#This Row],[SiteReadyForCW_BL]]+t3_CivilWorksBL</f>
        <v>44036</v>
      </c>
      <c r="AL58" s="84">
        <v>44042</v>
      </c>
      <c r="AM58" s="64">
        <f>IF(ISBLANK(Table_SiteMilestoneTracking[[#This Row],[SiteReadyForPower_AC]])=FALSE,Table_SiteMilestoneTracking[[#This Row],[SiteReadyForPower_AC]]-Table_SiteMilestoneTracking[[#This Row],[SiteReadyForPower_BL]],"-")</f>
        <v>6</v>
      </c>
      <c r="AN58" s="64">
        <f>IF(ISBLANK(Table_SiteMilestoneTracking[[#This Row],[SiteReadyForPower_AC]])=FALSE,Table_SiteMilestoneTracking[[#This Row],[SiteReadyForPower_AC]]-Table_SiteMilestoneTracking[[#This Row],[SiteReadyForCW_AC]],"-")</f>
        <v>9</v>
      </c>
      <c r="AO58" s="64">
        <f t="shared" si="10"/>
        <v>500</v>
      </c>
      <c r="AP58" s="82">
        <v>250</v>
      </c>
      <c r="AQ58" s="63">
        <f>Table_SiteMilestoneTracking[[#This Row],[SiteReadyForPower_BL]]+t4_PowerInstallBL</f>
        <v>44041</v>
      </c>
      <c r="AR58" s="84">
        <v>44048</v>
      </c>
      <c r="AS58" s="64">
        <f>IF(ISBLANK(Table_SiteMilestoneTracking[[#This Row],[TXReady_AC]])=FALSE,Table_SiteMilestoneTracking[[#This Row],[TXReady_AC]]-Table_SiteMilestoneTracking[[#This Row],[TXReady_BL]],"-")</f>
        <v>7</v>
      </c>
      <c r="AT58" s="64">
        <f>IF(ISBLANK(Table_SiteMilestoneTracking[[#This Row],[TXReady_AC]])=FALSE,Table_SiteMilestoneTracking[[#This Row],[TXReady_AC]]-Table_SiteMilestoneTracking[[#This Row],[SiteReadyForPower_AC]],"-")</f>
        <v>6</v>
      </c>
      <c r="AU58" s="64">
        <f>$AU$2</f>
        <v>500</v>
      </c>
      <c r="AV58" s="82"/>
      <c r="AW58" s="63">
        <f>Table_SiteMilestoneTracking[[#This Row],[TXReady_BL]]+t5_TxintegrationBL</f>
        <v>44048</v>
      </c>
      <c r="AX58" s="84"/>
      <c r="AY58" s="64" t="str">
        <f>IF(ISBLANK(Table_SiteMilestoneTracking[[#This Row],[SiteReadyForInstallation_AC]])=FALSE,Table_SiteMilestoneTracking[[#This Row],[SiteReadyForInstallation_AC]]-Table_SiteMilestoneTracking[[#This Row],[SiteReadyForInstallation_BL]],"-")</f>
        <v>-</v>
      </c>
      <c r="AZ58" s="64" t="str">
        <f>IF(ISBLANK(Table_SiteMilestoneTracking[[#This Row],[SiteReadyForInstallation_AC]])=FALSE,Table_SiteMilestoneTracking[[#This Row],[SiteReadyForInstallation_AC]]-Table_SiteMilestoneTracking[[#This Row],[TXReady_AC]],"-")</f>
        <v>-</v>
      </c>
      <c r="BA58" s="64">
        <f>$BA$2</f>
        <v>2500</v>
      </c>
      <c r="BB58" s="82"/>
      <c r="BC58" s="63">
        <f>Table_SiteMilestoneTracking[[#This Row],[SiteReadyForInstallation_BL]]+t6_InstallationBL</f>
        <v>44052</v>
      </c>
      <c r="BD58" s="84"/>
      <c r="BE58" s="64" t="str">
        <f>IF(ISBLANK(Table_SiteMilestoneTracking[[#This Row],[SiteReadyForIntegration_AC]])=FALSE,Table_SiteMilestoneTracking[[#This Row],[SiteReadyForIntegration_AC]]-Table_SiteMilestoneTracking[[#This Row],[SiteReadyForIntegration_BL]],"-")</f>
        <v>-</v>
      </c>
      <c r="BF58" s="64" t="str">
        <f>IF(ISBLANK(Table_SiteMilestoneTracking[[#This Row],[SiteReadyForIntegration_AC]])=FALSE,Table_SiteMilestoneTracking[[#This Row],[SiteReadyForIntegration_AC]]-Table_SiteMilestoneTracking[[#This Row],[SiteReadyForInstallation_AC]],"-")</f>
        <v>-</v>
      </c>
      <c r="BG58" s="64">
        <f>$BG$2</f>
        <v>500</v>
      </c>
      <c r="BH58" s="82"/>
      <c r="BI58" s="63">
        <f>Table_SiteMilestoneTracking[[#This Row],[SiteReadyForIntegration_BL]]+t7_IntegrationBL</f>
        <v>44056</v>
      </c>
      <c r="BJ58" s="84"/>
      <c r="BK58" s="64" t="str">
        <f>IF(ISBLANK(Table_SiteMilestoneTracking[[#This Row],[SiteOnAir_AC]])=FALSE,Table_SiteMilestoneTracking[[#This Row],[SiteOnAir_AC]]-Table_SiteMilestoneTracking[[#This Row],[SiteOnAir_BL]],"-")</f>
        <v>-</v>
      </c>
      <c r="BL58" s="64" t="str">
        <f>IF(ISBLANK(Table_SiteMilestoneTracking[[#This Row],[SiteOnAir_AC]])=FALSE,Table_SiteMilestoneTracking[[#This Row],[SiteOnAir_AC]]-Table_SiteMilestoneTracking[[#This Row],[SiteReadyForIntegration_AC]],"-")</f>
        <v>-</v>
      </c>
      <c r="BM58" s="64">
        <f>$BM$2</f>
        <v>250</v>
      </c>
      <c r="BN58" s="82"/>
      <c r="BO58" s="63">
        <f>Table_SiteMilestoneTracking[[#This Row],[SiteOnAir_BL]]+t8_AcceptanceBL</f>
        <v>44060</v>
      </c>
      <c r="BP58" s="84"/>
      <c r="BQ58" s="64" t="str">
        <f>IF(ISBLANK(Table_SiteMilestoneTracking[[#This Row],[SiteAccepted_AC]])=FALSE,Table_SiteMilestoneTracking[[#This Row],[SiteAccepted_AC]]-Table_SiteMilestoneTracking[[#This Row],[SiteAccepted_BL]],"-")</f>
        <v>-</v>
      </c>
      <c r="BR58" s="64" t="str">
        <f>IF(ISBLANK(Table_SiteMilestoneTracking[[#This Row],[SiteAccepted_AC]])=FALSE,Table_SiteMilestoneTracking[[#This Row],[SiteAccepted_AC]]-Table_SiteMilestoneTracking[[#This Row],[SiteOnAir_AC]],"-")</f>
        <v>-</v>
      </c>
      <c r="BS58" s="64">
        <f>$BS$2</f>
        <v>200</v>
      </c>
      <c r="BT58" s="82"/>
      <c r="BU58" s="63">
        <f>Table_SiteMilestoneTracking[[#This Row],[SiteAccepted_BL]]+t9_HandoverBL</f>
        <v>44068</v>
      </c>
      <c r="BV58" s="84"/>
      <c r="BW58" s="64" t="str">
        <f>IF(ISBLANK(Table_SiteMilestoneTracking[[#This Row],[SiteInOperations_AC]])=FALSE,Table_SiteMilestoneTracking[[#This Row],[SiteInOperations_AC]]-Table_SiteMilestoneTracking[[#This Row],[SiteInOperations_BL]],"-")</f>
        <v>-</v>
      </c>
      <c r="BX58" s="66">
        <f>Table_SiteMilestoneTracking[[#This Row],[SiteInOperations_BL]]-Table_SiteMilestoneTracking[[#This Row],[SiteDesignReady_BL]]</f>
        <v>55</v>
      </c>
      <c r="BY58" s="66" t="str">
        <f>IF(Table_SiteMilestoneTracking[[#This Row],[CurrentSiteMilestone]]="SiteInOperations",Table_SiteMilestoneTracking[[#This Row],[SiteInOperations_AC]]-Table_SiteMilestoneTracking[[#This Row],[SiteDesignReady_AC]],"")</f>
        <v/>
      </c>
      <c r="BZ58" s="66" t="str">
        <f>IFERROR(Table_SiteMilestoneTracking[[#This Row],[E2E_Site_AC]]-Table_SiteMilestoneTracking[[#This Row],[E2E_Site_BL]],"")</f>
        <v/>
      </c>
      <c r="CA58" s="66" t="str">
        <f>IF(Table_SiteMilestoneTracking[[#This Row],[CurrentSiteMilestone]]="SiteInOperations",Table_SiteMilestoneTracking[[#This Row],[SiteInOperations_AC]]-Table_SiteMilestoneTracking[[#This Row],[SiteAccepted_AC]],"")</f>
        <v/>
      </c>
      <c r="CB58" s="79"/>
      <c r="CC58" s="89"/>
      <c r="CD58" s="89"/>
      <c r="CE58" s="70"/>
      <c r="CF58" s="70"/>
      <c r="CG58" s="70"/>
      <c r="CH58" s="70"/>
      <c r="CI58" s="70"/>
      <c r="CJ58" s="70"/>
      <c r="CK58" s="70"/>
      <c r="CL58" s="70"/>
      <c r="CM58" s="70"/>
      <c r="CN58" s="70"/>
      <c r="CO58" s="70"/>
      <c r="CP58" s="70"/>
      <c r="CQ58" s="70"/>
      <c r="CR58" s="70"/>
      <c r="CS58" s="70"/>
      <c r="CT58" s="70"/>
      <c r="CU58" s="70"/>
      <c r="CV58" s="70"/>
      <c r="CW58" s="70"/>
      <c r="CX58" s="70"/>
      <c r="CY58" s="70"/>
      <c r="CZ58" s="70"/>
      <c r="DA58" s="70"/>
      <c r="DB58" s="70"/>
      <c r="DC58" s="70"/>
      <c r="DD58" s="70"/>
      <c r="DE58" s="70"/>
      <c r="DF58" s="70"/>
      <c r="DG58" s="70"/>
      <c r="DH58" s="70"/>
      <c r="DI58" s="70"/>
      <c r="DJ58" s="70"/>
      <c r="DK58" s="70"/>
      <c r="DL58" s="70"/>
      <c r="DM58" s="70"/>
      <c r="DN58" s="70"/>
      <c r="DO58" s="70"/>
      <c r="DP58" s="70"/>
      <c r="DQ58" s="70"/>
      <c r="DR58" s="70"/>
      <c r="DS58" s="70"/>
      <c r="DT58" s="70"/>
      <c r="DU58" s="70"/>
      <c r="DV58" s="70"/>
    </row>
    <row r="59" spans="1:126" x14ac:dyDescent="0.3">
      <c r="A59" s="79" t="str">
        <f>'4. Design Tracking Summary'!A60</f>
        <v>PI00225</v>
      </c>
      <c r="B59" s="79" t="str">
        <f>'4. Design Tracking Summary'!B60</f>
        <v>North</v>
      </c>
      <c r="C59" s="79" t="str">
        <f>'4. Design Tracking Summary'!C60</f>
        <v>GTO</v>
      </c>
      <c r="D59" s="79" t="str">
        <f>'4. Design Tracking Summary'!D60</f>
        <v>MINI</v>
      </c>
      <c r="E59" s="79" t="s">
        <v>59</v>
      </c>
      <c r="F59" s="79"/>
      <c r="G59" s="60" t="str">
        <f>IFERROR(INDEX(Table_SiteMilestonesNames[SiteMilestoneName],COUNTA(Table_SiteMilestoneTracking[[#This Row],[SiteDesignStarted_AC]],Table_SiteMilestoneTracking[[#This Row],[SiteDesignReady_AC]],Table_SiteMilestoneTracking[[#This Row],[SiteSurveyCompleted_AC]],Table_SiteMilestoneTracking[[#This Row],[SiteAcquired_AC]],Table_SiteMilestoneTracking[[#This Row],[SiteReadyForCW_AC]],Table_SiteMilestoneTracking[[#This Row],[SiteReadyForPower_AC]],Table_SiteMilestoneTracking[[#This Row],[TXReady_AC]],Table_SiteMilestoneTracking[[#This Row],[SiteReadyForInstallation_AC]],Table_SiteMilestoneTracking[[#This Row],[SiteReadyForIntegration_AC]],Table_SiteMilestoneTracking[[#This Row],[SiteOnAir_AC]],Table_SiteMilestoneTracking[[#This Row],[SiteAccepted_AC]],Table_SiteMilestoneTracking[[#This Row],[SiteInOperations_AC]])+1),"Invalid Milestone")</f>
        <v>TX_Ready</v>
      </c>
      <c r="H59" s="61">
        <f>Table_SiteMilestoneTracking[[#This Row],[c0_SiteDesignCostBL]]+Table_SiteMilestoneTracking[[#This Row],[c1_SiteSurveyCostBL]]+Table_SiteMilestoneTracking[[#This Row],[c2_SiteAcquisitionCostBL]]+Table_SiteMilestoneTracking[[#This Row],[c3_CivilWorksCostBL]]+Table_SiteMilestoneTracking[[#This Row],[c4_PowerInstallCostBL]]+Table_SiteMilestoneTracking[[#This Row],[c5_TxintegrationCostBL]]+Table_SiteMilestoneTracking[[#This Row],[c6_InstallationCostBL]]+Table_SiteMilestoneTracking[[#This Row],[c7_IntegrationCostBL]]+Table_SiteMilestoneTracking[[#This Row],[c8_AcceptanceCostBL]]+Table_SiteMilestoneTracking[[#This Row],[c9_HandoverCostBL]]</f>
        <v>7550</v>
      </c>
      <c r="I59" s="62">
        <f>Table_SiteMilestoneTracking[[#This Row],[c0_SiteDesignCostAC]]+Table_SiteMilestoneTracking[[#This Row],[c1_SiteSurveyCostAC]]+Table_SiteMilestoneTracking[[#This Row],[c2_SiteAcquisitionCostAC]]+Table_SiteMilestoneTracking[[#This Row],[c3_CivilWorksCostAC]]+Table_SiteMilestoneTracking[[#This Row],[c4_PowerInstallCostAC]]+Table_SiteMilestoneTracking[[#This Row],[c5_TxintegrationCostAC]]+Table_SiteMilestoneTracking[[#This Row],[c6_InstallationCostAC]]+Table_SiteMilestoneTracking[[#This Row],[c7_IntegrationCostAC]]+Table_SiteMilestoneTracking[[#This Row],[c8_AcceptanceCostAC]]+Table_SiteMilestoneTracking[[#This Row],[c9_HandoverCostAC]]</f>
        <v>3145</v>
      </c>
      <c r="J59" s="84">
        <v>44011</v>
      </c>
      <c r="K59" s="84">
        <v>44012</v>
      </c>
      <c r="L59" s="64">
        <f>IF(ISBLANK(Table_SiteMilestoneTracking[[#This Row],[SiteDesignStarted_AC]])=FALSE,Table_SiteMilestoneTracking[[#This Row],[SiteDesignStarted_AC]]-Table_SiteMilestoneTracking[[#This Row],[SiteDesignStarted_BL]],"")</f>
        <v>1</v>
      </c>
      <c r="M59" s="64">
        <f t="shared" si="6"/>
        <v>500</v>
      </c>
      <c r="N59" s="87">
        <v>440</v>
      </c>
      <c r="O59" s="63">
        <f>Table_SiteMilestoneTracking[[#This Row],[SiteDesignStarted_BL]]+t0_SiteDesignDelayBL</f>
        <v>44013</v>
      </c>
      <c r="P59" s="84">
        <v>44014</v>
      </c>
      <c r="Q59" s="64">
        <f>IF(ISBLANK(Table_SiteMilestoneTracking[[#This Row],[SiteDesignReady_AC]])=FALSE,Table_SiteMilestoneTracking[[#This Row],[SiteDesignReady_AC]]-Table_SiteMilestoneTracking[[#This Row],[SiteDesignReady_BL]],"-")</f>
        <v>1</v>
      </c>
      <c r="R59" s="64">
        <f t="shared" si="5"/>
        <v>500</v>
      </c>
      <c r="S59" s="82">
        <v>525</v>
      </c>
      <c r="T59" s="63">
        <f>Table_SiteMilestoneTracking[[#This Row],[SiteDesignReady_BL]]+t1_SiteSurveyBL</f>
        <v>44015</v>
      </c>
      <c r="U59" s="84">
        <v>44016</v>
      </c>
      <c r="V59" s="64">
        <f>IF(ISBLANK(Table_SiteMilestoneTracking[[#This Row],[SiteSurveyCompleted_AC]])=FALSE,Table_SiteMilestoneTracking[[#This Row],[SiteSurveyCompleted_AC]]-Table_SiteMilestoneTracking[[#This Row],[SiteDesignReady_AC]],"-")</f>
        <v>2</v>
      </c>
      <c r="W59" s="64">
        <f t="shared" si="7"/>
        <v>600</v>
      </c>
      <c r="X59" s="82">
        <v>780</v>
      </c>
      <c r="Y59" s="63">
        <f>Table_SiteMilestoneTracking[[#This Row],[SiteSurveyCompleted_BL]]+t2_SiteAcquisitionBL</f>
        <v>44026</v>
      </c>
      <c r="Z59" s="84">
        <v>44027</v>
      </c>
      <c r="AA59" s="65">
        <f>IF(ISBLANK(Table_SiteMilestoneTracking[[#This Row],[SiteAcquired_AC]])=FALSE,Table_SiteMilestoneTracking[[#This Row],[SiteAcquired_AC]]-Table_SiteMilestoneTracking[[#This Row],[SiteAcquired_BL]],"-")</f>
        <v>1</v>
      </c>
      <c r="AB59" s="65">
        <f>IF(ISBLANK(Table_SiteMilestoneTracking[[#This Row],[SiteAcquired_AC]])=FALSE,Table_SiteMilestoneTracking[[#This Row],[SiteAcquired_AC]]-Table_SiteMilestoneTracking[[#This Row],[SiteSurveyCompleted_AC]],"-")</f>
        <v>11</v>
      </c>
      <c r="AC59" s="64">
        <f t="shared" si="8"/>
        <v>150</v>
      </c>
      <c r="AD59" s="82">
        <v>150</v>
      </c>
      <c r="AE59" s="63">
        <f>Table_SiteMilestoneTracking[[#This Row],[SiteAcquired_BL]]+t2a_SiteCWReadinessBL</f>
        <v>44028</v>
      </c>
      <c r="AF59" s="85">
        <v>44030</v>
      </c>
      <c r="AG59" s="66">
        <f>IF(ISBLANK(Table_SiteMilestoneTracking[[#This Row],[SiteReadyForCW_AC]])=FALSE,Table_SiteMilestoneTracking[[#This Row],[SiteReadyForCW_AC]]-Table_SiteMilestoneTracking[[#This Row],[SiteReadyForCW_BL]],"-")</f>
        <v>2</v>
      </c>
      <c r="AH59" s="66">
        <f>IF(ISBLANK(Table_SiteMilestoneTracking[[#This Row],[SiteReadyForCW_AC]])=FALSE,Table_SiteMilestoneTracking[[#This Row],[SiteReadyForCW_AC]]-Table_SiteMilestoneTracking[[#This Row],[SiteDesignReady_AC]],"-")</f>
        <v>16</v>
      </c>
      <c r="AI59" s="64">
        <f t="shared" si="9"/>
        <v>1500</v>
      </c>
      <c r="AJ59" s="82">
        <v>1050</v>
      </c>
      <c r="AK59" s="63">
        <f>Table_SiteMilestoneTracking[[#This Row],[SiteReadyForCW_BL]]+t3_CivilWorksBL</f>
        <v>44036</v>
      </c>
      <c r="AL59" s="84">
        <v>44039</v>
      </c>
      <c r="AM59" s="64">
        <f>IF(ISBLANK(Table_SiteMilestoneTracking[[#This Row],[SiteReadyForPower_AC]])=FALSE,Table_SiteMilestoneTracking[[#This Row],[SiteReadyForPower_AC]]-Table_SiteMilestoneTracking[[#This Row],[SiteReadyForPower_BL]],"-")</f>
        <v>3</v>
      </c>
      <c r="AN59" s="64">
        <f>IF(ISBLANK(Table_SiteMilestoneTracking[[#This Row],[SiteReadyForPower_AC]])=FALSE,Table_SiteMilestoneTracking[[#This Row],[SiteReadyForPower_AC]]-Table_SiteMilestoneTracking[[#This Row],[SiteReadyForCW_AC]],"-")</f>
        <v>9</v>
      </c>
      <c r="AO59" s="64">
        <f t="shared" si="10"/>
        <v>500</v>
      </c>
      <c r="AP59" s="82">
        <v>350</v>
      </c>
      <c r="AQ59" s="63">
        <f>Table_SiteMilestoneTracking[[#This Row],[SiteReadyForPower_BL]]+t4_PowerInstallBL</f>
        <v>44041</v>
      </c>
      <c r="AR59" s="84">
        <v>44045</v>
      </c>
      <c r="AS59" s="64">
        <f>IF(ISBLANK(Table_SiteMilestoneTracking[[#This Row],[TXReady_AC]])=FALSE,Table_SiteMilestoneTracking[[#This Row],[TXReady_AC]]-Table_SiteMilestoneTracking[[#This Row],[TXReady_BL]],"-")</f>
        <v>4</v>
      </c>
      <c r="AT59" s="64">
        <f>IF(ISBLANK(Table_SiteMilestoneTracking[[#This Row],[TXReady_AC]])=FALSE,Table_SiteMilestoneTracking[[#This Row],[TXReady_AC]]-Table_SiteMilestoneTracking[[#This Row],[SiteReadyForPower_AC]],"-")</f>
        <v>6</v>
      </c>
      <c r="AU59" s="64">
        <f>$AU$2</f>
        <v>500</v>
      </c>
      <c r="AV59" s="82"/>
      <c r="AW59" s="63">
        <f>Table_SiteMilestoneTracking[[#This Row],[TXReady_BL]]+t5_TxintegrationBL</f>
        <v>44048</v>
      </c>
      <c r="AX59" s="84"/>
      <c r="AY59" s="64" t="str">
        <f>IF(ISBLANK(Table_SiteMilestoneTracking[[#This Row],[SiteReadyForInstallation_AC]])=FALSE,Table_SiteMilestoneTracking[[#This Row],[SiteReadyForInstallation_AC]]-Table_SiteMilestoneTracking[[#This Row],[SiteReadyForInstallation_BL]],"-")</f>
        <v>-</v>
      </c>
      <c r="AZ59" s="64" t="str">
        <f>IF(ISBLANK(Table_SiteMilestoneTracking[[#This Row],[SiteReadyForInstallation_AC]])=FALSE,Table_SiteMilestoneTracking[[#This Row],[SiteReadyForInstallation_AC]]-Table_SiteMilestoneTracking[[#This Row],[TXReady_AC]],"-")</f>
        <v>-</v>
      </c>
      <c r="BA59" s="64">
        <f>$BA$2</f>
        <v>2500</v>
      </c>
      <c r="BB59" s="82"/>
      <c r="BC59" s="63">
        <f>Table_SiteMilestoneTracking[[#This Row],[SiteReadyForInstallation_BL]]+t6_InstallationBL</f>
        <v>44052</v>
      </c>
      <c r="BD59" s="84"/>
      <c r="BE59" s="64" t="str">
        <f>IF(ISBLANK(Table_SiteMilestoneTracking[[#This Row],[SiteReadyForIntegration_AC]])=FALSE,Table_SiteMilestoneTracking[[#This Row],[SiteReadyForIntegration_AC]]-Table_SiteMilestoneTracking[[#This Row],[SiteReadyForIntegration_BL]],"-")</f>
        <v>-</v>
      </c>
      <c r="BF59" s="64" t="str">
        <f>IF(ISBLANK(Table_SiteMilestoneTracking[[#This Row],[SiteReadyForIntegration_AC]])=FALSE,Table_SiteMilestoneTracking[[#This Row],[SiteReadyForIntegration_AC]]-Table_SiteMilestoneTracking[[#This Row],[SiteReadyForInstallation_AC]],"-")</f>
        <v>-</v>
      </c>
      <c r="BG59" s="64">
        <f>$BG$2</f>
        <v>500</v>
      </c>
      <c r="BH59" s="82"/>
      <c r="BI59" s="63">
        <f>Table_SiteMilestoneTracking[[#This Row],[SiteReadyForIntegration_BL]]+t7_IntegrationBL</f>
        <v>44056</v>
      </c>
      <c r="BJ59" s="84"/>
      <c r="BK59" s="64" t="str">
        <f>IF(ISBLANK(Table_SiteMilestoneTracking[[#This Row],[SiteOnAir_AC]])=FALSE,Table_SiteMilestoneTracking[[#This Row],[SiteOnAir_AC]]-Table_SiteMilestoneTracking[[#This Row],[SiteOnAir_BL]],"-")</f>
        <v>-</v>
      </c>
      <c r="BL59" s="64" t="str">
        <f>IF(ISBLANK(Table_SiteMilestoneTracking[[#This Row],[SiteOnAir_AC]])=FALSE,Table_SiteMilestoneTracking[[#This Row],[SiteOnAir_AC]]-Table_SiteMilestoneTracking[[#This Row],[SiteReadyForIntegration_AC]],"-")</f>
        <v>-</v>
      </c>
      <c r="BM59" s="64">
        <f>$BM$2</f>
        <v>250</v>
      </c>
      <c r="BN59" s="82"/>
      <c r="BO59" s="63">
        <f>Table_SiteMilestoneTracking[[#This Row],[SiteOnAir_BL]]+t8_AcceptanceBL</f>
        <v>44060</v>
      </c>
      <c r="BP59" s="84"/>
      <c r="BQ59" s="64" t="str">
        <f>IF(ISBLANK(Table_SiteMilestoneTracking[[#This Row],[SiteAccepted_AC]])=FALSE,Table_SiteMilestoneTracking[[#This Row],[SiteAccepted_AC]]-Table_SiteMilestoneTracking[[#This Row],[SiteAccepted_BL]],"-")</f>
        <v>-</v>
      </c>
      <c r="BR59" s="64" t="str">
        <f>IF(ISBLANK(Table_SiteMilestoneTracking[[#This Row],[SiteAccepted_AC]])=FALSE,Table_SiteMilestoneTracking[[#This Row],[SiteAccepted_AC]]-Table_SiteMilestoneTracking[[#This Row],[SiteOnAir_AC]],"-")</f>
        <v>-</v>
      </c>
      <c r="BS59" s="64">
        <f>$BS$2</f>
        <v>200</v>
      </c>
      <c r="BT59" s="82"/>
      <c r="BU59" s="63">
        <f>Table_SiteMilestoneTracking[[#This Row],[SiteAccepted_BL]]+t9_HandoverBL</f>
        <v>44068</v>
      </c>
      <c r="BV59" s="84"/>
      <c r="BW59" s="64" t="str">
        <f>IF(ISBLANK(Table_SiteMilestoneTracking[[#This Row],[SiteInOperations_AC]])=FALSE,Table_SiteMilestoneTracking[[#This Row],[SiteInOperations_AC]]-Table_SiteMilestoneTracking[[#This Row],[SiteInOperations_BL]],"-")</f>
        <v>-</v>
      </c>
      <c r="BX59" s="66">
        <f>Table_SiteMilestoneTracking[[#This Row],[SiteInOperations_BL]]-Table_SiteMilestoneTracking[[#This Row],[SiteDesignReady_BL]]</f>
        <v>55</v>
      </c>
      <c r="BY59" s="66" t="str">
        <f>IF(Table_SiteMilestoneTracking[[#This Row],[CurrentSiteMilestone]]="SiteInOperations",Table_SiteMilestoneTracking[[#This Row],[SiteInOperations_AC]]-Table_SiteMilestoneTracking[[#This Row],[SiteDesignReady_AC]],"")</f>
        <v/>
      </c>
      <c r="BZ59" s="66" t="str">
        <f>IFERROR(Table_SiteMilestoneTracking[[#This Row],[E2E_Site_AC]]-Table_SiteMilestoneTracking[[#This Row],[E2E_Site_BL]],"")</f>
        <v/>
      </c>
      <c r="CA59" s="66" t="str">
        <f>IF(Table_SiteMilestoneTracking[[#This Row],[CurrentSiteMilestone]]="SiteInOperations",Table_SiteMilestoneTracking[[#This Row],[SiteInOperations_AC]]-Table_SiteMilestoneTracking[[#This Row],[SiteAccepted_AC]],"")</f>
        <v/>
      </c>
      <c r="CB59" s="79"/>
      <c r="CC59" s="89"/>
      <c r="CD59" s="89"/>
      <c r="CE59" s="70"/>
      <c r="CF59" s="70"/>
      <c r="CG59" s="70"/>
      <c r="CH59" s="70"/>
      <c r="CI59" s="70"/>
      <c r="CJ59" s="70"/>
      <c r="CK59" s="70"/>
      <c r="CL59" s="70"/>
      <c r="CM59" s="70"/>
      <c r="CN59" s="70"/>
      <c r="CO59" s="70"/>
      <c r="CP59" s="70"/>
      <c r="CQ59" s="70"/>
      <c r="CR59" s="70"/>
      <c r="CS59" s="70"/>
      <c r="CT59" s="70"/>
      <c r="CU59" s="70"/>
      <c r="CV59" s="70"/>
      <c r="CW59" s="70"/>
      <c r="CX59" s="70"/>
      <c r="CY59" s="70"/>
      <c r="CZ59" s="70"/>
      <c r="DA59" s="70"/>
      <c r="DB59" s="70"/>
      <c r="DC59" s="70"/>
      <c r="DD59" s="70"/>
      <c r="DE59" s="70"/>
      <c r="DF59" s="70"/>
      <c r="DG59" s="70"/>
      <c r="DH59" s="70"/>
      <c r="DI59" s="70"/>
      <c r="DJ59" s="70"/>
      <c r="DK59" s="70"/>
      <c r="DL59" s="70"/>
      <c r="DM59" s="70"/>
      <c r="DN59" s="70"/>
      <c r="DO59" s="70"/>
      <c r="DP59" s="70"/>
      <c r="DQ59" s="70"/>
      <c r="DR59" s="70"/>
      <c r="DS59" s="70"/>
      <c r="DT59" s="70"/>
      <c r="DU59" s="70"/>
      <c r="DV59" s="70"/>
    </row>
    <row r="60" spans="1:126" x14ac:dyDescent="0.3">
      <c r="A60" s="79" t="str">
        <f>'4. Design Tracking Summary'!A61</f>
        <v>PI00240</v>
      </c>
      <c r="B60" s="79" t="str">
        <f>'4. Design Tracking Summary'!B61</f>
        <v>Center</v>
      </c>
      <c r="C60" s="79" t="str">
        <f>'4. Design Tracking Summary'!C61</f>
        <v>QRO</v>
      </c>
      <c r="D60" s="79" t="str">
        <f>'4. Design Tracking Summary'!D61</f>
        <v>SMALL</v>
      </c>
      <c r="E60" s="79" t="s">
        <v>56</v>
      </c>
      <c r="F60" s="79"/>
      <c r="G60" s="60" t="str">
        <f>IFERROR(INDEX(Table_SiteMilestonesNames[SiteMilestoneName],COUNTA(Table_SiteMilestoneTracking[[#This Row],[SiteDesignStarted_AC]],Table_SiteMilestoneTracking[[#This Row],[SiteDesignReady_AC]],Table_SiteMilestoneTracking[[#This Row],[SiteSurveyCompleted_AC]],Table_SiteMilestoneTracking[[#This Row],[SiteAcquired_AC]],Table_SiteMilestoneTracking[[#This Row],[SiteReadyForCW_AC]],Table_SiteMilestoneTracking[[#This Row],[SiteReadyForPower_AC]],Table_SiteMilestoneTracking[[#This Row],[TXReady_AC]],Table_SiteMilestoneTracking[[#This Row],[SiteReadyForInstallation_AC]],Table_SiteMilestoneTracking[[#This Row],[SiteReadyForIntegration_AC]],Table_SiteMilestoneTracking[[#This Row],[SiteOnAir_AC]],Table_SiteMilestoneTracking[[#This Row],[SiteAccepted_AC]],Table_SiteMilestoneTracking[[#This Row],[SiteInOperations_AC]])+1),"Invalid Milestone")</f>
        <v>TX_Ready</v>
      </c>
      <c r="H60" s="61">
        <f>Table_SiteMilestoneTracking[[#This Row],[c0_SiteDesignCostBL]]+Table_SiteMilestoneTracking[[#This Row],[c1_SiteSurveyCostBL]]+Table_SiteMilestoneTracking[[#This Row],[c2_SiteAcquisitionCostBL]]+Table_SiteMilestoneTracking[[#This Row],[c3_CivilWorksCostBL]]+Table_SiteMilestoneTracking[[#This Row],[c4_PowerInstallCostBL]]+Table_SiteMilestoneTracking[[#This Row],[c5_TxintegrationCostBL]]+Table_SiteMilestoneTracking[[#This Row],[c6_InstallationCostBL]]+Table_SiteMilestoneTracking[[#This Row],[c7_IntegrationCostBL]]+Table_SiteMilestoneTracking[[#This Row],[c8_AcceptanceCostBL]]+Table_SiteMilestoneTracking[[#This Row],[c9_HandoverCostBL]]</f>
        <v>7550</v>
      </c>
      <c r="I60" s="62">
        <f>Table_SiteMilestoneTracking[[#This Row],[c0_SiteDesignCostAC]]+Table_SiteMilestoneTracking[[#This Row],[c1_SiteSurveyCostAC]]+Table_SiteMilestoneTracking[[#This Row],[c2_SiteAcquisitionCostAC]]+Table_SiteMilestoneTracking[[#This Row],[c3_CivilWorksCostAC]]+Table_SiteMilestoneTracking[[#This Row],[c4_PowerInstallCostAC]]+Table_SiteMilestoneTracking[[#This Row],[c5_TxintegrationCostAC]]+Table_SiteMilestoneTracking[[#This Row],[c6_InstallationCostAC]]+Table_SiteMilestoneTracking[[#This Row],[c7_IntegrationCostAC]]+Table_SiteMilestoneTracking[[#This Row],[c8_AcceptanceCostAC]]+Table_SiteMilestoneTracking[[#This Row],[c9_HandoverCostAC]]</f>
        <v>3075</v>
      </c>
      <c r="J60" s="84">
        <v>44011</v>
      </c>
      <c r="K60" s="84">
        <v>44012</v>
      </c>
      <c r="L60" s="64">
        <f>IF(ISBLANK(Table_SiteMilestoneTracking[[#This Row],[SiteDesignStarted_AC]])=FALSE,Table_SiteMilestoneTracking[[#This Row],[SiteDesignStarted_AC]]-Table_SiteMilestoneTracking[[#This Row],[SiteDesignStarted_BL]],"")</f>
        <v>1</v>
      </c>
      <c r="M60" s="64">
        <f t="shared" si="6"/>
        <v>500</v>
      </c>
      <c r="N60" s="87">
        <v>420</v>
      </c>
      <c r="O60" s="63">
        <f>Table_SiteMilestoneTracking[[#This Row],[SiteDesignStarted_BL]]+t0_SiteDesignDelayBL</f>
        <v>44013</v>
      </c>
      <c r="P60" s="84">
        <v>44014</v>
      </c>
      <c r="Q60" s="64">
        <f>IF(ISBLANK(Table_SiteMilestoneTracking[[#This Row],[SiteDesignReady_AC]])=FALSE,Table_SiteMilestoneTracking[[#This Row],[SiteDesignReady_AC]]-Table_SiteMilestoneTracking[[#This Row],[SiteDesignReady_BL]],"-")</f>
        <v>1</v>
      </c>
      <c r="R60" s="64">
        <f t="shared" si="5"/>
        <v>500</v>
      </c>
      <c r="S60" s="82">
        <v>625</v>
      </c>
      <c r="T60" s="63">
        <f>Table_SiteMilestoneTracking[[#This Row],[SiteDesignReady_BL]]+t1_SiteSurveyBL</f>
        <v>44015</v>
      </c>
      <c r="U60" s="84">
        <v>44016</v>
      </c>
      <c r="V60" s="64">
        <f>IF(ISBLANK(Table_SiteMilestoneTracking[[#This Row],[SiteSurveyCompleted_AC]])=FALSE,Table_SiteMilestoneTracking[[#This Row],[SiteSurveyCompleted_AC]]-Table_SiteMilestoneTracking[[#This Row],[SiteDesignReady_AC]],"-")</f>
        <v>2</v>
      </c>
      <c r="W60" s="64">
        <f t="shared" si="7"/>
        <v>600</v>
      </c>
      <c r="X60" s="82">
        <v>480</v>
      </c>
      <c r="Y60" s="63">
        <f>Table_SiteMilestoneTracking[[#This Row],[SiteSurveyCompleted_BL]]+t2_SiteAcquisitionBL</f>
        <v>44026</v>
      </c>
      <c r="Z60" s="84">
        <v>44028</v>
      </c>
      <c r="AA60" s="65">
        <f>IF(ISBLANK(Table_SiteMilestoneTracking[[#This Row],[SiteAcquired_AC]])=FALSE,Table_SiteMilestoneTracking[[#This Row],[SiteAcquired_AC]]-Table_SiteMilestoneTracking[[#This Row],[SiteAcquired_BL]],"-")</f>
        <v>2</v>
      </c>
      <c r="AB60" s="65">
        <f>IF(ISBLANK(Table_SiteMilestoneTracking[[#This Row],[SiteAcquired_AC]])=FALSE,Table_SiteMilestoneTracking[[#This Row],[SiteAcquired_AC]]-Table_SiteMilestoneTracking[[#This Row],[SiteSurveyCompleted_AC]],"-")</f>
        <v>12</v>
      </c>
      <c r="AC60" s="64">
        <f t="shared" si="8"/>
        <v>150</v>
      </c>
      <c r="AD60" s="82">
        <v>180.00000000000003</v>
      </c>
      <c r="AE60" s="63">
        <f>Table_SiteMilestoneTracking[[#This Row],[SiteAcquired_BL]]+t2a_SiteCWReadinessBL</f>
        <v>44028</v>
      </c>
      <c r="AF60" s="85">
        <v>44031</v>
      </c>
      <c r="AG60" s="66">
        <f>IF(ISBLANK(Table_SiteMilestoneTracking[[#This Row],[SiteReadyForCW_AC]])=FALSE,Table_SiteMilestoneTracking[[#This Row],[SiteReadyForCW_AC]]-Table_SiteMilestoneTracking[[#This Row],[SiteReadyForCW_BL]],"-")</f>
        <v>3</v>
      </c>
      <c r="AH60" s="66">
        <f>IF(ISBLANK(Table_SiteMilestoneTracking[[#This Row],[SiteReadyForCW_AC]])=FALSE,Table_SiteMilestoneTracking[[#This Row],[SiteReadyForCW_AC]]-Table_SiteMilestoneTracking[[#This Row],[SiteDesignReady_AC]],"-")</f>
        <v>17</v>
      </c>
      <c r="AI60" s="64">
        <f t="shared" si="9"/>
        <v>1500</v>
      </c>
      <c r="AJ60" s="82">
        <v>1050</v>
      </c>
      <c r="AK60" s="63">
        <f>Table_SiteMilestoneTracking[[#This Row],[SiteReadyForCW_BL]]+t3_CivilWorksBL</f>
        <v>44036</v>
      </c>
      <c r="AL60" s="84">
        <v>44039</v>
      </c>
      <c r="AM60" s="64">
        <f>IF(ISBLANK(Table_SiteMilestoneTracking[[#This Row],[SiteReadyForPower_AC]])=FALSE,Table_SiteMilestoneTracking[[#This Row],[SiteReadyForPower_AC]]-Table_SiteMilestoneTracking[[#This Row],[SiteReadyForPower_BL]],"-")</f>
        <v>3</v>
      </c>
      <c r="AN60" s="64">
        <f>IF(ISBLANK(Table_SiteMilestoneTracking[[#This Row],[SiteReadyForPower_AC]])=FALSE,Table_SiteMilestoneTracking[[#This Row],[SiteReadyForPower_AC]]-Table_SiteMilestoneTracking[[#This Row],[SiteReadyForCW_AC]],"-")</f>
        <v>8</v>
      </c>
      <c r="AO60" s="64">
        <f t="shared" si="10"/>
        <v>500</v>
      </c>
      <c r="AP60" s="82">
        <v>500</v>
      </c>
      <c r="AQ60" s="63">
        <f>Table_SiteMilestoneTracking[[#This Row],[SiteReadyForPower_BL]]+t4_PowerInstallBL</f>
        <v>44041</v>
      </c>
      <c r="AR60" s="84">
        <v>44045</v>
      </c>
      <c r="AS60" s="64">
        <f>IF(ISBLANK(Table_SiteMilestoneTracking[[#This Row],[TXReady_AC]])=FALSE,Table_SiteMilestoneTracking[[#This Row],[TXReady_AC]]-Table_SiteMilestoneTracking[[#This Row],[TXReady_BL]],"-")</f>
        <v>4</v>
      </c>
      <c r="AT60" s="64">
        <f>IF(ISBLANK(Table_SiteMilestoneTracking[[#This Row],[TXReady_AC]])=FALSE,Table_SiteMilestoneTracking[[#This Row],[TXReady_AC]]-Table_SiteMilestoneTracking[[#This Row],[SiteReadyForPower_AC]],"-")</f>
        <v>6</v>
      </c>
      <c r="AU60" s="64">
        <f>$AU$2</f>
        <v>500</v>
      </c>
      <c r="AV60" s="82"/>
      <c r="AW60" s="63">
        <f>Table_SiteMilestoneTracking[[#This Row],[TXReady_BL]]+t5_TxintegrationBL</f>
        <v>44048</v>
      </c>
      <c r="AX60" s="84"/>
      <c r="AY60" s="64" t="str">
        <f>IF(ISBLANK(Table_SiteMilestoneTracking[[#This Row],[SiteReadyForInstallation_AC]])=FALSE,Table_SiteMilestoneTracking[[#This Row],[SiteReadyForInstallation_AC]]-Table_SiteMilestoneTracking[[#This Row],[SiteReadyForInstallation_BL]],"-")</f>
        <v>-</v>
      </c>
      <c r="AZ60" s="64" t="str">
        <f>IF(ISBLANK(Table_SiteMilestoneTracking[[#This Row],[SiteReadyForInstallation_AC]])=FALSE,Table_SiteMilestoneTracking[[#This Row],[SiteReadyForInstallation_AC]]-Table_SiteMilestoneTracking[[#This Row],[TXReady_AC]],"-")</f>
        <v>-</v>
      </c>
      <c r="BA60" s="64">
        <f>$BA$2</f>
        <v>2500</v>
      </c>
      <c r="BB60" s="82"/>
      <c r="BC60" s="63">
        <f>Table_SiteMilestoneTracking[[#This Row],[SiteReadyForInstallation_BL]]+t6_InstallationBL</f>
        <v>44052</v>
      </c>
      <c r="BD60" s="84"/>
      <c r="BE60" s="64" t="str">
        <f>IF(ISBLANK(Table_SiteMilestoneTracking[[#This Row],[SiteReadyForIntegration_AC]])=FALSE,Table_SiteMilestoneTracking[[#This Row],[SiteReadyForIntegration_AC]]-Table_SiteMilestoneTracking[[#This Row],[SiteReadyForIntegration_BL]],"-")</f>
        <v>-</v>
      </c>
      <c r="BF60" s="64" t="str">
        <f>IF(ISBLANK(Table_SiteMilestoneTracking[[#This Row],[SiteReadyForIntegration_AC]])=FALSE,Table_SiteMilestoneTracking[[#This Row],[SiteReadyForIntegration_AC]]-Table_SiteMilestoneTracking[[#This Row],[SiteReadyForInstallation_AC]],"-")</f>
        <v>-</v>
      </c>
      <c r="BG60" s="64">
        <f>$BG$2</f>
        <v>500</v>
      </c>
      <c r="BH60" s="82"/>
      <c r="BI60" s="63">
        <f>Table_SiteMilestoneTracking[[#This Row],[SiteReadyForIntegration_BL]]+t7_IntegrationBL</f>
        <v>44056</v>
      </c>
      <c r="BJ60" s="84"/>
      <c r="BK60" s="64" t="str">
        <f>IF(ISBLANK(Table_SiteMilestoneTracking[[#This Row],[SiteOnAir_AC]])=FALSE,Table_SiteMilestoneTracking[[#This Row],[SiteOnAir_AC]]-Table_SiteMilestoneTracking[[#This Row],[SiteOnAir_BL]],"-")</f>
        <v>-</v>
      </c>
      <c r="BL60" s="64" t="str">
        <f>IF(ISBLANK(Table_SiteMilestoneTracking[[#This Row],[SiteOnAir_AC]])=FALSE,Table_SiteMilestoneTracking[[#This Row],[SiteOnAir_AC]]-Table_SiteMilestoneTracking[[#This Row],[SiteReadyForIntegration_AC]],"-")</f>
        <v>-</v>
      </c>
      <c r="BM60" s="64">
        <f>$BM$2</f>
        <v>250</v>
      </c>
      <c r="BN60" s="82"/>
      <c r="BO60" s="63">
        <f>Table_SiteMilestoneTracking[[#This Row],[SiteOnAir_BL]]+t8_AcceptanceBL</f>
        <v>44060</v>
      </c>
      <c r="BP60" s="84"/>
      <c r="BQ60" s="64" t="str">
        <f>IF(ISBLANK(Table_SiteMilestoneTracking[[#This Row],[SiteAccepted_AC]])=FALSE,Table_SiteMilestoneTracking[[#This Row],[SiteAccepted_AC]]-Table_SiteMilestoneTracking[[#This Row],[SiteAccepted_BL]],"-")</f>
        <v>-</v>
      </c>
      <c r="BR60" s="64" t="str">
        <f>IF(ISBLANK(Table_SiteMilestoneTracking[[#This Row],[SiteAccepted_AC]])=FALSE,Table_SiteMilestoneTracking[[#This Row],[SiteAccepted_AC]]-Table_SiteMilestoneTracking[[#This Row],[SiteOnAir_AC]],"-")</f>
        <v>-</v>
      </c>
      <c r="BS60" s="64">
        <f>$BS$2</f>
        <v>200</v>
      </c>
      <c r="BT60" s="82"/>
      <c r="BU60" s="63">
        <f>Table_SiteMilestoneTracking[[#This Row],[SiteAccepted_BL]]+t9_HandoverBL</f>
        <v>44068</v>
      </c>
      <c r="BV60" s="84"/>
      <c r="BW60" s="64" t="str">
        <f>IF(ISBLANK(Table_SiteMilestoneTracking[[#This Row],[SiteInOperations_AC]])=FALSE,Table_SiteMilestoneTracking[[#This Row],[SiteInOperations_AC]]-Table_SiteMilestoneTracking[[#This Row],[SiteInOperations_BL]],"-")</f>
        <v>-</v>
      </c>
      <c r="BX60" s="66">
        <f>Table_SiteMilestoneTracking[[#This Row],[SiteInOperations_BL]]-Table_SiteMilestoneTracking[[#This Row],[SiteDesignReady_BL]]</f>
        <v>55</v>
      </c>
      <c r="BY60" s="66" t="str">
        <f>IF(Table_SiteMilestoneTracking[[#This Row],[CurrentSiteMilestone]]="SiteInOperations",Table_SiteMilestoneTracking[[#This Row],[SiteInOperations_AC]]-Table_SiteMilestoneTracking[[#This Row],[SiteDesignReady_AC]],"")</f>
        <v/>
      </c>
      <c r="BZ60" s="66" t="str">
        <f>IFERROR(Table_SiteMilestoneTracking[[#This Row],[E2E_Site_AC]]-Table_SiteMilestoneTracking[[#This Row],[E2E_Site_BL]],"")</f>
        <v/>
      </c>
      <c r="CA60" s="66" t="str">
        <f>IF(Table_SiteMilestoneTracking[[#This Row],[CurrentSiteMilestone]]="SiteInOperations",Table_SiteMilestoneTracking[[#This Row],[SiteInOperations_AC]]-Table_SiteMilestoneTracking[[#This Row],[SiteAccepted_AC]],"")</f>
        <v/>
      </c>
      <c r="CB60" s="79"/>
      <c r="CC60" s="89"/>
      <c r="CD60" s="89"/>
      <c r="CE60" s="70"/>
      <c r="CF60" s="70"/>
      <c r="CG60" s="70"/>
      <c r="CH60" s="70"/>
      <c r="CI60" s="70"/>
      <c r="CJ60" s="70"/>
      <c r="CK60" s="70"/>
      <c r="CL60" s="70"/>
      <c r="CM60" s="70"/>
      <c r="CN60" s="70"/>
      <c r="CO60" s="70"/>
      <c r="CP60" s="70"/>
      <c r="CQ60" s="70"/>
      <c r="CR60" s="70"/>
      <c r="CS60" s="70"/>
      <c r="CT60" s="70"/>
      <c r="CU60" s="70"/>
      <c r="CV60" s="70"/>
      <c r="CW60" s="70"/>
      <c r="CX60" s="70"/>
      <c r="CY60" s="70"/>
      <c r="CZ60" s="70"/>
      <c r="DA60" s="70"/>
      <c r="DB60" s="70"/>
      <c r="DC60" s="70"/>
      <c r="DD60" s="70"/>
      <c r="DE60" s="70"/>
      <c r="DF60" s="70"/>
      <c r="DG60" s="70"/>
      <c r="DH60" s="70"/>
      <c r="DI60" s="70"/>
      <c r="DJ60" s="70"/>
      <c r="DK60" s="70"/>
      <c r="DL60" s="70"/>
      <c r="DM60" s="70"/>
      <c r="DN60" s="70"/>
      <c r="DO60" s="70"/>
      <c r="DP60" s="70"/>
      <c r="DQ60" s="70"/>
      <c r="DR60" s="70"/>
      <c r="DS60" s="70"/>
      <c r="DT60" s="70"/>
      <c r="DU60" s="70"/>
      <c r="DV60" s="70"/>
    </row>
    <row r="61" spans="1:126" x14ac:dyDescent="0.3">
      <c r="A61" s="79" t="str">
        <f>'4. Design Tracking Summary'!A62</f>
        <v>PI00241</v>
      </c>
      <c r="B61" s="79" t="str">
        <f>'4. Design Tracking Summary'!B62</f>
        <v>Center</v>
      </c>
      <c r="C61" s="79" t="str">
        <f>'4. Design Tracking Summary'!C62</f>
        <v>MTY</v>
      </c>
      <c r="D61" s="79" t="str">
        <f>'4. Design Tracking Summary'!D62</f>
        <v>MACRO</v>
      </c>
      <c r="E61" s="79" t="s">
        <v>56</v>
      </c>
      <c r="F61" s="79"/>
      <c r="G61" s="60" t="str">
        <f>IFERROR(INDEX(Table_SiteMilestonesNames[SiteMilestoneName],COUNTA(Table_SiteMilestoneTracking[[#This Row],[SiteDesignStarted_AC]],Table_SiteMilestoneTracking[[#This Row],[SiteDesignReady_AC]],Table_SiteMilestoneTracking[[#This Row],[SiteSurveyCompleted_AC]],Table_SiteMilestoneTracking[[#This Row],[SiteAcquired_AC]],Table_SiteMilestoneTracking[[#This Row],[SiteReadyForCW_AC]],Table_SiteMilestoneTracking[[#This Row],[SiteReadyForPower_AC]],Table_SiteMilestoneTracking[[#This Row],[TXReady_AC]],Table_SiteMilestoneTracking[[#This Row],[SiteReadyForInstallation_AC]],Table_SiteMilestoneTracking[[#This Row],[SiteReadyForIntegration_AC]],Table_SiteMilestoneTracking[[#This Row],[SiteOnAir_AC]],Table_SiteMilestoneTracking[[#This Row],[SiteAccepted_AC]],Table_SiteMilestoneTracking[[#This Row],[SiteInOperations_AC]])+1),"Invalid Milestone")</f>
        <v>TX_Ready</v>
      </c>
      <c r="H61" s="61">
        <f>Table_SiteMilestoneTracking[[#This Row],[c0_SiteDesignCostBL]]+Table_SiteMilestoneTracking[[#This Row],[c1_SiteSurveyCostBL]]+Table_SiteMilestoneTracking[[#This Row],[c2_SiteAcquisitionCostBL]]+Table_SiteMilestoneTracking[[#This Row],[c3_CivilWorksCostBL]]+Table_SiteMilestoneTracking[[#This Row],[c4_PowerInstallCostBL]]+Table_SiteMilestoneTracking[[#This Row],[c5_TxintegrationCostBL]]+Table_SiteMilestoneTracking[[#This Row],[c6_InstallationCostBL]]+Table_SiteMilestoneTracking[[#This Row],[c7_IntegrationCostBL]]+Table_SiteMilestoneTracking[[#This Row],[c8_AcceptanceCostBL]]+Table_SiteMilestoneTracking[[#This Row],[c9_HandoverCostBL]]</f>
        <v>7550</v>
      </c>
      <c r="I61" s="62">
        <f>Table_SiteMilestoneTracking[[#This Row],[c0_SiteDesignCostAC]]+Table_SiteMilestoneTracking[[#This Row],[c1_SiteSurveyCostAC]]+Table_SiteMilestoneTracking[[#This Row],[c2_SiteAcquisitionCostAC]]+Table_SiteMilestoneTracking[[#This Row],[c3_CivilWorksCostAC]]+Table_SiteMilestoneTracking[[#This Row],[c4_PowerInstallCostAC]]+Table_SiteMilestoneTracking[[#This Row],[c5_TxintegrationCostAC]]+Table_SiteMilestoneTracking[[#This Row],[c6_InstallationCostAC]]+Table_SiteMilestoneTracking[[#This Row],[c7_IntegrationCostAC]]+Table_SiteMilestoneTracking[[#This Row],[c8_AcceptanceCostAC]]+Table_SiteMilestoneTracking[[#This Row],[c9_HandoverCostAC]]</f>
        <v>3295</v>
      </c>
      <c r="J61" s="84">
        <v>44011</v>
      </c>
      <c r="K61" s="84">
        <v>44012</v>
      </c>
      <c r="L61" s="64">
        <f>IF(ISBLANK(Table_SiteMilestoneTracking[[#This Row],[SiteDesignStarted_AC]])=FALSE,Table_SiteMilestoneTracking[[#This Row],[SiteDesignStarted_AC]]-Table_SiteMilestoneTracking[[#This Row],[SiteDesignStarted_BL]],"")</f>
        <v>1</v>
      </c>
      <c r="M61" s="64">
        <f t="shared" si="6"/>
        <v>500</v>
      </c>
      <c r="N61" s="87">
        <v>560</v>
      </c>
      <c r="O61" s="63">
        <f>Table_SiteMilestoneTracking[[#This Row],[SiteDesignStarted_BL]]+t0_SiteDesignDelayBL</f>
        <v>44013</v>
      </c>
      <c r="P61" s="84">
        <v>44015</v>
      </c>
      <c r="Q61" s="64">
        <f>IF(ISBLANK(Table_SiteMilestoneTracking[[#This Row],[SiteDesignReady_AC]])=FALSE,Table_SiteMilestoneTracking[[#This Row],[SiteDesignReady_AC]]-Table_SiteMilestoneTracking[[#This Row],[SiteDesignReady_BL]],"-")</f>
        <v>2</v>
      </c>
      <c r="R61" s="64">
        <f t="shared" si="5"/>
        <v>500</v>
      </c>
      <c r="S61" s="82">
        <v>575</v>
      </c>
      <c r="T61" s="63">
        <f>Table_SiteMilestoneTracking[[#This Row],[SiteDesignReady_BL]]+t1_SiteSurveyBL</f>
        <v>44015</v>
      </c>
      <c r="U61" s="84">
        <v>44018</v>
      </c>
      <c r="V61" s="64">
        <f>IF(ISBLANK(Table_SiteMilestoneTracking[[#This Row],[SiteSurveyCompleted_AC]])=FALSE,Table_SiteMilestoneTracking[[#This Row],[SiteSurveyCompleted_AC]]-Table_SiteMilestoneTracking[[#This Row],[SiteDesignReady_AC]],"-")</f>
        <v>3</v>
      </c>
      <c r="W61" s="64">
        <f t="shared" si="7"/>
        <v>600</v>
      </c>
      <c r="X61" s="82">
        <v>660</v>
      </c>
      <c r="Y61" s="63">
        <f>Table_SiteMilestoneTracking[[#This Row],[SiteSurveyCompleted_BL]]+t2_SiteAcquisitionBL</f>
        <v>44026</v>
      </c>
      <c r="Z61" s="84">
        <v>44030</v>
      </c>
      <c r="AA61" s="65">
        <f>IF(ISBLANK(Table_SiteMilestoneTracking[[#This Row],[SiteAcquired_AC]])=FALSE,Table_SiteMilestoneTracking[[#This Row],[SiteAcquired_AC]]-Table_SiteMilestoneTracking[[#This Row],[SiteAcquired_BL]],"-")</f>
        <v>4</v>
      </c>
      <c r="AB61" s="65">
        <f>IF(ISBLANK(Table_SiteMilestoneTracking[[#This Row],[SiteAcquired_AC]])=FALSE,Table_SiteMilestoneTracking[[#This Row],[SiteAcquired_AC]]-Table_SiteMilestoneTracking[[#This Row],[SiteSurveyCompleted_AC]],"-")</f>
        <v>12</v>
      </c>
      <c r="AC61" s="64">
        <f t="shared" si="8"/>
        <v>150</v>
      </c>
      <c r="AD61" s="82">
        <v>135</v>
      </c>
      <c r="AE61" s="63">
        <f>Table_SiteMilestoneTracking[[#This Row],[SiteAcquired_BL]]+t2a_SiteCWReadinessBL</f>
        <v>44028</v>
      </c>
      <c r="AF61" s="85">
        <v>44033</v>
      </c>
      <c r="AG61" s="66">
        <f>IF(ISBLANK(Table_SiteMilestoneTracking[[#This Row],[SiteReadyForCW_AC]])=FALSE,Table_SiteMilestoneTracking[[#This Row],[SiteReadyForCW_AC]]-Table_SiteMilestoneTracking[[#This Row],[SiteReadyForCW_BL]],"-")</f>
        <v>5</v>
      </c>
      <c r="AH61" s="66">
        <f>IF(ISBLANK(Table_SiteMilestoneTracking[[#This Row],[SiteReadyForCW_AC]])=FALSE,Table_SiteMilestoneTracking[[#This Row],[SiteReadyForCW_AC]]-Table_SiteMilestoneTracking[[#This Row],[SiteDesignReady_AC]],"-")</f>
        <v>18</v>
      </c>
      <c r="AI61" s="64">
        <f t="shared" si="9"/>
        <v>1500</v>
      </c>
      <c r="AJ61" s="82">
        <v>1200</v>
      </c>
      <c r="AK61" s="63">
        <f>Table_SiteMilestoneTracking[[#This Row],[SiteReadyForCW_BL]]+t3_CivilWorksBL</f>
        <v>44036</v>
      </c>
      <c r="AL61" s="84">
        <v>44042</v>
      </c>
      <c r="AM61" s="64">
        <f>IF(ISBLANK(Table_SiteMilestoneTracking[[#This Row],[SiteReadyForPower_AC]])=FALSE,Table_SiteMilestoneTracking[[#This Row],[SiteReadyForPower_AC]]-Table_SiteMilestoneTracking[[#This Row],[SiteReadyForPower_BL]],"-")</f>
        <v>6</v>
      </c>
      <c r="AN61" s="64">
        <f>IF(ISBLANK(Table_SiteMilestoneTracking[[#This Row],[SiteReadyForPower_AC]])=FALSE,Table_SiteMilestoneTracking[[#This Row],[SiteReadyForPower_AC]]-Table_SiteMilestoneTracking[[#This Row],[SiteReadyForCW_AC]],"-")</f>
        <v>9</v>
      </c>
      <c r="AO61" s="64">
        <f t="shared" si="10"/>
        <v>500</v>
      </c>
      <c r="AP61" s="82">
        <v>300</v>
      </c>
      <c r="AQ61" s="63">
        <f>Table_SiteMilestoneTracking[[#This Row],[SiteReadyForPower_BL]]+t4_PowerInstallBL</f>
        <v>44041</v>
      </c>
      <c r="AR61" s="84">
        <v>44048</v>
      </c>
      <c r="AS61" s="64">
        <f>IF(ISBLANK(Table_SiteMilestoneTracking[[#This Row],[TXReady_AC]])=FALSE,Table_SiteMilestoneTracking[[#This Row],[TXReady_AC]]-Table_SiteMilestoneTracking[[#This Row],[TXReady_BL]],"-")</f>
        <v>7</v>
      </c>
      <c r="AT61" s="64">
        <f>IF(ISBLANK(Table_SiteMilestoneTracking[[#This Row],[TXReady_AC]])=FALSE,Table_SiteMilestoneTracking[[#This Row],[TXReady_AC]]-Table_SiteMilestoneTracking[[#This Row],[SiteReadyForPower_AC]],"-")</f>
        <v>6</v>
      </c>
      <c r="AU61" s="64">
        <f>$AU$2</f>
        <v>500</v>
      </c>
      <c r="AV61" s="82"/>
      <c r="AW61" s="63">
        <f>Table_SiteMilestoneTracking[[#This Row],[TXReady_BL]]+t5_TxintegrationBL</f>
        <v>44048</v>
      </c>
      <c r="AX61" s="84"/>
      <c r="AY61" s="64" t="str">
        <f>IF(ISBLANK(Table_SiteMilestoneTracking[[#This Row],[SiteReadyForInstallation_AC]])=FALSE,Table_SiteMilestoneTracking[[#This Row],[SiteReadyForInstallation_AC]]-Table_SiteMilestoneTracking[[#This Row],[SiteReadyForInstallation_BL]],"-")</f>
        <v>-</v>
      </c>
      <c r="AZ61" s="64" t="str">
        <f>IF(ISBLANK(Table_SiteMilestoneTracking[[#This Row],[SiteReadyForInstallation_AC]])=FALSE,Table_SiteMilestoneTracking[[#This Row],[SiteReadyForInstallation_AC]]-Table_SiteMilestoneTracking[[#This Row],[TXReady_AC]],"-")</f>
        <v>-</v>
      </c>
      <c r="BA61" s="64">
        <f>$BA$2</f>
        <v>2500</v>
      </c>
      <c r="BB61" s="82"/>
      <c r="BC61" s="63">
        <f>Table_SiteMilestoneTracking[[#This Row],[SiteReadyForInstallation_BL]]+t6_InstallationBL</f>
        <v>44052</v>
      </c>
      <c r="BD61" s="84"/>
      <c r="BE61" s="64" t="str">
        <f>IF(ISBLANK(Table_SiteMilestoneTracking[[#This Row],[SiteReadyForIntegration_AC]])=FALSE,Table_SiteMilestoneTracking[[#This Row],[SiteReadyForIntegration_AC]]-Table_SiteMilestoneTracking[[#This Row],[SiteReadyForIntegration_BL]],"-")</f>
        <v>-</v>
      </c>
      <c r="BF61" s="64" t="str">
        <f>IF(ISBLANK(Table_SiteMilestoneTracking[[#This Row],[SiteReadyForIntegration_AC]])=FALSE,Table_SiteMilestoneTracking[[#This Row],[SiteReadyForIntegration_AC]]-Table_SiteMilestoneTracking[[#This Row],[SiteReadyForInstallation_AC]],"-")</f>
        <v>-</v>
      </c>
      <c r="BG61" s="64">
        <f>$BG$2</f>
        <v>500</v>
      </c>
      <c r="BH61" s="82"/>
      <c r="BI61" s="63">
        <f>Table_SiteMilestoneTracking[[#This Row],[SiteReadyForIntegration_BL]]+t7_IntegrationBL</f>
        <v>44056</v>
      </c>
      <c r="BJ61" s="84"/>
      <c r="BK61" s="64" t="str">
        <f>IF(ISBLANK(Table_SiteMilestoneTracking[[#This Row],[SiteOnAir_AC]])=FALSE,Table_SiteMilestoneTracking[[#This Row],[SiteOnAir_AC]]-Table_SiteMilestoneTracking[[#This Row],[SiteOnAir_BL]],"-")</f>
        <v>-</v>
      </c>
      <c r="BL61" s="64" t="str">
        <f>IF(ISBLANK(Table_SiteMilestoneTracking[[#This Row],[SiteOnAir_AC]])=FALSE,Table_SiteMilestoneTracking[[#This Row],[SiteOnAir_AC]]-Table_SiteMilestoneTracking[[#This Row],[SiteReadyForIntegration_AC]],"-")</f>
        <v>-</v>
      </c>
      <c r="BM61" s="64">
        <f>$BM$2</f>
        <v>250</v>
      </c>
      <c r="BN61" s="82"/>
      <c r="BO61" s="63">
        <f>Table_SiteMilestoneTracking[[#This Row],[SiteOnAir_BL]]+t8_AcceptanceBL</f>
        <v>44060</v>
      </c>
      <c r="BP61" s="84"/>
      <c r="BQ61" s="64" t="str">
        <f>IF(ISBLANK(Table_SiteMilestoneTracking[[#This Row],[SiteAccepted_AC]])=FALSE,Table_SiteMilestoneTracking[[#This Row],[SiteAccepted_AC]]-Table_SiteMilestoneTracking[[#This Row],[SiteAccepted_BL]],"-")</f>
        <v>-</v>
      </c>
      <c r="BR61" s="64" t="str">
        <f>IF(ISBLANK(Table_SiteMilestoneTracking[[#This Row],[SiteAccepted_AC]])=FALSE,Table_SiteMilestoneTracking[[#This Row],[SiteAccepted_AC]]-Table_SiteMilestoneTracking[[#This Row],[SiteOnAir_AC]],"-")</f>
        <v>-</v>
      </c>
      <c r="BS61" s="64">
        <f>$BS$2</f>
        <v>200</v>
      </c>
      <c r="BT61" s="82"/>
      <c r="BU61" s="63">
        <f>Table_SiteMilestoneTracking[[#This Row],[SiteAccepted_BL]]+t9_HandoverBL</f>
        <v>44068</v>
      </c>
      <c r="BV61" s="84"/>
      <c r="BW61" s="64" t="str">
        <f>IF(ISBLANK(Table_SiteMilestoneTracking[[#This Row],[SiteInOperations_AC]])=FALSE,Table_SiteMilestoneTracking[[#This Row],[SiteInOperations_AC]]-Table_SiteMilestoneTracking[[#This Row],[SiteInOperations_BL]],"-")</f>
        <v>-</v>
      </c>
      <c r="BX61" s="66">
        <f>Table_SiteMilestoneTracking[[#This Row],[SiteInOperations_BL]]-Table_SiteMilestoneTracking[[#This Row],[SiteDesignReady_BL]]</f>
        <v>55</v>
      </c>
      <c r="BY61" s="66" t="str">
        <f>IF(Table_SiteMilestoneTracking[[#This Row],[CurrentSiteMilestone]]="SiteInOperations",Table_SiteMilestoneTracking[[#This Row],[SiteInOperations_AC]]-Table_SiteMilestoneTracking[[#This Row],[SiteDesignReady_AC]],"")</f>
        <v/>
      </c>
      <c r="BZ61" s="66" t="str">
        <f>IFERROR(Table_SiteMilestoneTracking[[#This Row],[E2E_Site_AC]]-Table_SiteMilestoneTracking[[#This Row],[E2E_Site_BL]],"")</f>
        <v/>
      </c>
      <c r="CA61" s="66" t="str">
        <f>IF(Table_SiteMilestoneTracking[[#This Row],[CurrentSiteMilestone]]="SiteInOperations",Table_SiteMilestoneTracking[[#This Row],[SiteInOperations_AC]]-Table_SiteMilestoneTracking[[#This Row],[SiteAccepted_AC]],"")</f>
        <v/>
      </c>
      <c r="CB61" s="79"/>
      <c r="CC61" s="89"/>
      <c r="CD61" s="89"/>
      <c r="CE61" s="70"/>
      <c r="CF61" s="70"/>
      <c r="CG61" s="70"/>
      <c r="CH61" s="70"/>
      <c r="CI61" s="70"/>
      <c r="CJ61" s="70"/>
      <c r="CK61" s="70"/>
      <c r="CL61" s="70"/>
      <c r="CM61" s="70"/>
      <c r="CN61" s="70"/>
      <c r="CO61" s="70"/>
      <c r="CP61" s="70"/>
      <c r="CQ61" s="70"/>
      <c r="CR61" s="70"/>
      <c r="CS61" s="70"/>
      <c r="CT61" s="70"/>
      <c r="CU61" s="70"/>
      <c r="CV61" s="70"/>
      <c r="CW61" s="70"/>
      <c r="CX61" s="70"/>
      <c r="CY61" s="70"/>
      <c r="CZ61" s="70"/>
      <c r="DA61" s="70"/>
      <c r="DB61" s="70"/>
      <c r="DC61" s="70"/>
      <c r="DD61" s="70"/>
      <c r="DE61" s="70"/>
      <c r="DF61" s="70"/>
      <c r="DG61" s="70"/>
      <c r="DH61" s="70"/>
      <c r="DI61" s="70"/>
      <c r="DJ61" s="70"/>
      <c r="DK61" s="70"/>
      <c r="DL61" s="70"/>
      <c r="DM61" s="70"/>
      <c r="DN61" s="70"/>
      <c r="DO61" s="70"/>
      <c r="DP61" s="70"/>
      <c r="DQ61" s="70"/>
      <c r="DR61" s="70"/>
      <c r="DS61" s="70"/>
      <c r="DT61" s="70"/>
      <c r="DU61" s="70"/>
      <c r="DV61" s="70"/>
    </row>
    <row r="62" spans="1:126" x14ac:dyDescent="0.3">
      <c r="A62" s="79" t="str">
        <f>'4. Design Tracking Summary'!A63</f>
        <v>AN00231</v>
      </c>
      <c r="B62" s="79" t="str">
        <f>'4. Design Tracking Summary'!B63</f>
        <v>South</v>
      </c>
      <c r="C62" s="79" t="str">
        <f>'4. Design Tracking Summary'!C63</f>
        <v>ZAC</v>
      </c>
      <c r="D62" s="79" t="str">
        <f>'4. Design Tracking Summary'!D63</f>
        <v>MINI</v>
      </c>
      <c r="E62" s="79" t="s">
        <v>57</v>
      </c>
      <c r="F62" s="79"/>
      <c r="G62" s="60" t="str">
        <f>IFERROR(INDEX(Table_SiteMilestonesNames[SiteMilestoneName],COUNTA(Table_SiteMilestoneTracking[[#This Row],[SiteDesignStarted_AC]],Table_SiteMilestoneTracking[[#This Row],[SiteDesignReady_AC]],Table_SiteMilestoneTracking[[#This Row],[SiteSurveyCompleted_AC]],Table_SiteMilestoneTracking[[#This Row],[SiteAcquired_AC]],Table_SiteMilestoneTracking[[#This Row],[SiteReadyForCW_AC]],Table_SiteMilestoneTracking[[#This Row],[SiteReadyForPower_AC]],Table_SiteMilestoneTracking[[#This Row],[TXReady_AC]],Table_SiteMilestoneTracking[[#This Row],[SiteReadyForInstallation_AC]],Table_SiteMilestoneTracking[[#This Row],[SiteReadyForIntegration_AC]],Table_SiteMilestoneTracking[[#This Row],[SiteOnAir_AC]],Table_SiteMilestoneTracking[[#This Row],[SiteAccepted_AC]],Table_SiteMilestoneTracking[[#This Row],[SiteInOperations_AC]])+1),"Invalid Milestone")</f>
        <v>TX_Ready</v>
      </c>
      <c r="H62" s="61">
        <f>Table_SiteMilestoneTracking[[#This Row],[c0_SiteDesignCostBL]]+Table_SiteMilestoneTracking[[#This Row],[c1_SiteSurveyCostBL]]+Table_SiteMilestoneTracking[[#This Row],[c2_SiteAcquisitionCostBL]]+Table_SiteMilestoneTracking[[#This Row],[c3_CivilWorksCostBL]]+Table_SiteMilestoneTracking[[#This Row],[c4_PowerInstallCostBL]]+Table_SiteMilestoneTracking[[#This Row],[c5_TxintegrationCostBL]]+Table_SiteMilestoneTracking[[#This Row],[c6_InstallationCostBL]]+Table_SiteMilestoneTracking[[#This Row],[c7_IntegrationCostBL]]+Table_SiteMilestoneTracking[[#This Row],[c8_AcceptanceCostBL]]+Table_SiteMilestoneTracking[[#This Row],[c9_HandoverCostBL]]</f>
        <v>7550</v>
      </c>
      <c r="I62" s="62">
        <f>Table_SiteMilestoneTracking[[#This Row],[c0_SiteDesignCostAC]]+Table_SiteMilestoneTracking[[#This Row],[c1_SiteSurveyCostAC]]+Table_SiteMilestoneTracking[[#This Row],[c2_SiteAcquisitionCostAC]]+Table_SiteMilestoneTracking[[#This Row],[c3_CivilWorksCostAC]]+Table_SiteMilestoneTracking[[#This Row],[c4_PowerInstallCostAC]]+Table_SiteMilestoneTracking[[#This Row],[c5_TxintegrationCostAC]]+Table_SiteMilestoneTracking[[#This Row],[c6_InstallationCostAC]]+Table_SiteMilestoneTracking[[#This Row],[c7_IntegrationCostAC]]+Table_SiteMilestoneTracking[[#This Row],[c8_AcceptanceCostAC]]+Table_SiteMilestoneTracking[[#This Row],[c9_HandoverCostAC]]</f>
        <v>3065</v>
      </c>
      <c r="J62" s="84">
        <v>44011</v>
      </c>
      <c r="K62" s="84">
        <v>44012</v>
      </c>
      <c r="L62" s="64">
        <f>IF(ISBLANK(Table_SiteMilestoneTracking[[#This Row],[SiteDesignStarted_AC]])=FALSE,Table_SiteMilestoneTracking[[#This Row],[SiteDesignStarted_AC]]-Table_SiteMilestoneTracking[[#This Row],[SiteDesignStarted_BL]],"")</f>
        <v>1</v>
      </c>
      <c r="M62" s="64">
        <f t="shared" si="6"/>
        <v>500</v>
      </c>
      <c r="N62" s="87">
        <v>440</v>
      </c>
      <c r="O62" s="63">
        <f>Table_SiteMilestoneTracking[[#This Row],[SiteDesignStarted_BL]]+t0_SiteDesignDelayBL</f>
        <v>44013</v>
      </c>
      <c r="P62" s="84">
        <v>44014</v>
      </c>
      <c r="Q62" s="64">
        <f>IF(ISBLANK(Table_SiteMilestoneTracking[[#This Row],[SiteDesignReady_AC]])=FALSE,Table_SiteMilestoneTracking[[#This Row],[SiteDesignReady_AC]]-Table_SiteMilestoneTracking[[#This Row],[SiteDesignReady_BL]],"-")</f>
        <v>1</v>
      </c>
      <c r="R62" s="64">
        <f t="shared" si="5"/>
        <v>500</v>
      </c>
      <c r="S62" s="82">
        <v>425</v>
      </c>
      <c r="T62" s="63">
        <f>Table_SiteMilestoneTracking[[#This Row],[SiteDesignReady_BL]]+t1_SiteSurveyBL</f>
        <v>44015</v>
      </c>
      <c r="U62" s="84">
        <v>44016</v>
      </c>
      <c r="V62" s="64">
        <f>IF(ISBLANK(Table_SiteMilestoneTracking[[#This Row],[SiteSurveyCompleted_AC]])=FALSE,Table_SiteMilestoneTracking[[#This Row],[SiteSurveyCompleted_AC]]-Table_SiteMilestoneTracking[[#This Row],[SiteDesignReady_AC]],"-")</f>
        <v>2</v>
      </c>
      <c r="W62" s="64">
        <f t="shared" si="7"/>
        <v>600</v>
      </c>
      <c r="X62" s="82">
        <v>900</v>
      </c>
      <c r="Y62" s="63">
        <f>Table_SiteMilestoneTracking[[#This Row],[SiteSurveyCompleted_BL]]+t2_SiteAcquisitionBL</f>
        <v>44026</v>
      </c>
      <c r="Z62" s="84">
        <v>44027</v>
      </c>
      <c r="AA62" s="65">
        <f>IF(ISBLANK(Table_SiteMilestoneTracking[[#This Row],[SiteAcquired_AC]])=FALSE,Table_SiteMilestoneTracking[[#This Row],[SiteAcquired_AC]]-Table_SiteMilestoneTracking[[#This Row],[SiteAcquired_BL]],"-")</f>
        <v>1</v>
      </c>
      <c r="AB62" s="65">
        <f>IF(ISBLANK(Table_SiteMilestoneTracking[[#This Row],[SiteAcquired_AC]])=FALSE,Table_SiteMilestoneTracking[[#This Row],[SiteAcquired_AC]]-Table_SiteMilestoneTracking[[#This Row],[SiteSurveyCompleted_AC]],"-")</f>
        <v>11</v>
      </c>
      <c r="AC62" s="64">
        <f t="shared" si="8"/>
        <v>150</v>
      </c>
      <c r="AD62" s="82">
        <v>120</v>
      </c>
      <c r="AE62" s="63">
        <f>Table_SiteMilestoneTracking[[#This Row],[SiteAcquired_BL]]+t2a_SiteCWReadinessBL</f>
        <v>44028</v>
      </c>
      <c r="AF62" s="85">
        <v>44029</v>
      </c>
      <c r="AG62" s="66">
        <f>IF(ISBLANK(Table_SiteMilestoneTracking[[#This Row],[SiteReadyForCW_AC]])=FALSE,Table_SiteMilestoneTracking[[#This Row],[SiteReadyForCW_AC]]-Table_SiteMilestoneTracking[[#This Row],[SiteReadyForCW_BL]],"-")</f>
        <v>1</v>
      </c>
      <c r="AH62" s="66">
        <f>IF(ISBLANK(Table_SiteMilestoneTracking[[#This Row],[SiteReadyForCW_AC]])=FALSE,Table_SiteMilestoneTracking[[#This Row],[SiteReadyForCW_AC]]-Table_SiteMilestoneTracking[[#This Row],[SiteDesignReady_AC]],"-")</f>
        <v>15</v>
      </c>
      <c r="AI62" s="64">
        <f t="shared" si="9"/>
        <v>1500</v>
      </c>
      <c r="AJ62" s="82">
        <v>1050</v>
      </c>
      <c r="AK62" s="63">
        <f>Table_SiteMilestoneTracking[[#This Row],[SiteReadyForCW_BL]]+t3_CivilWorksBL</f>
        <v>44036</v>
      </c>
      <c r="AL62" s="84">
        <v>44037</v>
      </c>
      <c r="AM62" s="64">
        <f>IF(ISBLANK(Table_SiteMilestoneTracking[[#This Row],[SiteReadyForPower_AC]])=FALSE,Table_SiteMilestoneTracking[[#This Row],[SiteReadyForPower_AC]]-Table_SiteMilestoneTracking[[#This Row],[SiteReadyForPower_BL]],"-")</f>
        <v>1</v>
      </c>
      <c r="AN62" s="64">
        <f>IF(ISBLANK(Table_SiteMilestoneTracking[[#This Row],[SiteReadyForPower_AC]])=FALSE,Table_SiteMilestoneTracking[[#This Row],[SiteReadyForPower_AC]]-Table_SiteMilestoneTracking[[#This Row],[SiteReadyForCW_AC]],"-")</f>
        <v>8</v>
      </c>
      <c r="AO62" s="64">
        <f t="shared" si="10"/>
        <v>500</v>
      </c>
      <c r="AP62" s="82">
        <v>250</v>
      </c>
      <c r="AQ62" s="63">
        <f>Table_SiteMilestoneTracking[[#This Row],[SiteReadyForPower_BL]]+t4_PowerInstallBL</f>
        <v>44041</v>
      </c>
      <c r="AR62" s="84">
        <v>44042</v>
      </c>
      <c r="AS62" s="64">
        <f>IF(ISBLANK(Table_SiteMilestoneTracking[[#This Row],[TXReady_AC]])=FALSE,Table_SiteMilestoneTracking[[#This Row],[TXReady_AC]]-Table_SiteMilestoneTracking[[#This Row],[TXReady_BL]],"-")</f>
        <v>1</v>
      </c>
      <c r="AT62" s="64">
        <f>IF(ISBLANK(Table_SiteMilestoneTracking[[#This Row],[TXReady_AC]])=FALSE,Table_SiteMilestoneTracking[[#This Row],[TXReady_AC]]-Table_SiteMilestoneTracking[[#This Row],[SiteReadyForPower_AC]],"-")</f>
        <v>5</v>
      </c>
      <c r="AU62" s="64">
        <f>$AU$2</f>
        <v>500</v>
      </c>
      <c r="AV62" s="82"/>
      <c r="AW62" s="63">
        <f>Table_SiteMilestoneTracking[[#This Row],[TXReady_BL]]+t5_TxintegrationBL</f>
        <v>44048</v>
      </c>
      <c r="AX62" s="84"/>
      <c r="AY62" s="64" t="str">
        <f>IF(ISBLANK(Table_SiteMilestoneTracking[[#This Row],[SiteReadyForInstallation_AC]])=FALSE,Table_SiteMilestoneTracking[[#This Row],[SiteReadyForInstallation_AC]]-Table_SiteMilestoneTracking[[#This Row],[SiteReadyForInstallation_BL]],"-")</f>
        <v>-</v>
      </c>
      <c r="AZ62" s="64" t="str">
        <f>IF(ISBLANK(Table_SiteMilestoneTracking[[#This Row],[SiteReadyForInstallation_AC]])=FALSE,Table_SiteMilestoneTracking[[#This Row],[SiteReadyForInstallation_AC]]-Table_SiteMilestoneTracking[[#This Row],[TXReady_AC]],"-")</f>
        <v>-</v>
      </c>
      <c r="BA62" s="64">
        <f>$BA$2</f>
        <v>2500</v>
      </c>
      <c r="BB62" s="82"/>
      <c r="BC62" s="63">
        <f>Table_SiteMilestoneTracking[[#This Row],[SiteReadyForInstallation_BL]]+t6_InstallationBL</f>
        <v>44052</v>
      </c>
      <c r="BD62" s="84"/>
      <c r="BE62" s="64" t="str">
        <f>IF(ISBLANK(Table_SiteMilestoneTracking[[#This Row],[SiteReadyForIntegration_AC]])=FALSE,Table_SiteMilestoneTracking[[#This Row],[SiteReadyForIntegration_AC]]-Table_SiteMilestoneTracking[[#This Row],[SiteReadyForIntegration_BL]],"-")</f>
        <v>-</v>
      </c>
      <c r="BF62" s="64" t="str">
        <f>IF(ISBLANK(Table_SiteMilestoneTracking[[#This Row],[SiteReadyForIntegration_AC]])=FALSE,Table_SiteMilestoneTracking[[#This Row],[SiteReadyForIntegration_AC]]-Table_SiteMilestoneTracking[[#This Row],[SiteReadyForInstallation_AC]],"-")</f>
        <v>-</v>
      </c>
      <c r="BG62" s="64">
        <f>$BG$2</f>
        <v>500</v>
      </c>
      <c r="BH62" s="82"/>
      <c r="BI62" s="63">
        <f>Table_SiteMilestoneTracking[[#This Row],[SiteReadyForIntegration_BL]]+t7_IntegrationBL</f>
        <v>44056</v>
      </c>
      <c r="BJ62" s="84"/>
      <c r="BK62" s="64" t="str">
        <f>IF(ISBLANK(Table_SiteMilestoneTracking[[#This Row],[SiteOnAir_AC]])=FALSE,Table_SiteMilestoneTracking[[#This Row],[SiteOnAir_AC]]-Table_SiteMilestoneTracking[[#This Row],[SiteOnAir_BL]],"-")</f>
        <v>-</v>
      </c>
      <c r="BL62" s="64" t="str">
        <f>IF(ISBLANK(Table_SiteMilestoneTracking[[#This Row],[SiteOnAir_AC]])=FALSE,Table_SiteMilestoneTracking[[#This Row],[SiteOnAir_AC]]-Table_SiteMilestoneTracking[[#This Row],[SiteReadyForIntegration_AC]],"-")</f>
        <v>-</v>
      </c>
      <c r="BM62" s="64">
        <f>$BM$2</f>
        <v>250</v>
      </c>
      <c r="BN62" s="82"/>
      <c r="BO62" s="63">
        <f>Table_SiteMilestoneTracking[[#This Row],[SiteOnAir_BL]]+t8_AcceptanceBL</f>
        <v>44060</v>
      </c>
      <c r="BP62" s="84"/>
      <c r="BQ62" s="64" t="str">
        <f>IF(ISBLANK(Table_SiteMilestoneTracking[[#This Row],[SiteAccepted_AC]])=FALSE,Table_SiteMilestoneTracking[[#This Row],[SiteAccepted_AC]]-Table_SiteMilestoneTracking[[#This Row],[SiteAccepted_BL]],"-")</f>
        <v>-</v>
      </c>
      <c r="BR62" s="64" t="str">
        <f>IF(ISBLANK(Table_SiteMilestoneTracking[[#This Row],[SiteAccepted_AC]])=FALSE,Table_SiteMilestoneTracking[[#This Row],[SiteAccepted_AC]]-Table_SiteMilestoneTracking[[#This Row],[SiteOnAir_AC]],"-")</f>
        <v>-</v>
      </c>
      <c r="BS62" s="64">
        <f>$BS$2</f>
        <v>200</v>
      </c>
      <c r="BT62" s="82"/>
      <c r="BU62" s="63">
        <f>Table_SiteMilestoneTracking[[#This Row],[SiteAccepted_BL]]+t9_HandoverBL</f>
        <v>44068</v>
      </c>
      <c r="BV62" s="84"/>
      <c r="BW62" s="64" t="str">
        <f>IF(ISBLANK(Table_SiteMilestoneTracking[[#This Row],[SiteInOperations_AC]])=FALSE,Table_SiteMilestoneTracking[[#This Row],[SiteInOperations_AC]]-Table_SiteMilestoneTracking[[#This Row],[SiteInOperations_BL]],"-")</f>
        <v>-</v>
      </c>
      <c r="BX62" s="66">
        <f>Table_SiteMilestoneTracking[[#This Row],[SiteInOperations_BL]]-Table_SiteMilestoneTracking[[#This Row],[SiteDesignReady_BL]]</f>
        <v>55</v>
      </c>
      <c r="BY62" s="66" t="str">
        <f>IF(Table_SiteMilestoneTracking[[#This Row],[CurrentSiteMilestone]]="SiteInOperations",Table_SiteMilestoneTracking[[#This Row],[SiteInOperations_AC]]-Table_SiteMilestoneTracking[[#This Row],[SiteDesignReady_AC]],"")</f>
        <v/>
      </c>
      <c r="BZ62" s="66" t="str">
        <f>IFERROR(Table_SiteMilestoneTracking[[#This Row],[E2E_Site_AC]]-Table_SiteMilestoneTracking[[#This Row],[E2E_Site_BL]],"")</f>
        <v/>
      </c>
      <c r="CA62" s="66" t="str">
        <f>IF(Table_SiteMilestoneTracking[[#This Row],[CurrentSiteMilestone]]="SiteInOperations",Table_SiteMilestoneTracking[[#This Row],[SiteInOperations_AC]]-Table_SiteMilestoneTracking[[#This Row],[SiteAccepted_AC]],"")</f>
        <v/>
      </c>
      <c r="CB62" s="79"/>
      <c r="CC62" s="89"/>
      <c r="CD62" s="89"/>
      <c r="CE62" s="70"/>
      <c r="CF62" s="70"/>
      <c r="CG62" s="70"/>
      <c r="CH62" s="70"/>
      <c r="CI62" s="70"/>
      <c r="CJ62" s="70"/>
      <c r="CK62" s="70"/>
      <c r="CL62" s="70"/>
      <c r="CM62" s="70"/>
      <c r="CN62" s="70"/>
      <c r="CO62" s="70"/>
      <c r="CP62" s="70"/>
      <c r="CQ62" s="70"/>
      <c r="CR62" s="70"/>
      <c r="CS62" s="70"/>
      <c r="CT62" s="70"/>
      <c r="CU62" s="70"/>
      <c r="CV62" s="70"/>
      <c r="CW62" s="70"/>
      <c r="CX62" s="70"/>
      <c r="CY62" s="70"/>
      <c r="CZ62" s="70"/>
      <c r="DA62" s="70"/>
      <c r="DB62" s="70"/>
      <c r="DC62" s="70"/>
      <c r="DD62" s="70"/>
      <c r="DE62" s="70"/>
      <c r="DF62" s="70"/>
      <c r="DG62" s="70"/>
      <c r="DH62" s="70"/>
      <c r="DI62" s="70"/>
      <c r="DJ62" s="70"/>
      <c r="DK62" s="70"/>
      <c r="DL62" s="70"/>
      <c r="DM62" s="70"/>
      <c r="DN62" s="70"/>
      <c r="DO62" s="70"/>
      <c r="DP62" s="70"/>
      <c r="DQ62" s="70"/>
      <c r="DR62" s="70"/>
      <c r="DS62" s="70"/>
      <c r="DT62" s="70"/>
      <c r="DU62" s="70"/>
      <c r="DV62" s="70"/>
    </row>
    <row r="63" spans="1:126" x14ac:dyDescent="0.3">
      <c r="A63" s="79" t="str">
        <f>'4. Design Tracking Summary'!A64</f>
        <v>AN00262</v>
      </c>
      <c r="B63" s="79" t="str">
        <f>'4. Design Tracking Summary'!B64</f>
        <v>South</v>
      </c>
      <c r="C63" s="79" t="str">
        <f>'4. Design Tracking Summary'!C64</f>
        <v>GTO</v>
      </c>
      <c r="D63" s="79" t="str">
        <f>'4. Design Tracking Summary'!D64</f>
        <v>SMALL</v>
      </c>
      <c r="E63" s="79" t="s">
        <v>58</v>
      </c>
      <c r="F63" s="79"/>
      <c r="G63" s="60" t="str">
        <f>IFERROR(INDEX(Table_SiteMilestonesNames[SiteMilestoneName],COUNTA(Table_SiteMilestoneTracking[[#This Row],[SiteDesignStarted_AC]],Table_SiteMilestoneTracking[[#This Row],[SiteDesignReady_AC]],Table_SiteMilestoneTracking[[#This Row],[SiteSurveyCompleted_AC]],Table_SiteMilestoneTracking[[#This Row],[SiteAcquired_AC]],Table_SiteMilestoneTracking[[#This Row],[SiteReadyForCW_AC]],Table_SiteMilestoneTracking[[#This Row],[SiteReadyForPower_AC]],Table_SiteMilestoneTracking[[#This Row],[TXReady_AC]],Table_SiteMilestoneTracking[[#This Row],[SiteReadyForInstallation_AC]],Table_SiteMilestoneTracking[[#This Row],[SiteReadyForIntegration_AC]],Table_SiteMilestoneTracking[[#This Row],[SiteOnAir_AC]],Table_SiteMilestoneTracking[[#This Row],[SiteAccepted_AC]],Table_SiteMilestoneTracking[[#This Row],[SiteInOperations_AC]])+1),"Invalid Milestone")</f>
        <v>TX_Ready</v>
      </c>
      <c r="H63" s="61">
        <f>Table_SiteMilestoneTracking[[#This Row],[c0_SiteDesignCostBL]]+Table_SiteMilestoneTracking[[#This Row],[c1_SiteSurveyCostBL]]+Table_SiteMilestoneTracking[[#This Row],[c2_SiteAcquisitionCostBL]]+Table_SiteMilestoneTracking[[#This Row],[c3_CivilWorksCostBL]]+Table_SiteMilestoneTracking[[#This Row],[c4_PowerInstallCostBL]]+Table_SiteMilestoneTracking[[#This Row],[c5_TxintegrationCostBL]]+Table_SiteMilestoneTracking[[#This Row],[c6_InstallationCostBL]]+Table_SiteMilestoneTracking[[#This Row],[c7_IntegrationCostBL]]+Table_SiteMilestoneTracking[[#This Row],[c8_AcceptanceCostBL]]+Table_SiteMilestoneTracking[[#This Row],[c9_HandoverCostBL]]</f>
        <v>7550</v>
      </c>
      <c r="I63" s="62">
        <f>Table_SiteMilestoneTracking[[#This Row],[c0_SiteDesignCostAC]]+Table_SiteMilestoneTracking[[#This Row],[c1_SiteSurveyCostAC]]+Table_SiteMilestoneTracking[[#This Row],[c2_SiteAcquisitionCostAC]]+Table_SiteMilestoneTracking[[#This Row],[c3_CivilWorksCostAC]]+Table_SiteMilestoneTracking[[#This Row],[c4_PowerInstallCostAC]]+Table_SiteMilestoneTracking[[#This Row],[c5_TxintegrationCostAC]]+Table_SiteMilestoneTracking[[#This Row],[c6_InstallationCostAC]]+Table_SiteMilestoneTracking[[#This Row],[c7_IntegrationCostAC]]+Table_SiteMilestoneTracking[[#This Row],[c8_AcceptanceCostAC]]+Table_SiteMilestoneTracking[[#This Row],[c9_HandoverCostAC]]</f>
        <v>4025</v>
      </c>
      <c r="J63" s="84">
        <v>44011</v>
      </c>
      <c r="K63" s="84">
        <v>44012</v>
      </c>
      <c r="L63" s="64">
        <f>IF(ISBLANK(Table_SiteMilestoneTracking[[#This Row],[SiteDesignStarted_AC]])=FALSE,Table_SiteMilestoneTracking[[#This Row],[SiteDesignStarted_AC]]-Table_SiteMilestoneTracking[[#This Row],[SiteDesignStarted_BL]],"")</f>
        <v>1</v>
      </c>
      <c r="M63" s="64">
        <f t="shared" si="6"/>
        <v>500</v>
      </c>
      <c r="N63" s="87">
        <v>420</v>
      </c>
      <c r="O63" s="63">
        <f>Table_SiteMilestoneTracking[[#This Row],[SiteDesignStarted_BL]]+t0_SiteDesignDelayBL</f>
        <v>44013</v>
      </c>
      <c r="P63" s="84">
        <v>44015</v>
      </c>
      <c r="Q63" s="64">
        <f>IF(ISBLANK(Table_SiteMilestoneTracking[[#This Row],[SiteDesignReady_AC]])=FALSE,Table_SiteMilestoneTracking[[#This Row],[SiteDesignReady_AC]]-Table_SiteMilestoneTracking[[#This Row],[SiteDesignReady_BL]],"-")</f>
        <v>2</v>
      </c>
      <c r="R63" s="64">
        <f t="shared" si="5"/>
        <v>500</v>
      </c>
      <c r="S63" s="82">
        <v>775</v>
      </c>
      <c r="T63" s="63">
        <f>Table_SiteMilestoneTracking[[#This Row],[SiteDesignReady_BL]]+t1_SiteSurveyBL</f>
        <v>44015</v>
      </c>
      <c r="U63" s="84">
        <v>44017</v>
      </c>
      <c r="V63" s="64">
        <f>IF(ISBLANK(Table_SiteMilestoneTracking[[#This Row],[SiteSurveyCompleted_AC]])=FALSE,Table_SiteMilestoneTracking[[#This Row],[SiteSurveyCompleted_AC]]-Table_SiteMilestoneTracking[[#This Row],[SiteDesignReady_AC]],"-")</f>
        <v>2</v>
      </c>
      <c r="W63" s="64">
        <f t="shared" si="7"/>
        <v>600</v>
      </c>
      <c r="X63" s="82">
        <v>780</v>
      </c>
      <c r="Y63" s="63">
        <f>Table_SiteMilestoneTracking[[#This Row],[SiteSurveyCompleted_BL]]+t2_SiteAcquisitionBL</f>
        <v>44026</v>
      </c>
      <c r="Z63" s="84">
        <v>44029</v>
      </c>
      <c r="AA63" s="65">
        <f>IF(ISBLANK(Table_SiteMilestoneTracking[[#This Row],[SiteAcquired_AC]])=FALSE,Table_SiteMilestoneTracking[[#This Row],[SiteAcquired_AC]]-Table_SiteMilestoneTracking[[#This Row],[SiteAcquired_BL]],"-")</f>
        <v>3</v>
      </c>
      <c r="AB63" s="65">
        <f>IF(ISBLANK(Table_SiteMilestoneTracking[[#This Row],[SiteAcquired_AC]])=FALSE,Table_SiteMilestoneTracking[[#This Row],[SiteAcquired_AC]]-Table_SiteMilestoneTracking[[#This Row],[SiteSurveyCompleted_AC]],"-")</f>
        <v>12</v>
      </c>
      <c r="AC63" s="64">
        <f t="shared" si="8"/>
        <v>150</v>
      </c>
      <c r="AD63" s="82">
        <v>135</v>
      </c>
      <c r="AE63" s="63">
        <f>Table_SiteMilestoneTracking[[#This Row],[SiteAcquired_BL]]+t2a_SiteCWReadinessBL</f>
        <v>44028</v>
      </c>
      <c r="AF63" s="85">
        <v>44031</v>
      </c>
      <c r="AG63" s="66">
        <f>IF(ISBLANK(Table_SiteMilestoneTracking[[#This Row],[SiteReadyForCW_AC]])=FALSE,Table_SiteMilestoneTracking[[#This Row],[SiteReadyForCW_AC]]-Table_SiteMilestoneTracking[[#This Row],[SiteReadyForCW_BL]],"-")</f>
        <v>3</v>
      </c>
      <c r="AH63" s="66">
        <f>IF(ISBLANK(Table_SiteMilestoneTracking[[#This Row],[SiteReadyForCW_AC]])=FALSE,Table_SiteMilestoneTracking[[#This Row],[SiteReadyForCW_AC]]-Table_SiteMilestoneTracking[[#This Row],[SiteDesignReady_AC]],"-")</f>
        <v>16</v>
      </c>
      <c r="AI63" s="64">
        <f t="shared" si="9"/>
        <v>1500</v>
      </c>
      <c r="AJ63" s="82">
        <v>1800</v>
      </c>
      <c r="AK63" s="63">
        <f>Table_SiteMilestoneTracking[[#This Row],[SiteReadyForCW_BL]]+t3_CivilWorksBL</f>
        <v>44036</v>
      </c>
      <c r="AL63" s="84">
        <v>44037</v>
      </c>
      <c r="AM63" s="64">
        <f>IF(ISBLANK(Table_SiteMilestoneTracking[[#This Row],[SiteReadyForPower_AC]])=FALSE,Table_SiteMilestoneTracking[[#This Row],[SiteReadyForPower_AC]]-Table_SiteMilestoneTracking[[#This Row],[SiteReadyForPower_BL]],"-")</f>
        <v>1</v>
      </c>
      <c r="AN63" s="64">
        <f>IF(ISBLANK(Table_SiteMilestoneTracking[[#This Row],[SiteReadyForPower_AC]])=FALSE,Table_SiteMilestoneTracking[[#This Row],[SiteReadyForPower_AC]]-Table_SiteMilestoneTracking[[#This Row],[SiteReadyForCW_AC]],"-")</f>
        <v>6</v>
      </c>
      <c r="AO63" s="64">
        <f t="shared" si="10"/>
        <v>500</v>
      </c>
      <c r="AP63" s="82">
        <v>250</v>
      </c>
      <c r="AQ63" s="63">
        <f>Table_SiteMilestoneTracking[[#This Row],[SiteReadyForPower_BL]]+t4_PowerInstallBL</f>
        <v>44041</v>
      </c>
      <c r="AR63" s="84">
        <v>44058</v>
      </c>
      <c r="AS63" s="64">
        <f>IF(ISBLANK(Table_SiteMilestoneTracking[[#This Row],[TXReady_AC]])=FALSE,Table_SiteMilestoneTracking[[#This Row],[TXReady_AC]]-Table_SiteMilestoneTracking[[#This Row],[TXReady_BL]],"-")</f>
        <v>17</v>
      </c>
      <c r="AT63" s="64">
        <f>IF(ISBLANK(Table_SiteMilestoneTracking[[#This Row],[TXReady_AC]])=FALSE,Table_SiteMilestoneTracking[[#This Row],[TXReady_AC]]-Table_SiteMilestoneTracking[[#This Row],[SiteReadyForPower_AC]],"-")</f>
        <v>21</v>
      </c>
      <c r="AU63" s="64">
        <f>$AU$2</f>
        <v>500</v>
      </c>
      <c r="AV63" s="82"/>
      <c r="AW63" s="63">
        <f>Table_SiteMilestoneTracking[[#This Row],[TXReady_BL]]+t5_TxintegrationBL</f>
        <v>44048</v>
      </c>
      <c r="AX63" s="84"/>
      <c r="AY63" s="64" t="str">
        <f>IF(ISBLANK(Table_SiteMilestoneTracking[[#This Row],[SiteReadyForInstallation_AC]])=FALSE,Table_SiteMilestoneTracking[[#This Row],[SiteReadyForInstallation_AC]]-Table_SiteMilestoneTracking[[#This Row],[SiteReadyForInstallation_BL]],"-")</f>
        <v>-</v>
      </c>
      <c r="AZ63" s="64" t="str">
        <f>IF(ISBLANK(Table_SiteMilestoneTracking[[#This Row],[SiteReadyForInstallation_AC]])=FALSE,Table_SiteMilestoneTracking[[#This Row],[SiteReadyForInstallation_AC]]-Table_SiteMilestoneTracking[[#This Row],[TXReady_AC]],"-")</f>
        <v>-</v>
      </c>
      <c r="BA63" s="64">
        <f>$BA$2</f>
        <v>2500</v>
      </c>
      <c r="BB63" s="82"/>
      <c r="BC63" s="63">
        <f>Table_SiteMilestoneTracking[[#This Row],[SiteReadyForInstallation_BL]]+t6_InstallationBL</f>
        <v>44052</v>
      </c>
      <c r="BD63" s="84"/>
      <c r="BE63" s="64" t="str">
        <f>IF(ISBLANK(Table_SiteMilestoneTracking[[#This Row],[SiteReadyForIntegration_AC]])=FALSE,Table_SiteMilestoneTracking[[#This Row],[SiteReadyForIntegration_AC]]-Table_SiteMilestoneTracking[[#This Row],[SiteReadyForIntegration_BL]],"-")</f>
        <v>-</v>
      </c>
      <c r="BF63" s="64" t="str">
        <f>IF(ISBLANK(Table_SiteMilestoneTracking[[#This Row],[SiteReadyForIntegration_AC]])=FALSE,Table_SiteMilestoneTracking[[#This Row],[SiteReadyForIntegration_AC]]-Table_SiteMilestoneTracking[[#This Row],[SiteReadyForInstallation_AC]],"-")</f>
        <v>-</v>
      </c>
      <c r="BG63" s="64">
        <f>$BG$2</f>
        <v>500</v>
      </c>
      <c r="BH63" s="82"/>
      <c r="BI63" s="63">
        <f>Table_SiteMilestoneTracking[[#This Row],[SiteReadyForIntegration_BL]]+t7_IntegrationBL</f>
        <v>44056</v>
      </c>
      <c r="BJ63" s="84"/>
      <c r="BK63" s="64" t="str">
        <f>IF(ISBLANK(Table_SiteMilestoneTracking[[#This Row],[SiteOnAir_AC]])=FALSE,Table_SiteMilestoneTracking[[#This Row],[SiteOnAir_AC]]-Table_SiteMilestoneTracking[[#This Row],[SiteOnAir_BL]],"-")</f>
        <v>-</v>
      </c>
      <c r="BL63" s="64" t="str">
        <f>IF(ISBLANK(Table_SiteMilestoneTracking[[#This Row],[SiteOnAir_AC]])=FALSE,Table_SiteMilestoneTracking[[#This Row],[SiteOnAir_AC]]-Table_SiteMilestoneTracking[[#This Row],[SiteReadyForIntegration_AC]],"-")</f>
        <v>-</v>
      </c>
      <c r="BM63" s="64">
        <f>$BM$2</f>
        <v>250</v>
      </c>
      <c r="BN63" s="82"/>
      <c r="BO63" s="63">
        <f>Table_SiteMilestoneTracking[[#This Row],[SiteOnAir_BL]]+t8_AcceptanceBL</f>
        <v>44060</v>
      </c>
      <c r="BP63" s="84"/>
      <c r="BQ63" s="64" t="str">
        <f>IF(ISBLANK(Table_SiteMilestoneTracking[[#This Row],[SiteAccepted_AC]])=FALSE,Table_SiteMilestoneTracking[[#This Row],[SiteAccepted_AC]]-Table_SiteMilestoneTracking[[#This Row],[SiteAccepted_BL]],"-")</f>
        <v>-</v>
      </c>
      <c r="BR63" s="64" t="str">
        <f>IF(ISBLANK(Table_SiteMilestoneTracking[[#This Row],[SiteAccepted_AC]])=FALSE,Table_SiteMilestoneTracking[[#This Row],[SiteAccepted_AC]]-Table_SiteMilestoneTracking[[#This Row],[SiteOnAir_AC]],"-")</f>
        <v>-</v>
      </c>
      <c r="BS63" s="64">
        <f>$BS$2</f>
        <v>200</v>
      </c>
      <c r="BT63" s="82"/>
      <c r="BU63" s="63">
        <f>Table_SiteMilestoneTracking[[#This Row],[SiteAccepted_BL]]+t9_HandoverBL</f>
        <v>44068</v>
      </c>
      <c r="BV63" s="84"/>
      <c r="BW63" s="64" t="str">
        <f>IF(ISBLANK(Table_SiteMilestoneTracking[[#This Row],[SiteInOperations_AC]])=FALSE,Table_SiteMilestoneTracking[[#This Row],[SiteInOperations_AC]]-Table_SiteMilestoneTracking[[#This Row],[SiteInOperations_BL]],"-")</f>
        <v>-</v>
      </c>
      <c r="BX63" s="66">
        <f>Table_SiteMilestoneTracking[[#This Row],[SiteInOperations_BL]]-Table_SiteMilestoneTracking[[#This Row],[SiteDesignReady_BL]]</f>
        <v>55</v>
      </c>
      <c r="BY63" s="66" t="str">
        <f>IF(Table_SiteMilestoneTracking[[#This Row],[CurrentSiteMilestone]]="SiteInOperations",Table_SiteMilestoneTracking[[#This Row],[SiteInOperations_AC]]-Table_SiteMilestoneTracking[[#This Row],[SiteDesignReady_AC]],"")</f>
        <v/>
      </c>
      <c r="BZ63" s="66" t="str">
        <f>IFERROR(Table_SiteMilestoneTracking[[#This Row],[E2E_Site_AC]]-Table_SiteMilestoneTracking[[#This Row],[E2E_Site_BL]],"")</f>
        <v/>
      </c>
      <c r="CA63" s="66" t="str">
        <f>IF(Table_SiteMilestoneTracking[[#This Row],[CurrentSiteMilestone]]="SiteInOperations",Table_SiteMilestoneTracking[[#This Row],[SiteInOperations_AC]]-Table_SiteMilestoneTracking[[#This Row],[SiteAccepted_AC]],"")</f>
        <v/>
      </c>
      <c r="CB63" s="79"/>
      <c r="CC63" s="89"/>
      <c r="CD63" s="89"/>
      <c r="CE63" s="70"/>
      <c r="CF63" s="70"/>
      <c r="CG63" s="70"/>
      <c r="CH63" s="70"/>
      <c r="CI63" s="70"/>
      <c r="CJ63" s="70"/>
      <c r="CK63" s="70"/>
      <c r="CL63" s="70"/>
      <c r="CM63" s="70"/>
      <c r="CN63" s="70"/>
      <c r="CO63" s="70"/>
      <c r="CP63" s="70"/>
      <c r="CQ63" s="70"/>
      <c r="CR63" s="70"/>
      <c r="CS63" s="70"/>
      <c r="CT63" s="70"/>
      <c r="CU63" s="70"/>
      <c r="CV63" s="70"/>
      <c r="CW63" s="70"/>
      <c r="CX63" s="70"/>
      <c r="CY63" s="70"/>
      <c r="CZ63" s="70"/>
      <c r="DA63" s="70"/>
      <c r="DB63" s="70"/>
      <c r="DC63" s="70"/>
      <c r="DD63" s="70"/>
      <c r="DE63" s="70"/>
      <c r="DF63" s="70"/>
      <c r="DG63" s="70"/>
      <c r="DH63" s="70"/>
      <c r="DI63" s="70"/>
      <c r="DJ63" s="70"/>
      <c r="DK63" s="70"/>
      <c r="DL63" s="70"/>
      <c r="DM63" s="70"/>
      <c r="DN63" s="70"/>
      <c r="DO63" s="70"/>
      <c r="DP63" s="70"/>
      <c r="DQ63" s="70"/>
      <c r="DR63" s="70"/>
      <c r="DS63" s="70"/>
      <c r="DT63" s="70"/>
      <c r="DU63" s="70"/>
      <c r="DV63" s="70"/>
    </row>
    <row r="64" spans="1:126" x14ac:dyDescent="0.3">
      <c r="A64" s="79" t="str">
        <f>'4. Design Tracking Summary'!A65</f>
        <v>PI00256</v>
      </c>
      <c r="B64" s="79" t="str">
        <f>'4. Design Tracking Summary'!B65</f>
        <v>North</v>
      </c>
      <c r="C64" s="79" t="str">
        <f>'4. Design Tracking Summary'!C65</f>
        <v>QRO</v>
      </c>
      <c r="D64" s="79" t="str">
        <f>'4. Design Tracking Summary'!D65</f>
        <v>MACRO</v>
      </c>
      <c r="E64" s="79" t="s">
        <v>58</v>
      </c>
      <c r="F64" s="79"/>
      <c r="G64" s="60" t="str">
        <f>IFERROR(INDEX(Table_SiteMilestonesNames[SiteMilestoneName],COUNTA(Table_SiteMilestoneTracking[[#This Row],[SiteDesignStarted_AC]],Table_SiteMilestoneTracking[[#This Row],[SiteDesignReady_AC]],Table_SiteMilestoneTracking[[#This Row],[SiteSurveyCompleted_AC]],Table_SiteMilestoneTracking[[#This Row],[SiteAcquired_AC]],Table_SiteMilestoneTracking[[#This Row],[SiteReadyForCW_AC]],Table_SiteMilestoneTracking[[#This Row],[SiteReadyForPower_AC]],Table_SiteMilestoneTracking[[#This Row],[TXReady_AC]],Table_SiteMilestoneTracking[[#This Row],[SiteReadyForInstallation_AC]],Table_SiteMilestoneTracking[[#This Row],[SiteReadyForIntegration_AC]],Table_SiteMilestoneTracking[[#This Row],[SiteOnAir_AC]],Table_SiteMilestoneTracking[[#This Row],[SiteAccepted_AC]],Table_SiteMilestoneTracking[[#This Row],[SiteInOperations_AC]])+1),"Invalid Milestone")</f>
        <v>SiteReadyForPower</v>
      </c>
      <c r="H64" s="61">
        <f>Table_SiteMilestoneTracking[[#This Row],[c0_SiteDesignCostBL]]+Table_SiteMilestoneTracking[[#This Row],[c1_SiteSurveyCostBL]]+Table_SiteMilestoneTracking[[#This Row],[c2_SiteAcquisitionCostBL]]+Table_SiteMilestoneTracking[[#This Row],[c3_CivilWorksCostBL]]+Table_SiteMilestoneTracking[[#This Row],[c4_PowerInstallCostBL]]+Table_SiteMilestoneTracking[[#This Row],[c5_TxintegrationCostBL]]+Table_SiteMilestoneTracking[[#This Row],[c6_InstallationCostBL]]+Table_SiteMilestoneTracking[[#This Row],[c7_IntegrationCostBL]]+Table_SiteMilestoneTracking[[#This Row],[c8_AcceptanceCostBL]]+Table_SiteMilestoneTracking[[#This Row],[c9_HandoverCostBL]]</f>
        <v>7550</v>
      </c>
      <c r="I64" s="62">
        <f>Table_SiteMilestoneTracking[[#This Row],[c0_SiteDesignCostAC]]+Table_SiteMilestoneTracking[[#This Row],[c1_SiteSurveyCostAC]]+Table_SiteMilestoneTracking[[#This Row],[c2_SiteAcquisitionCostAC]]+Table_SiteMilestoneTracking[[#This Row],[c3_CivilWorksCostAC]]+Table_SiteMilestoneTracking[[#This Row],[c4_PowerInstallCostAC]]+Table_SiteMilestoneTracking[[#This Row],[c5_TxintegrationCostAC]]+Table_SiteMilestoneTracking[[#This Row],[c6_InstallationCostAC]]+Table_SiteMilestoneTracking[[#This Row],[c7_IntegrationCostAC]]+Table_SiteMilestoneTracking[[#This Row],[c8_AcceptanceCostAC]]+Table_SiteMilestoneTracking[[#This Row],[c9_HandoverCostAC]]</f>
        <v>4075</v>
      </c>
      <c r="J64" s="84">
        <v>44011</v>
      </c>
      <c r="K64" s="84">
        <v>44012</v>
      </c>
      <c r="L64" s="64">
        <f>IF(ISBLANK(Table_SiteMilestoneTracking[[#This Row],[SiteDesignStarted_AC]])=FALSE,Table_SiteMilestoneTracking[[#This Row],[SiteDesignStarted_AC]]-Table_SiteMilestoneTracking[[#This Row],[SiteDesignStarted_BL]],"")</f>
        <v>1</v>
      </c>
      <c r="M64" s="64">
        <f t="shared" si="6"/>
        <v>500</v>
      </c>
      <c r="N64" s="87">
        <v>440</v>
      </c>
      <c r="O64" s="63">
        <f>Table_SiteMilestoneTracking[[#This Row],[SiteDesignStarted_BL]]+t0_SiteDesignDelayBL</f>
        <v>44013</v>
      </c>
      <c r="P64" s="84">
        <v>44013</v>
      </c>
      <c r="Q64" s="64">
        <f>IF(ISBLANK(Table_SiteMilestoneTracking[[#This Row],[SiteDesignReady_AC]])=FALSE,Table_SiteMilestoneTracking[[#This Row],[SiteDesignReady_AC]]-Table_SiteMilestoneTracking[[#This Row],[SiteDesignReady_BL]],"-")</f>
        <v>0</v>
      </c>
      <c r="R64" s="64">
        <f t="shared" si="5"/>
        <v>500</v>
      </c>
      <c r="S64" s="82">
        <v>725</v>
      </c>
      <c r="T64" s="63">
        <f>Table_SiteMilestoneTracking[[#This Row],[SiteDesignReady_BL]]+t1_SiteSurveyBL</f>
        <v>44015</v>
      </c>
      <c r="U64" s="84">
        <v>44015</v>
      </c>
      <c r="V64" s="64">
        <f>IF(ISBLANK(Table_SiteMilestoneTracking[[#This Row],[SiteSurveyCompleted_AC]])=FALSE,Table_SiteMilestoneTracking[[#This Row],[SiteSurveyCompleted_AC]]-Table_SiteMilestoneTracking[[#This Row],[SiteDesignReady_AC]],"-")</f>
        <v>2</v>
      </c>
      <c r="W64" s="64">
        <f t="shared" si="7"/>
        <v>600</v>
      </c>
      <c r="X64" s="82">
        <v>660</v>
      </c>
      <c r="Y64" s="63">
        <f>Table_SiteMilestoneTracking[[#This Row],[SiteSurveyCompleted_BL]]+t2_SiteAcquisitionBL</f>
        <v>44026</v>
      </c>
      <c r="Z64" s="84">
        <v>44026</v>
      </c>
      <c r="AA64" s="65">
        <f>IF(ISBLANK(Table_SiteMilestoneTracking[[#This Row],[SiteAcquired_AC]])=FALSE,Table_SiteMilestoneTracking[[#This Row],[SiteAcquired_AC]]-Table_SiteMilestoneTracking[[#This Row],[SiteAcquired_BL]],"-")</f>
        <v>0</v>
      </c>
      <c r="AB64" s="65">
        <f>IF(ISBLANK(Table_SiteMilestoneTracking[[#This Row],[SiteAcquired_AC]])=FALSE,Table_SiteMilestoneTracking[[#This Row],[SiteAcquired_AC]]-Table_SiteMilestoneTracking[[#This Row],[SiteSurveyCompleted_AC]],"-")</f>
        <v>11</v>
      </c>
      <c r="AC64" s="64">
        <f t="shared" si="8"/>
        <v>150</v>
      </c>
      <c r="AD64" s="82">
        <v>120</v>
      </c>
      <c r="AE64" s="63">
        <f>Table_SiteMilestoneTracking[[#This Row],[SiteAcquired_BL]]+t2a_SiteCWReadinessBL</f>
        <v>44028</v>
      </c>
      <c r="AF64" s="85">
        <v>44028</v>
      </c>
      <c r="AG64" s="66">
        <f>IF(ISBLANK(Table_SiteMilestoneTracking[[#This Row],[SiteReadyForCW_AC]])=FALSE,Table_SiteMilestoneTracking[[#This Row],[SiteReadyForCW_AC]]-Table_SiteMilestoneTracking[[#This Row],[SiteReadyForCW_BL]],"-")</f>
        <v>0</v>
      </c>
      <c r="AH64" s="66">
        <f>IF(ISBLANK(Table_SiteMilestoneTracking[[#This Row],[SiteReadyForCW_AC]])=FALSE,Table_SiteMilestoneTracking[[#This Row],[SiteReadyForCW_AC]]-Table_SiteMilestoneTracking[[#This Row],[SiteDesignReady_AC]],"-")</f>
        <v>15</v>
      </c>
      <c r="AI64" s="64">
        <f t="shared" si="9"/>
        <v>1500</v>
      </c>
      <c r="AJ64" s="82">
        <v>2250</v>
      </c>
      <c r="AK64" s="63">
        <f>Table_SiteMilestoneTracking[[#This Row],[SiteReadyForCW_BL]]+t3_CivilWorksBL</f>
        <v>44036</v>
      </c>
      <c r="AL64" s="84">
        <v>44036</v>
      </c>
      <c r="AM64" s="64">
        <f>IF(ISBLANK(Table_SiteMilestoneTracking[[#This Row],[SiteReadyForPower_AC]])=FALSE,Table_SiteMilestoneTracking[[#This Row],[SiteReadyForPower_AC]]-Table_SiteMilestoneTracking[[#This Row],[SiteReadyForPower_BL]],"-")</f>
        <v>0</v>
      </c>
      <c r="AN64" s="64">
        <f>IF(ISBLANK(Table_SiteMilestoneTracking[[#This Row],[SiteReadyForPower_AC]])=FALSE,Table_SiteMilestoneTracking[[#This Row],[SiteReadyForPower_AC]]-Table_SiteMilestoneTracking[[#This Row],[SiteReadyForCW_AC]],"-")</f>
        <v>8</v>
      </c>
      <c r="AO64" s="64">
        <f t="shared" si="10"/>
        <v>500</v>
      </c>
      <c r="AP64" s="82"/>
      <c r="AQ64" s="63">
        <f>Table_SiteMilestoneTracking[[#This Row],[SiteReadyForPower_BL]]+t4_PowerInstallBL</f>
        <v>44041</v>
      </c>
      <c r="AR64" s="84"/>
      <c r="AS64" s="64" t="str">
        <f>IF(ISBLANK(Table_SiteMilestoneTracking[[#This Row],[TXReady_AC]])=FALSE,Table_SiteMilestoneTracking[[#This Row],[TXReady_AC]]-Table_SiteMilestoneTracking[[#This Row],[TXReady_BL]],"-")</f>
        <v>-</v>
      </c>
      <c r="AT64" s="64" t="str">
        <f>IF(ISBLANK(Table_SiteMilestoneTracking[[#This Row],[TXReady_AC]])=FALSE,Table_SiteMilestoneTracking[[#This Row],[TXReady_AC]]-Table_SiteMilestoneTracking[[#This Row],[SiteReadyForPower_AC]],"-")</f>
        <v>-</v>
      </c>
      <c r="AU64" s="64">
        <f>$AU$2</f>
        <v>500</v>
      </c>
      <c r="AV64" s="82"/>
      <c r="AW64" s="63">
        <f>Table_SiteMilestoneTracking[[#This Row],[TXReady_BL]]+t5_TxintegrationBL</f>
        <v>44048</v>
      </c>
      <c r="AX64" s="84"/>
      <c r="AY64" s="64" t="str">
        <f>IF(ISBLANK(Table_SiteMilestoneTracking[[#This Row],[SiteReadyForInstallation_AC]])=FALSE,Table_SiteMilestoneTracking[[#This Row],[SiteReadyForInstallation_AC]]-Table_SiteMilestoneTracking[[#This Row],[SiteReadyForInstallation_BL]],"-")</f>
        <v>-</v>
      </c>
      <c r="AZ64" s="64" t="str">
        <f>IF(ISBLANK(Table_SiteMilestoneTracking[[#This Row],[SiteReadyForInstallation_AC]])=FALSE,Table_SiteMilestoneTracking[[#This Row],[SiteReadyForInstallation_AC]]-Table_SiteMilestoneTracking[[#This Row],[TXReady_AC]],"-")</f>
        <v>-</v>
      </c>
      <c r="BA64" s="64">
        <f>$BA$2</f>
        <v>2500</v>
      </c>
      <c r="BB64" s="82"/>
      <c r="BC64" s="63">
        <f>Table_SiteMilestoneTracking[[#This Row],[SiteReadyForInstallation_BL]]+t6_InstallationBL</f>
        <v>44052</v>
      </c>
      <c r="BD64" s="84"/>
      <c r="BE64" s="64" t="str">
        <f>IF(ISBLANK(Table_SiteMilestoneTracking[[#This Row],[SiteReadyForIntegration_AC]])=FALSE,Table_SiteMilestoneTracking[[#This Row],[SiteReadyForIntegration_AC]]-Table_SiteMilestoneTracking[[#This Row],[SiteReadyForIntegration_BL]],"-")</f>
        <v>-</v>
      </c>
      <c r="BF64" s="64" t="str">
        <f>IF(ISBLANK(Table_SiteMilestoneTracking[[#This Row],[SiteReadyForIntegration_AC]])=FALSE,Table_SiteMilestoneTracking[[#This Row],[SiteReadyForIntegration_AC]]-Table_SiteMilestoneTracking[[#This Row],[SiteReadyForInstallation_AC]],"-")</f>
        <v>-</v>
      </c>
      <c r="BG64" s="64">
        <f>$BG$2</f>
        <v>500</v>
      </c>
      <c r="BH64" s="82"/>
      <c r="BI64" s="63">
        <f>Table_SiteMilestoneTracking[[#This Row],[SiteReadyForIntegration_BL]]+t7_IntegrationBL</f>
        <v>44056</v>
      </c>
      <c r="BJ64" s="84"/>
      <c r="BK64" s="64" t="str">
        <f>IF(ISBLANK(Table_SiteMilestoneTracking[[#This Row],[SiteOnAir_AC]])=FALSE,Table_SiteMilestoneTracking[[#This Row],[SiteOnAir_AC]]-Table_SiteMilestoneTracking[[#This Row],[SiteOnAir_BL]],"-")</f>
        <v>-</v>
      </c>
      <c r="BL64" s="64" t="str">
        <f>IF(ISBLANK(Table_SiteMilestoneTracking[[#This Row],[SiteOnAir_AC]])=FALSE,Table_SiteMilestoneTracking[[#This Row],[SiteOnAir_AC]]-Table_SiteMilestoneTracking[[#This Row],[SiteReadyForIntegration_AC]],"-")</f>
        <v>-</v>
      </c>
      <c r="BM64" s="64">
        <f>$BM$2</f>
        <v>250</v>
      </c>
      <c r="BN64" s="82"/>
      <c r="BO64" s="63">
        <f>Table_SiteMilestoneTracking[[#This Row],[SiteOnAir_BL]]+t8_AcceptanceBL</f>
        <v>44060</v>
      </c>
      <c r="BP64" s="84"/>
      <c r="BQ64" s="64" t="str">
        <f>IF(ISBLANK(Table_SiteMilestoneTracking[[#This Row],[SiteAccepted_AC]])=FALSE,Table_SiteMilestoneTracking[[#This Row],[SiteAccepted_AC]]-Table_SiteMilestoneTracking[[#This Row],[SiteAccepted_BL]],"-")</f>
        <v>-</v>
      </c>
      <c r="BR64" s="64" t="str">
        <f>IF(ISBLANK(Table_SiteMilestoneTracking[[#This Row],[SiteAccepted_AC]])=FALSE,Table_SiteMilestoneTracking[[#This Row],[SiteAccepted_AC]]-Table_SiteMilestoneTracking[[#This Row],[SiteOnAir_AC]],"-")</f>
        <v>-</v>
      </c>
      <c r="BS64" s="64">
        <f>$BS$2</f>
        <v>200</v>
      </c>
      <c r="BT64" s="82"/>
      <c r="BU64" s="63">
        <f>Table_SiteMilestoneTracking[[#This Row],[SiteAccepted_BL]]+t9_HandoverBL</f>
        <v>44068</v>
      </c>
      <c r="BV64" s="84"/>
      <c r="BW64" s="64" t="str">
        <f>IF(ISBLANK(Table_SiteMilestoneTracking[[#This Row],[SiteInOperations_AC]])=FALSE,Table_SiteMilestoneTracking[[#This Row],[SiteInOperations_AC]]-Table_SiteMilestoneTracking[[#This Row],[SiteInOperations_BL]],"-")</f>
        <v>-</v>
      </c>
      <c r="BX64" s="66">
        <f>Table_SiteMilestoneTracking[[#This Row],[SiteInOperations_BL]]-Table_SiteMilestoneTracking[[#This Row],[SiteDesignReady_BL]]</f>
        <v>55</v>
      </c>
      <c r="BY64" s="66" t="str">
        <f>IF(Table_SiteMilestoneTracking[[#This Row],[CurrentSiteMilestone]]="SiteInOperations",Table_SiteMilestoneTracking[[#This Row],[SiteInOperations_AC]]-Table_SiteMilestoneTracking[[#This Row],[SiteDesignReady_AC]],"")</f>
        <v/>
      </c>
      <c r="BZ64" s="66" t="str">
        <f>IFERROR(Table_SiteMilestoneTracking[[#This Row],[E2E_Site_AC]]-Table_SiteMilestoneTracking[[#This Row],[E2E_Site_BL]],"")</f>
        <v/>
      </c>
      <c r="CA64" s="66" t="str">
        <f>IF(Table_SiteMilestoneTracking[[#This Row],[CurrentSiteMilestone]]="SiteInOperations",Table_SiteMilestoneTracking[[#This Row],[SiteInOperations_AC]]-Table_SiteMilestoneTracking[[#This Row],[SiteAccepted_AC]],"")</f>
        <v/>
      </c>
      <c r="CB64" s="79"/>
      <c r="CC64" s="89"/>
      <c r="CD64" s="89"/>
      <c r="CE64" s="70"/>
      <c r="CF64" s="70"/>
      <c r="CG64" s="70"/>
      <c r="CH64" s="70"/>
      <c r="CI64" s="70"/>
      <c r="CJ64" s="70"/>
      <c r="CK64" s="70"/>
      <c r="CL64" s="70"/>
      <c r="CM64" s="70"/>
      <c r="CN64" s="70"/>
      <c r="CO64" s="70"/>
      <c r="CP64" s="70"/>
      <c r="CQ64" s="70"/>
      <c r="CR64" s="70"/>
      <c r="CS64" s="70"/>
      <c r="CT64" s="70"/>
      <c r="CU64" s="70"/>
      <c r="CV64" s="70"/>
      <c r="CW64" s="70"/>
      <c r="CX64" s="70"/>
      <c r="CY64" s="70"/>
      <c r="CZ64" s="70"/>
      <c r="DA64" s="70"/>
      <c r="DB64" s="70"/>
      <c r="DC64" s="70"/>
      <c r="DD64" s="70"/>
      <c r="DE64" s="70"/>
      <c r="DF64" s="70"/>
      <c r="DG64" s="70"/>
      <c r="DH64" s="70"/>
      <c r="DI64" s="70"/>
      <c r="DJ64" s="70"/>
      <c r="DK64" s="70"/>
      <c r="DL64" s="70"/>
      <c r="DM64" s="70"/>
      <c r="DN64" s="70"/>
      <c r="DO64" s="70"/>
      <c r="DP64" s="70"/>
      <c r="DQ64" s="70"/>
      <c r="DR64" s="70"/>
      <c r="DS64" s="70"/>
      <c r="DT64" s="70"/>
      <c r="DU64" s="70"/>
      <c r="DV64" s="70"/>
    </row>
    <row r="65" spans="1:126" x14ac:dyDescent="0.3">
      <c r="A65" s="79" t="str">
        <f>'4. Design Tracking Summary'!A66</f>
        <v>PI00257</v>
      </c>
      <c r="B65" s="79" t="str">
        <f>'4. Design Tracking Summary'!B66</f>
        <v>North</v>
      </c>
      <c r="C65" s="79" t="str">
        <f>'4. Design Tracking Summary'!C66</f>
        <v>VER</v>
      </c>
      <c r="D65" s="79" t="str">
        <f>'4. Design Tracking Summary'!D66</f>
        <v>MINI</v>
      </c>
      <c r="E65" s="79" t="s">
        <v>59</v>
      </c>
      <c r="F65" s="79"/>
      <c r="G65" s="60" t="str">
        <f>IFERROR(INDEX(Table_SiteMilestonesNames[SiteMilestoneName],COUNTA(Table_SiteMilestoneTracking[[#This Row],[SiteDesignStarted_AC]],Table_SiteMilestoneTracking[[#This Row],[SiteDesignReady_AC]],Table_SiteMilestoneTracking[[#This Row],[SiteSurveyCompleted_AC]],Table_SiteMilestoneTracking[[#This Row],[SiteAcquired_AC]],Table_SiteMilestoneTracking[[#This Row],[SiteReadyForCW_AC]],Table_SiteMilestoneTracking[[#This Row],[SiteReadyForPower_AC]],Table_SiteMilestoneTracking[[#This Row],[TXReady_AC]],Table_SiteMilestoneTracking[[#This Row],[SiteReadyForInstallation_AC]],Table_SiteMilestoneTracking[[#This Row],[SiteReadyForIntegration_AC]],Table_SiteMilestoneTracking[[#This Row],[SiteOnAir_AC]],Table_SiteMilestoneTracking[[#This Row],[SiteAccepted_AC]],Table_SiteMilestoneTracking[[#This Row],[SiteInOperations_AC]])+1),"Invalid Milestone")</f>
        <v>SiteReadyForPower</v>
      </c>
      <c r="H65" s="61">
        <f>Table_SiteMilestoneTracking[[#This Row],[c0_SiteDesignCostBL]]+Table_SiteMilestoneTracking[[#This Row],[c1_SiteSurveyCostBL]]+Table_SiteMilestoneTracking[[#This Row],[c2_SiteAcquisitionCostBL]]+Table_SiteMilestoneTracking[[#This Row],[c3_CivilWorksCostBL]]+Table_SiteMilestoneTracking[[#This Row],[c4_PowerInstallCostBL]]+Table_SiteMilestoneTracking[[#This Row],[c5_TxintegrationCostBL]]+Table_SiteMilestoneTracking[[#This Row],[c6_InstallationCostBL]]+Table_SiteMilestoneTracking[[#This Row],[c7_IntegrationCostBL]]+Table_SiteMilestoneTracking[[#This Row],[c8_AcceptanceCostBL]]+Table_SiteMilestoneTracking[[#This Row],[c9_HandoverCostBL]]</f>
        <v>7550</v>
      </c>
      <c r="I65" s="62">
        <f>Table_SiteMilestoneTracking[[#This Row],[c0_SiteDesignCostAC]]+Table_SiteMilestoneTracking[[#This Row],[c1_SiteSurveyCostAC]]+Table_SiteMilestoneTracking[[#This Row],[c2_SiteAcquisitionCostAC]]+Table_SiteMilestoneTracking[[#This Row],[c3_CivilWorksCostAC]]+Table_SiteMilestoneTracking[[#This Row],[c4_PowerInstallCostAC]]+Table_SiteMilestoneTracking[[#This Row],[c5_TxintegrationCostAC]]+Table_SiteMilestoneTracking[[#This Row],[c6_InstallationCostAC]]+Table_SiteMilestoneTracking[[#This Row],[c7_IntegrationCostAC]]+Table_SiteMilestoneTracking[[#This Row],[c8_AcceptanceCostAC]]+Table_SiteMilestoneTracking[[#This Row],[c9_HandoverCostAC]]</f>
        <v>3585</v>
      </c>
      <c r="J65" s="84">
        <v>44011</v>
      </c>
      <c r="K65" s="84">
        <v>44013</v>
      </c>
      <c r="L65" s="64">
        <f>IF(ISBLANK(Table_SiteMilestoneTracking[[#This Row],[SiteDesignStarted_AC]])=FALSE,Table_SiteMilestoneTracking[[#This Row],[SiteDesignStarted_AC]]-Table_SiteMilestoneTracking[[#This Row],[SiteDesignStarted_BL]],"")</f>
        <v>2</v>
      </c>
      <c r="M65" s="64">
        <f t="shared" si="6"/>
        <v>500</v>
      </c>
      <c r="N65" s="87">
        <v>540</v>
      </c>
      <c r="O65" s="63">
        <f>Table_SiteMilestoneTracking[[#This Row],[SiteDesignStarted_BL]]+t0_SiteDesignDelayBL</f>
        <v>44013</v>
      </c>
      <c r="P65" s="84">
        <v>44015</v>
      </c>
      <c r="Q65" s="64">
        <f>IF(ISBLANK(Table_SiteMilestoneTracking[[#This Row],[SiteDesignReady_AC]])=FALSE,Table_SiteMilestoneTracking[[#This Row],[SiteDesignReady_AC]]-Table_SiteMilestoneTracking[[#This Row],[SiteDesignReady_BL]],"-")</f>
        <v>2</v>
      </c>
      <c r="R65" s="64">
        <f t="shared" si="5"/>
        <v>500</v>
      </c>
      <c r="S65" s="82">
        <v>825</v>
      </c>
      <c r="T65" s="63">
        <f>Table_SiteMilestoneTracking[[#This Row],[SiteDesignReady_BL]]+t1_SiteSurveyBL</f>
        <v>44015</v>
      </c>
      <c r="U65" s="84">
        <v>44017</v>
      </c>
      <c r="V65" s="64">
        <f>IF(ISBLANK(Table_SiteMilestoneTracking[[#This Row],[SiteSurveyCompleted_AC]])=FALSE,Table_SiteMilestoneTracking[[#This Row],[SiteSurveyCompleted_AC]]-Table_SiteMilestoneTracking[[#This Row],[SiteDesignReady_AC]],"-")</f>
        <v>2</v>
      </c>
      <c r="W65" s="64">
        <f t="shared" si="7"/>
        <v>600</v>
      </c>
      <c r="X65" s="82">
        <v>720</v>
      </c>
      <c r="Y65" s="63">
        <f>Table_SiteMilestoneTracking[[#This Row],[SiteSurveyCompleted_BL]]+t2_SiteAcquisitionBL</f>
        <v>44026</v>
      </c>
      <c r="Z65" s="84">
        <v>44028</v>
      </c>
      <c r="AA65" s="65">
        <f>IF(ISBLANK(Table_SiteMilestoneTracking[[#This Row],[SiteAcquired_AC]])=FALSE,Table_SiteMilestoneTracking[[#This Row],[SiteAcquired_AC]]-Table_SiteMilestoneTracking[[#This Row],[SiteAcquired_BL]],"-")</f>
        <v>2</v>
      </c>
      <c r="AB65" s="65">
        <f>IF(ISBLANK(Table_SiteMilestoneTracking[[#This Row],[SiteAcquired_AC]])=FALSE,Table_SiteMilestoneTracking[[#This Row],[SiteAcquired_AC]]-Table_SiteMilestoneTracking[[#This Row],[SiteSurveyCompleted_AC]],"-")</f>
        <v>11</v>
      </c>
      <c r="AC65" s="64">
        <f t="shared" si="8"/>
        <v>150</v>
      </c>
      <c r="AD65" s="82">
        <v>135</v>
      </c>
      <c r="AE65" s="63">
        <f>Table_SiteMilestoneTracking[[#This Row],[SiteAcquired_BL]]+t2a_SiteCWReadinessBL</f>
        <v>44028</v>
      </c>
      <c r="AF65" s="85">
        <v>44031</v>
      </c>
      <c r="AG65" s="66">
        <f>IF(ISBLANK(Table_SiteMilestoneTracking[[#This Row],[SiteReadyForCW_AC]])=FALSE,Table_SiteMilestoneTracking[[#This Row],[SiteReadyForCW_AC]]-Table_SiteMilestoneTracking[[#This Row],[SiteReadyForCW_BL]],"-")</f>
        <v>3</v>
      </c>
      <c r="AH65" s="66">
        <f>IF(ISBLANK(Table_SiteMilestoneTracking[[#This Row],[SiteReadyForCW_AC]])=FALSE,Table_SiteMilestoneTracking[[#This Row],[SiteReadyForCW_AC]]-Table_SiteMilestoneTracking[[#This Row],[SiteDesignReady_AC]],"-")</f>
        <v>16</v>
      </c>
      <c r="AI65" s="64">
        <f t="shared" si="9"/>
        <v>1500</v>
      </c>
      <c r="AJ65" s="82">
        <v>1500</v>
      </c>
      <c r="AK65" s="63">
        <f>Table_SiteMilestoneTracking[[#This Row],[SiteReadyForCW_BL]]+t3_CivilWorksBL</f>
        <v>44036</v>
      </c>
      <c r="AL65" s="84">
        <v>44036</v>
      </c>
      <c r="AM65" s="64">
        <f>IF(ISBLANK(Table_SiteMilestoneTracking[[#This Row],[SiteReadyForPower_AC]])=FALSE,Table_SiteMilestoneTracking[[#This Row],[SiteReadyForPower_AC]]-Table_SiteMilestoneTracking[[#This Row],[SiteReadyForPower_BL]],"-")</f>
        <v>0</v>
      </c>
      <c r="AN65" s="64">
        <f>IF(ISBLANK(Table_SiteMilestoneTracking[[#This Row],[SiteReadyForPower_AC]])=FALSE,Table_SiteMilestoneTracking[[#This Row],[SiteReadyForPower_AC]]-Table_SiteMilestoneTracking[[#This Row],[SiteReadyForCW_AC]],"-")</f>
        <v>5</v>
      </c>
      <c r="AO65" s="64">
        <f t="shared" si="10"/>
        <v>500</v>
      </c>
      <c r="AP65" s="82"/>
      <c r="AQ65" s="63">
        <f>Table_SiteMilestoneTracking[[#This Row],[SiteReadyForPower_BL]]+t4_PowerInstallBL</f>
        <v>44041</v>
      </c>
      <c r="AR65" s="84"/>
      <c r="AS65" s="64" t="str">
        <f>IF(ISBLANK(Table_SiteMilestoneTracking[[#This Row],[TXReady_AC]])=FALSE,Table_SiteMilestoneTracking[[#This Row],[TXReady_AC]]-Table_SiteMilestoneTracking[[#This Row],[TXReady_BL]],"-")</f>
        <v>-</v>
      </c>
      <c r="AT65" s="64" t="str">
        <f>IF(ISBLANK(Table_SiteMilestoneTracking[[#This Row],[TXReady_AC]])=FALSE,Table_SiteMilestoneTracking[[#This Row],[TXReady_AC]]-Table_SiteMilestoneTracking[[#This Row],[SiteReadyForPower_AC]],"-")</f>
        <v>-</v>
      </c>
      <c r="AU65" s="64">
        <f>$AU$2</f>
        <v>500</v>
      </c>
      <c r="AV65" s="82"/>
      <c r="AW65" s="63">
        <f>Table_SiteMilestoneTracking[[#This Row],[TXReady_BL]]+t5_TxintegrationBL</f>
        <v>44048</v>
      </c>
      <c r="AX65" s="84"/>
      <c r="AY65" s="64" t="str">
        <f>IF(ISBLANK(Table_SiteMilestoneTracking[[#This Row],[SiteReadyForInstallation_AC]])=FALSE,Table_SiteMilestoneTracking[[#This Row],[SiteReadyForInstallation_AC]]-Table_SiteMilestoneTracking[[#This Row],[SiteReadyForInstallation_BL]],"-")</f>
        <v>-</v>
      </c>
      <c r="AZ65" s="64" t="str">
        <f>IF(ISBLANK(Table_SiteMilestoneTracking[[#This Row],[SiteReadyForInstallation_AC]])=FALSE,Table_SiteMilestoneTracking[[#This Row],[SiteReadyForInstallation_AC]]-Table_SiteMilestoneTracking[[#This Row],[TXReady_AC]],"-")</f>
        <v>-</v>
      </c>
      <c r="BA65" s="64">
        <f>$BA$2</f>
        <v>2500</v>
      </c>
      <c r="BB65" s="82"/>
      <c r="BC65" s="63">
        <f>Table_SiteMilestoneTracking[[#This Row],[SiteReadyForInstallation_BL]]+t6_InstallationBL</f>
        <v>44052</v>
      </c>
      <c r="BD65" s="84"/>
      <c r="BE65" s="64" t="str">
        <f>IF(ISBLANK(Table_SiteMilestoneTracking[[#This Row],[SiteReadyForIntegration_AC]])=FALSE,Table_SiteMilestoneTracking[[#This Row],[SiteReadyForIntegration_AC]]-Table_SiteMilestoneTracking[[#This Row],[SiteReadyForIntegration_BL]],"-")</f>
        <v>-</v>
      </c>
      <c r="BF65" s="64" t="str">
        <f>IF(ISBLANK(Table_SiteMilestoneTracking[[#This Row],[SiteReadyForIntegration_AC]])=FALSE,Table_SiteMilestoneTracking[[#This Row],[SiteReadyForIntegration_AC]]-Table_SiteMilestoneTracking[[#This Row],[SiteReadyForInstallation_AC]],"-")</f>
        <v>-</v>
      </c>
      <c r="BG65" s="64">
        <f>$BG$2</f>
        <v>500</v>
      </c>
      <c r="BH65" s="82"/>
      <c r="BI65" s="63">
        <f>Table_SiteMilestoneTracking[[#This Row],[SiteReadyForIntegration_BL]]+t7_IntegrationBL</f>
        <v>44056</v>
      </c>
      <c r="BJ65" s="84"/>
      <c r="BK65" s="64" t="str">
        <f>IF(ISBLANK(Table_SiteMilestoneTracking[[#This Row],[SiteOnAir_AC]])=FALSE,Table_SiteMilestoneTracking[[#This Row],[SiteOnAir_AC]]-Table_SiteMilestoneTracking[[#This Row],[SiteOnAir_BL]],"-")</f>
        <v>-</v>
      </c>
      <c r="BL65" s="64" t="str">
        <f>IF(ISBLANK(Table_SiteMilestoneTracking[[#This Row],[SiteOnAir_AC]])=FALSE,Table_SiteMilestoneTracking[[#This Row],[SiteOnAir_AC]]-Table_SiteMilestoneTracking[[#This Row],[SiteReadyForIntegration_AC]],"-")</f>
        <v>-</v>
      </c>
      <c r="BM65" s="64">
        <f>$BM$2</f>
        <v>250</v>
      </c>
      <c r="BN65" s="82"/>
      <c r="BO65" s="63">
        <f>Table_SiteMilestoneTracking[[#This Row],[SiteOnAir_BL]]+t8_AcceptanceBL</f>
        <v>44060</v>
      </c>
      <c r="BP65" s="84"/>
      <c r="BQ65" s="64" t="str">
        <f>IF(ISBLANK(Table_SiteMilestoneTracking[[#This Row],[SiteAccepted_AC]])=FALSE,Table_SiteMilestoneTracking[[#This Row],[SiteAccepted_AC]]-Table_SiteMilestoneTracking[[#This Row],[SiteAccepted_BL]],"-")</f>
        <v>-</v>
      </c>
      <c r="BR65" s="64" t="str">
        <f>IF(ISBLANK(Table_SiteMilestoneTracking[[#This Row],[SiteAccepted_AC]])=FALSE,Table_SiteMilestoneTracking[[#This Row],[SiteAccepted_AC]]-Table_SiteMilestoneTracking[[#This Row],[SiteOnAir_AC]],"-")</f>
        <v>-</v>
      </c>
      <c r="BS65" s="64">
        <f>$BS$2</f>
        <v>200</v>
      </c>
      <c r="BT65" s="82"/>
      <c r="BU65" s="63">
        <f>Table_SiteMilestoneTracking[[#This Row],[SiteAccepted_BL]]+t9_HandoverBL</f>
        <v>44068</v>
      </c>
      <c r="BV65" s="84"/>
      <c r="BW65" s="64" t="str">
        <f>IF(ISBLANK(Table_SiteMilestoneTracking[[#This Row],[SiteInOperations_AC]])=FALSE,Table_SiteMilestoneTracking[[#This Row],[SiteInOperations_AC]]-Table_SiteMilestoneTracking[[#This Row],[SiteInOperations_BL]],"-")</f>
        <v>-</v>
      </c>
      <c r="BX65" s="66">
        <f>Table_SiteMilestoneTracking[[#This Row],[SiteInOperations_BL]]-Table_SiteMilestoneTracking[[#This Row],[SiteDesignReady_BL]]</f>
        <v>55</v>
      </c>
      <c r="BY65" s="66" t="str">
        <f>IF(Table_SiteMilestoneTracking[[#This Row],[CurrentSiteMilestone]]="SiteInOperations",Table_SiteMilestoneTracking[[#This Row],[SiteInOperations_AC]]-Table_SiteMilestoneTracking[[#This Row],[SiteDesignReady_AC]],"")</f>
        <v/>
      </c>
      <c r="BZ65" s="66" t="str">
        <f>IFERROR(Table_SiteMilestoneTracking[[#This Row],[E2E_Site_AC]]-Table_SiteMilestoneTracking[[#This Row],[E2E_Site_BL]],"")</f>
        <v/>
      </c>
      <c r="CA65" s="66" t="str">
        <f>IF(Table_SiteMilestoneTracking[[#This Row],[CurrentSiteMilestone]]="SiteInOperations",Table_SiteMilestoneTracking[[#This Row],[SiteInOperations_AC]]-Table_SiteMilestoneTracking[[#This Row],[SiteAccepted_AC]],"")</f>
        <v/>
      </c>
      <c r="CB65" s="79"/>
      <c r="CC65" s="89"/>
      <c r="CD65" s="89"/>
      <c r="CE65" s="70"/>
      <c r="CF65" s="70"/>
      <c r="CG65" s="70"/>
      <c r="CH65" s="70"/>
      <c r="CI65" s="70"/>
      <c r="CJ65" s="70"/>
      <c r="CK65" s="70"/>
      <c r="CL65" s="70"/>
      <c r="CM65" s="70"/>
      <c r="CN65" s="70"/>
      <c r="CO65" s="70"/>
      <c r="CP65" s="70"/>
      <c r="CQ65" s="70"/>
      <c r="CR65" s="70"/>
      <c r="CS65" s="70"/>
      <c r="CT65" s="70"/>
      <c r="CU65" s="70"/>
      <c r="CV65" s="70"/>
      <c r="CW65" s="70"/>
      <c r="CX65" s="70"/>
      <c r="CY65" s="70"/>
      <c r="CZ65" s="70"/>
      <c r="DA65" s="70"/>
      <c r="DB65" s="70"/>
      <c r="DC65" s="70"/>
      <c r="DD65" s="70"/>
      <c r="DE65" s="70"/>
      <c r="DF65" s="70"/>
      <c r="DG65" s="70"/>
      <c r="DH65" s="70"/>
      <c r="DI65" s="70"/>
      <c r="DJ65" s="70"/>
      <c r="DK65" s="70"/>
      <c r="DL65" s="70"/>
      <c r="DM65" s="70"/>
      <c r="DN65" s="70"/>
      <c r="DO65" s="70"/>
      <c r="DP65" s="70"/>
      <c r="DQ65" s="70"/>
      <c r="DR65" s="70"/>
      <c r="DS65" s="70"/>
      <c r="DT65" s="70"/>
      <c r="DU65" s="70"/>
      <c r="DV65" s="70"/>
    </row>
    <row r="66" spans="1:126" x14ac:dyDescent="0.3">
      <c r="A66" s="79" t="str">
        <f>'4. Design Tracking Summary'!A67</f>
        <v>PI00277</v>
      </c>
      <c r="B66" s="79" t="str">
        <f>'4. Design Tracking Summary'!B67</f>
        <v>Center</v>
      </c>
      <c r="C66" s="79" t="str">
        <f>'4. Design Tracking Summary'!C67</f>
        <v>CHI</v>
      </c>
      <c r="D66" s="79" t="str">
        <f>'4. Design Tracking Summary'!D67</f>
        <v>SMALL</v>
      </c>
      <c r="E66" s="79" t="s">
        <v>59</v>
      </c>
      <c r="F66" s="79"/>
      <c r="G66" s="60" t="str">
        <f>IFERROR(INDEX(Table_SiteMilestonesNames[SiteMilestoneName],COUNTA(Table_SiteMilestoneTracking[[#This Row],[SiteDesignStarted_AC]],Table_SiteMilestoneTracking[[#This Row],[SiteDesignReady_AC]],Table_SiteMilestoneTracking[[#This Row],[SiteSurveyCompleted_AC]],Table_SiteMilestoneTracking[[#This Row],[SiteAcquired_AC]],Table_SiteMilestoneTracking[[#This Row],[SiteReadyForCW_AC]],Table_SiteMilestoneTracking[[#This Row],[SiteReadyForPower_AC]],Table_SiteMilestoneTracking[[#This Row],[TXReady_AC]],Table_SiteMilestoneTracking[[#This Row],[SiteReadyForInstallation_AC]],Table_SiteMilestoneTracking[[#This Row],[SiteReadyForIntegration_AC]],Table_SiteMilestoneTracking[[#This Row],[SiteOnAir_AC]],Table_SiteMilestoneTracking[[#This Row],[SiteAccepted_AC]],Table_SiteMilestoneTracking[[#This Row],[SiteInOperations_AC]])+1),"Invalid Milestone")</f>
        <v>SiteReadyForPower</v>
      </c>
      <c r="H66" s="61">
        <f>Table_SiteMilestoneTracking[[#This Row],[c0_SiteDesignCostBL]]+Table_SiteMilestoneTracking[[#This Row],[c1_SiteSurveyCostBL]]+Table_SiteMilestoneTracking[[#This Row],[c2_SiteAcquisitionCostBL]]+Table_SiteMilestoneTracking[[#This Row],[c3_CivilWorksCostBL]]+Table_SiteMilestoneTracking[[#This Row],[c4_PowerInstallCostBL]]+Table_SiteMilestoneTracking[[#This Row],[c5_TxintegrationCostBL]]+Table_SiteMilestoneTracking[[#This Row],[c6_InstallationCostBL]]+Table_SiteMilestoneTracking[[#This Row],[c7_IntegrationCostBL]]+Table_SiteMilestoneTracking[[#This Row],[c8_AcceptanceCostBL]]+Table_SiteMilestoneTracking[[#This Row],[c9_HandoverCostBL]]</f>
        <v>7550</v>
      </c>
      <c r="I66" s="62">
        <f>Table_SiteMilestoneTracking[[#This Row],[c0_SiteDesignCostAC]]+Table_SiteMilestoneTracking[[#This Row],[c1_SiteSurveyCostAC]]+Table_SiteMilestoneTracking[[#This Row],[c2_SiteAcquisitionCostAC]]+Table_SiteMilestoneTracking[[#This Row],[c3_CivilWorksCostAC]]+Table_SiteMilestoneTracking[[#This Row],[c4_PowerInstallCostAC]]+Table_SiteMilestoneTracking[[#This Row],[c5_TxintegrationCostAC]]+Table_SiteMilestoneTracking[[#This Row],[c6_InstallationCostAC]]+Table_SiteMilestoneTracking[[#This Row],[c7_IntegrationCostAC]]+Table_SiteMilestoneTracking[[#This Row],[c8_AcceptanceCostAC]]+Table_SiteMilestoneTracking[[#This Row],[c9_HandoverCostAC]]</f>
        <v>2925</v>
      </c>
      <c r="J66" s="84">
        <v>44011</v>
      </c>
      <c r="K66" s="84">
        <v>44013</v>
      </c>
      <c r="L66" s="64">
        <f>IF(ISBLANK(Table_SiteMilestoneTracking[[#This Row],[SiteDesignStarted_AC]])=FALSE,Table_SiteMilestoneTracking[[#This Row],[SiteDesignStarted_AC]]-Table_SiteMilestoneTracking[[#This Row],[SiteDesignStarted_BL]],"")</f>
        <v>2</v>
      </c>
      <c r="M66" s="64">
        <f t="shared" si="6"/>
        <v>500</v>
      </c>
      <c r="N66" s="87">
        <v>560</v>
      </c>
      <c r="O66" s="63">
        <f>Table_SiteMilestoneTracking[[#This Row],[SiteDesignStarted_BL]]+t0_SiteDesignDelayBL</f>
        <v>44013</v>
      </c>
      <c r="P66" s="84">
        <v>44017</v>
      </c>
      <c r="Q66" s="64">
        <f>IF(ISBLANK(Table_SiteMilestoneTracking[[#This Row],[SiteDesignReady_AC]])=FALSE,Table_SiteMilestoneTracking[[#This Row],[SiteDesignReady_AC]]-Table_SiteMilestoneTracking[[#This Row],[SiteDesignReady_BL]],"-")</f>
        <v>4</v>
      </c>
      <c r="R66" s="64">
        <f t="shared" si="5"/>
        <v>500</v>
      </c>
      <c r="S66" s="82">
        <v>625</v>
      </c>
      <c r="T66" s="63">
        <f>Table_SiteMilestoneTracking[[#This Row],[SiteDesignReady_BL]]+t1_SiteSurveyBL</f>
        <v>44015</v>
      </c>
      <c r="U66" s="84">
        <v>44020</v>
      </c>
      <c r="V66" s="64">
        <f>IF(ISBLANK(Table_SiteMilestoneTracking[[#This Row],[SiteSurveyCompleted_AC]])=FALSE,Table_SiteMilestoneTracking[[#This Row],[SiteSurveyCompleted_AC]]-Table_SiteMilestoneTracking[[#This Row],[SiteDesignReady_AC]],"-")</f>
        <v>3</v>
      </c>
      <c r="W66" s="64">
        <f t="shared" si="7"/>
        <v>600</v>
      </c>
      <c r="X66" s="82">
        <v>540</v>
      </c>
      <c r="Y66" s="63">
        <f>Table_SiteMilestoneTracking[[#This Row],[SiteSurveyCompleted_BL]]+t2_SiteAcquisitionBL</f>
        <v>44026</v>
      </c>
      <c r="Z66" s="84">
        <v>44031</v>
      </c>
      <c r="AA66" s="65">
        <f>IF(ISBLANK(Table_SiteMilestoneTracking[[#This Row],[SiteAcquired_AC]])=FALSE,Table_SiteMilestoneTracking[[#This Row],[SiteAcquired_AC]]-Table_SiteMilestoneTracking[[#This Row],[SiteAcquired_BL]],"-")</f>
        <v>5</v>
      </c>
      <c r="AB66" s="65">
        <f>IF(ISBLANK(Table_SiteMilestoneTracking[[#This Row],[SiteAcquired_AC]])=FALSE,Table_SiteMilestoneTracking[[#This Row],[SiteAcquired_AC]]-Table_SiteMilestoneTracking[[#This Row],[SiteSurveyCompleted_AC]],"-")</f>
        <v>11</v>
      </c>
      <c r="AC66" s="64">
        <f t="shared" si="8"/>
        <v>150</v>
      </c>
      <c r="AD66" s="82">
        <v>135</v>
      </c>
      <c r="AE66" s="63">
        <f>Table_SiteMilestoneTracking[[#This Row],[SiteAcquired_BL]]+t2a_SiteCWReadinessBL</f>
        <v>44028</v>
      </c>
      <c r="AF66" s="85">
        <v>44034</v>
      </c>
      <c r="AG66" s="66">
        <f>IF(ISBLANK(Table_SiteMilestoneTracking[[#This Row],[SiteReadyForCW_AC]])=FALSE,Table_SiteMilestoneTracking[[#This Row],[SiteReadyForCW_AC]]-Table_SiteMilestoneTracking[[#This Row],[SiteReadyForCW_BL]],"-")</f>
        <v>6</v>
      </c>
      <c r="AH66" s="66">
        <f>IF(ISBLANK(Table_SiteMilestoneTracking[[#This Row],[SiteReadyForCW_AC]])=FALSE,Table_SiteMilestoneTracking[[#This Row],[SiteReadyForCW_AC]]-Table_SiteMilestoneTracking[[#This Row],[SiteDesignReady_AC]],"-")</f>
        <v>17</v>
      </c>
      <c r="AI66" s="64">
        <f t="shared" si="9"/>
        <v>1500</v>
      </c>
      <c r="AJ66" s="82">
        <v>1200</v>
      </c>
      <c r="AK66" s="63">
        <f>Table_SiteMilestoneTracking[[#This Row],[SiteReadyForCW_BL]]+t3_CivilWorksBL</f>
        <v>44036</v>
      </c>
      <c r="AL66" s="84">
        <v>44043</v>
      </c>
      <c r="AM66" s="64">
        <f>IF(ISBLANK(Table_SiteMilestoneTracking[[#This Row],[SiteReadyForPower_AC]])=FALSE,Table_SiteMilestoneTracking[[#This Row],[SiteReadyForPower_AC]]-Table_SiteMilestoneTracking[[#This Row],[SiteReadyForPower_BL]],"-")</f>
        <v>7</v>
      </c>
      <c r="AN66" s="64">
        <f>IF(ISBLANK(Table_SiteMilestoneTracking[[#This Row],[SiteReadyForPower_AC]])=FALSE,Table_SiteMilestoneTracking[[#This Row],[SiteReadyForPower_AC]]-Table_SiteMilestoneTracking[[#This Row],[SiteReadyForCW_AC]],"-")</f>
        <v>9</v>
      </c>
      <c r="AO66" s="64">
        <f t="shared" si="10"/>
        <v>500</v>
      </c>
      <c r="AP66" s="82"/>
      <c r="AQ66" s="63">
        <f>Table_SiteMilestoneTracking[[#This Row],[SiteReadyForPower_BL]]+t4_PowerInstallBL</f>
        <v>44041</v>
      </c>
      <c r="AR66" s="84"/>
      <c r="AS66" s="64" t="str">
        <f>IF(ISBLANK(Table_SiteMilestoneTracking[[#This Row],[TXReady_AC]])=FALSE,Table_SiteMilestoneTracking[[#This Row],[TXReady_AC]]-Table_SiteMilestoneTracking[[#This Row],[TXReady_BL]],"-")</f>
        <v>-</v>
      </c>
      <c r="AT66" s="64" t="str">
        <f>IF(ISBLANK(Table_SiteMilestoneTracking[[#This Row],[TXReady_AC]])=FALSE,Table_SiteMilestoneTracking[[#This Row],[TXReady_AC]]-Table_SiteMilestoneTracking[[#This Row],[SiteReadyForPower_AC]],"-")</f>
        <v>-</v>
      </c>
      <c r="AU66" s="64">
        <f>$AU$2</f>
        <v>500</v>
      </c>
      <c r="AV66" s="82"/>
      <c r="AW66" s="63">
        <f>Table_SiteMilestoneTracking[[#This Row],[TXReady_BL]]+t5_TxintegrationBL</f>
        <v>44048</v>
      </c>
      <c r="AX66" s="84"/>
      <c r="AY66" s="64" t="str">
        <f>IF(ISBLANK(Table_SiteMilestoneTracking[[#This Row],[SiteReadyForInstallation_AC]])=FALSE,Table_SiteMilestoneTracking[[#This Row],[SiteReadyForInstallation_AC]]-Table_SiteMilestoneTracking[[#This Row],[SiteReadyForInstallation_BL]],"-")</f>
        <v>-</v>
      </c>
      <c r="AZ66" s="64" t="str">
        <f>IF(ISBLANK(Table_SiteMilestoneTracking[[#This Row],[SiteReadyForInstallation_AC]])=FALSE,Table_SiteMilestoneTracking[[#This Row],[SiteReadyForInstallation_AC]]-Table_SiteMilestoneTracking[[#This Row],[TXReady_AC]],"-")</f>
        <v>-</v>
      </c>
      <c r="BA66" s="64">
        <f>$BA$2</f>
        <v>2500</v>
      </c>
      <c r="BB66" s="82"/>
      <c r="BC66" s="63">
        <f>Table_SiteMilestoneTracking[[#This Row],[SiteReadyForInstallation_BL]]+t6_InstallationBL</f>
        <v>44052</v>
      </c>
      <c r="BD66" s="84"/>
      <c r="BE66" s="64" t="str">
        <f>IF(ISBLANK(Table_SiteMilestoneTracking[[#This Row],[SiteReadyForIntegration_AC]])=FALSE,Table_SiteMilestoneTracking[[#This Row],[SiteReadyForIntegration_AC]]-Table_SiteMilestoneTracking[[#This Row],[SiteReadyForIntegration_BL]],"-")</f>
        <v>-</v>
      </c>
      <c r="BF66" s="64" t="str">
        <f>IF(ISBLANK(Table_SiteMilestoneTracking[[#This Row],[SiteReadyForIntegration_AC]])=FALSE,Table_SiteMilestoneTracking[[#This Row],[SiteReadyForIntegration_AC]]-Table_SiteMilestoneTracking[[#This Row],[SiteReadyForInstallation_AC]],"-")</f>
        <v>-</v>
      </c>
      <c r="BG66" s="64">
        <f>$BG$2</f>
        <v>500</v>
      </c>
      <c r="BH66" s="82"/>
      <c r="BI66" s="63">
        <f>Table_SiteMilestoneTracking[[#This Row],[SiteReadyForIntegration_BL]]+t7_IntegrationBL</f>
        <v>44056</v>
      </c>
      <c r="BJ66" s="84"/>
      <c r="BK66" s="64" t="str">
        <f>IF(ISBLANK(Table_SiteMilestoneTracking[[#This Row],[SiteOnAir_AC]])=FALSE,Table_SiteMilestoneTracking[[#This Row],[SiteOnAir_AC]]-Table_SiteMilestoneTracking[[#This Row],[SiteOnAir_BL]],"-")</f>
        <v>-</v>
      </c>
      <c r="BL66" s="64" t="str">
        <f>IF(ISBLANK(Table_SiteMilestoneTracking[[#This Row],[SiteOnAir_AC]])=FALSE,Table_SiteMilestoneTracking[[#This Row],[SiteOnAir_AC]]-Table_SiteMilestoneTracking[[#This Row],[SiteReadyForIntegration_AC]],"-")</f>
        <v>-</v>
      </c>
      <c r="BM66" s="64">
        <f>$BM$2</f>
        <v>250</v>
      </c>
      <c r="BN66" s="82"/>
      <c r="BO66" s="63">
        <f>Table_SiteMilestoneTracking[[#This Row],[SiteOnAir_BL]]+t8_AcceptanceBL</f>
        <v>44060</v>
      </c>
      <c r="BP66" s="84"/>
      <c r="BQ66" s="64" t="str">
        <f>IF(ISBLANK(Table_SiteMilestoneTracking[[#This Row],[SiteAccepted_AC]])=FALSE,Table_SiteMilestoneTracking[[#This Row],[SiteAccepted_AC]]-Table_SiteMilestoneTracking[[#This Row],[SiteAccepted_BL]],"-")</f>
        <v>-</v>
      </c>
      <c r="BR66" s="64" t="str">
        <f>IF(ISBLANK(Table_SiteMilestoneTracking[[#This Row],[SiteAccepted_AC]])=FALSE,Table_SiteMilestoneTracking[[#This Row],[SiteAccepted_AC]]-Table_SiteMilestoneTracking[[#This Row],[SiteOnAir_AC]],"-")</f>
        <v>-</v>
      </c>
      <c r="BS66" s="64">
        <f>$BS$2</f>
        <v>200</v>
      </c>
      <c r="BT66" s="82"/>
      <c r="BU66" s="63">
        <f>Table_SiteMilestoneTracking[[#This Row],[SiteAccepted_BL]]+t9_HandoverBL</f>
        <v>44068</v>
      </c>
      <c r="BV66" s="84"/>
      <c r="BW66" s="64" t="str">
        <f>IF(ISBLANK(Table_SiteMilestoneTracking[[#This Row],[SiteInOperations_AC]])=FALSE,Table_SiteMilestoneTracking[[#This Row],[SiteInOperations_AC]]-Table_SiteMilestoneTracking[[#This Row],[SiteInOperations_BL]],"-")</f>
        <v>-</v>
      </c>
      <c r="BX66" s="66">
        <f>Table_SiteMilestoneTracking[[#This Row],[SiteInOperations_BL]]-Table_SiteMilestoneTracking[[#This Row],[SiteDesignReady_BL]]</f>
        <v>55</v>
      </c>
      <c r="BY66" s="66" t="str">
        <f>IF(Table_SiteMilestoneTracking[[#This Row],[CurrentSiteMilestone]]="SiteInOperations",Table_SiteMilestoneTracking[[#This Row],[SiteInOperations_AC]]-Table_SiteMilestoneTracking[[#This Row],[SiteDesignReady_AC]],"")</f>
        <v/>
      </c>
      <c r="BZ66" s="66" t="str">
        <f>IFERROR(Table_SiteMilestoneTracking[[#This Row],[E2E_Site_AC]]-Table_SiteMilestoneTracking[[#This Row],[E2E_Site_BL]],"")</f>
        <v/>
      </c>
      <c r="CA66" s="66" t="str">
        <f>IF(Table_SiteMilestoneTracking[[#This Row],[CurrentSiteMilestone]]="SiteInOperations",Table_SiteMilestoneTracking[[#This Row],[SiteInOperations_AC]]-Table_SiteMilestoneTracking[[#This Row],[SiteAccepted_AC]],"")</f>
        <v/>
      </c>
      <c r="CB66" s="79"/>
      <c r="CC66" s="89"/>
      <c r="CD66" s="89"/>
      <c r="CE66" s="70"/>
      <c r="CF66" s="70"/>
      <c r="CG66" s="70"/>
      <c r="CH66" s="70"/>
      <c r="CI66" s="70"/>
      <c r="CJ66" s="70"/>
      <c r="CK66" s="70"/>
      <c r="CL66" s="70"/>
      <c r="CM66" s="70"/>
      <c r="CN66" s="70"/>
      <c r="CO66" s="70"/>
      <c r="CP66" s="70"/>
      <c r="CQ66" s="70"/>
      <c r="CR66" s="70"/>
      <c r="CS66" s="70"/>
      <c r="CT66" s="70"/>
      <c r="CU66" s="70"/>
      <c r="CV66" s="70"/>
      <c r="CW66" s="70"/>
      <c r="CX66" s="70"/>
      <c r="CY66" s="70"/>
      <c r="CZ66" s="70"/>
      <c r="DA66" s="70"/>
      <c r="DB66" s="70"/>
      <c r="DC66" s="70"/>
      <c r="DD66" s="70"/>
      <c r="DE66" s="70"/>
      <c r="DF66" s="70"/>
      <c r="DG66" s="70"/>
      <c r="DH66" s="70"/>
      <c r="DI66" s="70"/>
      <c r="DJ66" s="70"/>
      <c r="DK66" s="70"/>
      <c r="DL66" s="70"/>
      <c r="DM66" s="70"/>
      <c r="DN66" s="70"/>
      <c r="DO66" s="70"/>
      <c r="DP66" s="70"/>
      <c r="DQ66" s="70"/>
      <c r="DR66" s="70"/>
      <c r="DS66" s="70"/>
      <c r="DT66" s="70"/>
      <c r="DU66" s="70"/>
      <c r="DV66" s="70"/>
    </row>
    <row r="67" spans="1:126" x14ac:dyDescent="0.3">
      <c r="A67" s="79" t="str">
        <f>'4. Design Tracking Summary'!A68</f>
        <v>PI00308</v>
      </c>
      <c r="B67" s="79" t="str">
        <f>'4. Design Tracking Summary'!B68</f>
        <v>Center</v>
      </c>
      <c r="C67" s="79" t="str">
        <f>'4. Design Tracking Summary'!C68</f>
        <v>MTY</v>
      </c>
      <c r="D67" s="79" t="str">
        <f>'4. Design Tracking Summary'!D68</f>
        <v>MACRO</v>
      </c>
      <c r="E67" s="79" t="s">
        <v>56</v>
      </c>
      <c r="F67" s="79"/>
      <c r="G67" s="60" t="str">
        <f>IFERROR(INDEX(Table_SiteMilestonesNames[SiteMilestoneName],COUNTA(Table_SiteMilestoneTracking[[#This Row],[SiteDesignStarted_AC]],Table_SiteMilestoneTracking[[#This Row],[SiteDesignReady_AC]],Table_SiteMilestoneTracking[[#This Row],[SiteSurveyCompleted_AC]],Table_SiteMilestoneTracking[[#This Row],[SiteAcquired_AC]],Table_SiteMilestoneTracking[[#This Row],[SiteReadyForCW_AC]],Table_SiteMilestoneTracking[[#This Row],[SiteReadyForPower_AC]],Table_SiteMilestoneTracking[[#This Row],[TXReady_AC]],Table_SiteMilestoneTracking[[#This Row],[SiteReadyForInstallation_AC]],Table_SiteMilestoneTracking[[#This Row],[SiteReadyForIntegration_AC]],Table_SiteMilestoneTracking[[#This Row],[SiteOnAir_AC]],Table_SiteMilestoneTracking[[#This Row],[SiteAccepted_AC]],Table_SiteMilestoneTracking[[#This Row],[SiteInOperations_AC]])+1),"Invalid Milestone")</f>
        <v>SiteReadyForPower</v>
      </c>
      <c r="H67" s="61">
        <f>Table_SiteMilestoneTracking[[#This Row],[c0_SiteDesignCostBL]]+Table_SiteMilestoneTracking[[#This Row],[c1_SiteSurveyCostBL]]+Table_SiteMilestoneTracking[[#This Row],[c2_SiteAcquisitionCostBL]]+Table_SiteMilestoneTracking[[#This Row],[c3_CivilWorksCostBL]]+Table_SiteMilestoneTracking[[#This Row],[c4_PowerInstallCostBL]]+Table_SiteMilestoneTracking[[#This Row],[c5_TxintegrationCostBL]]+Table_SiteMilestoneTracking[[#This Row],[c6_InstallationCostBL]]+Table_SiteMilestoneTracking[[#This Row],[c7_IntegrationCostBL]]+Table_SiteMilestoneTracking[[#This Row],[c8_AcceptanceCostBL]]+Table_SiteMilestoneTracking[[#This Row],[c9_HandoverCostBL]]</f>
        <v>7550</v>
      </c>
      <c r="I67" s="62">
        <f>Table_SiteMilestoneTracking[[#This Row],[c0_SiteDesignCostAC]]+Table_SiteMilestoneTracking[[#This Row],[c1_SiteSurveyCostAC]]+Table_SiteMilestoneTracking[[#This Row],[c2_SiteAcquisitionCostAC]]+Table_SiteMilestoneTracking[[#This Row],[c3_CivilWorksCostAC]]+Table_SiteMilestoneTracking[[#This Row],[c4_PowerInstallCostAC]]+Table_SiteMilestoneTracking[[#This Row],[c5_TxintegrationCostAC]]+Table_SiteMilestoneTracking[[#This Row],[c6_InstallationCostAC]]+Table_SiteMilestoneTracking[[#This Row],[c7_IntegrationCostAC]]+Table_SiteMilestoneTracking[[#This Row],[c8_AcceptanceCostAC]]+Table_SiteMilestoneTracking[[#This Row],[c9_HandoverCostAC]]</f>
        <v>2495</v>
      </c>
      <c r="J67" s="84">
        <v>44011</v>
      </c>
      <c r="K67" s="84">
        <v>44012</v>
      </c>
      <c r="L67" s="64">
        <f>IF(ISBLANK(Table_SiteMilestoneTracking[[#This Row],[SiteDesignStarted_AC]])=FALSE,Table_SiteMilestoneTracking[[#This Row],[SiteDesignStarted_AC]]-Table_SiteMilestoneTracking[[#This Row],[SiteDesignStarted_BL]],"")</f>
        <v>1</v>
      </c>
      <c r="M67" s="64">
        <f t="shared" si="6"/>
        <v>500</v>
      </c>
      <c r="N67" s="87">
        <v>580</v>
      </c>
      <c r="O67" s="63">
        <f>Table_SiteMilestoneTracking[[#This Row],[SiteDesignStarted_BL]]+t0_SiteDesignDelayBL</f>
        <v>44013</v>
      </c>
      <c r="P67" s="84">
        <v>44018</v>
      </c>
      <c r="Q67" s="64">
        <f>IF(ISBLANK(Table_SiteMilestoneTracking[[#This Row],[SiteDesignReady_AC]])=FALSE,Table_SiteMilestoneTracking[[#This Row],[SiteDesignReady_AC]]-Table_SiteMilestoneTracking[[#This Row],[SiteDesignReady_BL]],"-")</f>
        <v>5</v>
      </c>
      <c r="R67" s="64">
        <f t="shared" si="5"/>
        <v>500</v>
      </c>
      <c r="S67" s="82">
        <v>475</v>
      </c>
      <c r="T67" s="63">
        <f>Table_SiteMilestoneTracking[[#This Row],[SiteDesignReady_BL]]+t1_SiteSurveyBL</f>
        <v>44015</v>
      </c>
      <c r="U67" s="84">
        <v>44021</v>
      </c>
      <c r="V67" s="64">
        <f>IF(ISBLANK(Table_SiteMilestoneTracking[[#This Row],[SiteSurveyCompleted_AC]])=FALSE,Table_SiteMilestoneTracking[[#This Row],[SiteSurveyCompleted_AC]]-Table_SiteMilestoneTracking[[#This Row],[SiteDesignReady_AC]],"-")</f>
        <v>3</v>
      </c>
      <c r="W67" s="64">
        <f t="shared" si="7"/>
        <v>600</v>
      </c>
      <c r="X67" s="82">
        <v>540</v>
      </c>
      <c r="Y67" s="63">
        <f>Table_SiteMilestoneTracking[[#This Row],[SiteSurveyCompleted_BL]]+t2_SiteAcquisitionBL</f>
        <v>44026</v>
      </c>
      <c r="Z67" s="84">
        <v>44033</v>
      </c>
      <c r="AA67" s="65">
        <f>IF(ISBLANK(Table_SiteMilestoneTracking[[#This Row],[SiteAcquired_AC]])=FALSE,Table_SiteMilestoneTracking[[#This Row],[SiteAcquired_AC]]-Table_SiteMilestoneTracking[[#This Row],[SiteAcquired_BL]],"-")</f>
        <v>7</v>
      </c>
      <c r="AB67" s="65">
        <f>IF(ISBLANK(Table_SiteMilestoneTracking[[#This Row],[SiteAcquired_AC]])=FALSE,Table_SiteMilestoneTracking[[#This Row],[SiteAcquired_AC]]-Table_SiteMilestoneTracking[[#This Row],[SiteSurveyCompleted_AC]],"-")</f>
        <v>12</v>
      </c>
      <c r="AC67" s="64">
        <f t="shared" si="8"/>
        <v>150</v>
      </c>
      <c r="AD67" s="82">
        <v>165</v>
      </c>
      <c r="AE67" s="63">
        <f>Table_SiteMilestoneTracking[[#This Row],[SiteAcquired_BL]]+t2a_SiteCWReadinessBL</f>
        <v>44028</v>
      </c>
      <c r="AF67" s="85">
        <v>44035</v>
      </c>
      <c r="AG67" s="66">
        <f>IF(ISBLANK(Table_SiteMilestoneTracking[[#This Row],[SiteReadyForCW_AC]])=FALSE,Table_SiteMilestoneTracking[[#This Row],[SiteReadyForCW_AC]]-Table_SiteMilestoneTracking[[#This Row],[SiteReadyForCW_BL]],"-")</f>
        <v>7</v>
      </c>
      <c r="AH67" s="66">
        <f>IF(ISBLANK(Table_SiteMilestoneTracking[[#This Row],[SiteReadyForCW_AC]])=FALSE,Table_SiteMilestoneTracking[[#This Row],[SiteReadyForCW_AC]]-Table_SiteMilestoneTracking[[#This Row],[SiteDesignReady_AC]],"-")</f>
        <v>17</v>
      </c>
      <c r="AI67" s="64">
        <f t="shared" si="9"/>
        <v>1500</v>
      </c>
      <c r="AJ67" s="82">
        <v>900</v>
      </c>
      <c r="AK67" s="63">
        <f>Table_SiteMilestoneTracking[[#This Row],[SiteReadyForCW_BL]]+t3_CivilWorksBL</f>
        <v>44036</v>
      </c>
      <c r="AL67" s="84">
        <v>44044</v>
      </c>
      <c r="AM67" s="64">
        <f>IF(ISBLANK(Table_SiteMilestoneTracking[[#This Row],[SiteReadyForPower_AC]])=FALSE,Table_SiteMilestoneTracking[[#This Row],[SiteReadyForPower_AC]]-Table_SiteMilestoneTracking[[#This Row],[SiteReadyForPower_BL]],"-")</f>
        <v>8</v>
      </c>
      <c r="AN67" s="64">
        <f>IF(ISBLANK(Table_SiteMilestoneTracking[[#This Row],[SiteReadyForPower_AC]])=FALSE,Table_SiteMilestoneTracking[[#This Row],[SiteReadyForPower_AC]]-Table_SiteMilestoneTracking[[#This Row],[SiteReadyForCW_AC]],"-")</f>
        <v>9</v>
      </c>
      <c r="AO67" s="64">
        <f t="shared" si="10"/>
        <v>500</v>
      </c>
      <c r="AP67" s="82"/>
      <c r="AQ67" s="63">
        <f>Table_SiteMilestoneTracking[[#This Row],[SiteReadyForPower_BL]]+t4_PowerInstallBL</f>
        <v>44041</v>
      </c>
      <c r="AR67" s="84"/>
      <c r="AS67" s="64" t="str">
        <f>IF(ISBLANK(Table_SiteMilestoneTracking[[#This Row],[TXReady_AC]])=FALSE,Table_SiteMilestoneTracking[[#This Row],[TXReady_AC]]-Table_SiteMilestoneTracking[[#This Row],[TXReady_BL]],"-")</f>
        <v>-</v>
      </c>
      <c r="AT67" s="64" t="str">
        <f>IF(ISBLANK(Table_SiteMilestoneTracking[[#This Row],[TXReady_AC]])=FALSE,Table_SiteMilestoneTracking[[#This Row],[TXReady_AC]]-Table_SiteMilestoneTracking[[#This Row],[SiteReadyForPower_AC]],"-")</f>
        <v>-</v>
      </c>
      <c r="AU67" s="64">
        <f>$AU$2</f>
        <v>500</v>
      </c>
      <c r="AV67" s="82"/>
      <c r="AW67" s="63">
        <f>Table_SiteMilestoneTracking[[#This Row],[TXReady_BL]]+t5_TxintegrationBL</f>
        <v>44048</v>
      </c>
      <c r="AX67" s="84"/>
      <c r="AY67" s="64" t="str">
        <f>IF(ISBLANK(Table_SiteMilestoneTracking[[#This Row],[SiteReadyForInstallation_AC]])=FALSE,Table_SiteMilestoneTracking[[#This Row],[SiteReadyForInstallation_AC]]-Table_SiteMilestoneTracking[[#This Row],[SiteReadyForInstallation_BL]],"-")</f>
        <v>-</v>
      </c>
      <c r="AZ67" s="64" t="str">
        <f>IF(ISBLANK(Table_SiteMilestoneTracking[[#This Row],[SiteReadyForInstallation_AC]])=FALSE,Table_SiteMilestoneTracking[[#This Row],[SiteReadyForInstallation_AC]]-Table_SiteMilestoneTracking[[#This Row],[TXReady_AC]],"-")</f>
        <v>-</v>
      </c>
      <c r="BA67" s="64">
        <f>$BA$2</f>
        <v>2500</v>
      </c>
      <c r="BB67" s="82"/>
      <c r="BC67" s="63">
        <f>Table_SiteMilestoneTracking[[#This Row],[SiteReadyForInstallation_BL]]+t6_InstallationBL</f>
        <v>44052</v>
      </c>
      <c r="BD67" s="84"/>
      <c r="BE67" s="64" t="str">
        <f>IF(ISBLANK(Table_SiteMilestoneTracking[[#This Row],[SiteReadyForIntegration_AC]])=FALSE,Table_SiteMilestoneTracking[[#This Row],[SiteReadyForIntegration_AC]]-Table_SiteMilestoneTracking[[#This Row],[SiteReadyForIntegration_BL]],"-")</f>
        <v>-</v>
      </c>
      <c r="BF67" s="64" t="str">
        <f>IF(ISBLANK(Table_SiteMilestoneTracking[[#This Row],[SiteReadyForIntegration_AC]])=FALSE,Table_SiteMilestoneTracking[[#This Row],[SiteReadyForIntegration_AC]]-Table_SiteMilestoneTracking[[#This Row],[SiteReadyForInstallation_AC]],"-")</f>
        <v>-</v>
      </c>
      <c r="BG67" s="64">
        <f>$BG$2</f>
        <v>500</v>
      </c>
      <c r="BH67" s="82"/>
      <c r="BI67" s="63">
        <f>Table_SiteMilestoneTracking[[#This Row],[SiteReadyForIntegration_BL]]+t7_IntegrationBL</f>
        <v>44056</v>
      </c>
      <c r="BJ67" s="84"/>
      <c r="BK67" s="64" t="str">
        <f>IF(ISBLANK(Table_SiteMilestoneTracking[[#This Row],[SiteOnAir_AC]])=FALSE,Table_SiteMilestoneTracking[[#This Row],[SiteOnAir_AC]]-Table_SiteMilestoneTracking[[#This Row],[SiteOnAir_BL]],"-")</f>
        <v>-</v>
      </c>
      <c r="BL67" s="64" t="str">
        <f>IF(ISBLANK(Table_SiteMilestoneTracking[[#This Row],[SiteOnAir_AC]])=FALSE,Table_SiteMilestoneTracking[[#This Row],[SiteOnAir_AC]]-Table_SiteMilestoneTracking[[#This Row],[SiteReadyForIntegration_AC]],"-")</f>
        <v>-</v>
      </c>
      <c r="BM67" s="64">
        <f>$BM$2</f>
        <v>250</v>
      </c>
      <c r="BN67" s="82"/>
      <c r="BO67" s="63">
        <f>Table_SiteMilestoneTracking[[#This Row],[SiteOnAir_BL]]+t8_AcceptanceBL</f>
        <v>44060</v>
      </c>
      <c r="BP67" s="84"/>
      <c r="BQ67" s="64" t="str">
        <f>IF(ISBLANK(Table_SiteMilestoneTracking[[#This Row],[SiteAccepted_AC]])=FALSE,Table_SiteMilestoneTracking[[#This Row],[SiteAccepted_AC]]-Table_SiteMilestoneTracking[[#This Row],[SiteAccepted_BL]],"-")</f>
        <v>-</v>
      </c>
      <c r="BR67" s="64" t="str">
        <f>IF(ISBLANK(Table_SiteMilestoneTracking[[#This Row],[SiteAccepted_AC]])=FALSE,Table_SiteMilestoneTracking[[#This Row],[SiteAccepted_AC]]-Table_SiteMilestoneTracking[[#This Row],[SiteOnAir_AC]],"-")</f>
        <v>-</v>
      </c>
      <c r="BS67" s="64">
        <f>$BS$2</f>
        <v>200</v>
      </c>
      <c r="BT67" s="82"/>
      <c r="BU67" s="63">
        <f>Table_SiteMilestoneTracking[[#This Row],[SiteAccepted_BL]]+t9_HandoverBL</f>
        <v>44068</v>
      </c>
      <c r="BV67" s="84"/>
      <c r="BW67" s="64" t="str">
        <f>IF(ISBLANK(Table_SiteMilestoneTracking[[#This Row],[SiteInOperations_AC]])=FALSE,Table_SiteMilestoneTracking[[#This Row],[SiteInOperations_AC]]-Table_SiteMilestoneTracking[[#This Row],[SiteInOperations_BL]],"-")</f>
        <v>-</v>
      </c>
      <c r="BX67" s="66">
        <f>Table_SiteMilestoneTracking[[#This Row],[SiteInOperations_BL]]-Table_SiteMilestoneTracking[[#This Row],[SiteDesignReady_BL]]</f>
        <v>55</v>
      </c>
      <c r="BY67" s="66" t="str">
        <f>IF(Table_SiteMilestoneTracking[[#This Row],[CurrentSiteMilestone]]="SiteInOperations",Table_SiteMilestoneTracking[[#This Row],[SiteInOperations_AC]]-Table_SiteMilestoneTracking[[#This Row],[SiteDesignReady_AC]],"")</f>
        <v/>
      </c>
      <c r="BZ67" s="66" t="str">
        <f>IFERROR(Table_SiteMilestoneTracking[[#This Row],[E2E_Site_AC]]-Table_SiteMilestoneTracking[[#This Row],[E2E_Site_BL]],"")</f>
        <v/>
      </c>
      <c r="CA67" s="66" t="str">
        <f>IF(Table_SiteMilestoneTracking[[#This Row],[CurrentSiteMilestone]]="SiteInOperations",Table_SiteMilestoneTracking[[#This Row],[SiteInOperations_AC]]-Table_SiteMilestoneTracking[[#This Row],[SiteAccepted_AC]],"")</f>
        <v/>
      </c>
      <c r="CB67" s="79"/>
      <c r="CC67" s="89"/>
      <c r="CD67" s="89"/>
      <c r="CE67" s="70"/>
      <c r="CF67" s="70"/>
      <c r="CG67" s="70"/>
      <c r="CH67" s="70"/>
      <c r="CI67" s="70"/>
      <c r="CJ67" s="70"/>
      <c r="CK67" s="70"/>
      <c r="CL67" s="70"/>
      <c r="CM67" s="70"/>
      <c r="CN67" s="70"/>
      <c r="CO67" s="70"/>
      <c r="CP67" s="70"/>
      <c r="CQ67" s="70"/>
      <c r="CR67" s="70"/>
      <c r="CS67" s="70"/>
      <c r="CT67" s="70"/>
      <c r="CU67" s="70"/>
      <c r="CV67" s="70"/>
      <c r="CW67" s="70"/>
      <c r="CX67" s="70"/>
      <c r="CY67" s="70"/>
      <c r="CZ67" s="70"/>
      <c r="DA67" s="70"/>
      <c r="DB67" s="70"/>
      <c r="DC67" s="70"/>
      <c r="DD67" s="70"/>
      <c r="DE67" s="70"/>
      <c r="DF67" s="70"/>
      <c r="DG67" s="70"/>
      <c r="DH67" s="70"/>
      <c r="DI67" s="70"/>
      <c r="DJ67" s="70"/>
      <c r="DK67" s="70"/>
      <c r="DL67" s="70"/>
      <c r="DM67" s="70"/>
      <c r="DN67" s="70"/>
      <c r="DO67" s="70"/>
      <c r="DP67" s="70"/>
      <c r="DQ67" s="70"/>
      <c r="DR67" s="70"/>
      <c r="DS67" s="70"/>
      <c r="DT67" s="70"/>
      <c r="DU67" s="70"/>
      <c r="DV67" s="70"/>
    </row>
    <row r="68" spans="1:126" x14ac:dyDescent="0.3">
      <c r="A68" s="79" t="str">
        <f>'4. Design Tracking Summary'!A69</f>
        <v>PI00313</v>
      </c>
      <c r="B68" s="79" t="str">
        <f>'4. Design Tracking Summary'!B69</f>
        <v>South</v>
      </c>
      <c r="C68" s="79" t="str">
        <f>'4. Design Tracking Summary'!C69</f>
        <v>ZAC</v>
      </c>
      <c r="D68" s="79" t="str">
        <f>'4. Design Tracking Summary'!D69</f>
        <v>MINI</v>
      </c>
      <c r="E68" s="79" t="s">
        <v>57</v>
      </c>
      <c r="F68" s="79"/>
      <c r="G68" s="60" t="str">
        <f>IFERROR(INDEX(Table_SiteMilestonesNames[SiteMilestoneName],COUNTA(Table_SiteMilestoneTracking[[#This Row],[SiteDesignStarted_AC]],Table_SiteMilestoneTracking[[#This Row],[SiteDesignReady_AC]],Table_SiteMilestoneTracking[[#This Row],[SiteSurveyCompleted_AC]],Table_SiteMilestoneTracking[[#This Row],[SiteAcquired_AC]],Table_SiteMilestoneTracking[[#This Row],[SiteReadyForCW_AC]],Table_SiteMilestoneTracking[[#This Row],[SiteReadyForPower_AC]],Table_SiteMilestoneTracking[[#This Row],[TXReady_AC]],Table_SiteMilestoneTracking[[#This Row],[SiteReadyForInstallation_AC]],Table_SiteMilestoneTracking[[#This Row],[SiteReadyForIntegration_AC]],Table_SiteMilestoneTracking[[#This Row],[SiteOnAir_AC]],Table_SiteMilestoneTracking[[#This Row],[SiteAccepted_AC]],Table_SiteMilestoneTracking[[#This Row],[SiteInOperations_AC]])+1),"Invalid Milestone")</f>
        <v>SiteReadyForPower</v>
      </c>
      <c r="H68" s="61">
        <f>Table_SiteMilestoneTracking[[#This Row],[c0_SiteDesignCostBL]]+Table_SiteMilestoneTracking[[#This Row],[c1_SiteSurveyCostBL]]+Table_SiteMilestoneTracking[[#This Row],[c2_SiteAcquisitionCostBL]]+Table_SiteMilestoneTracking[[#This Row],[c3_CivilWorksCostBL]]+Table_SiteMilestoneTracking[[#This Row],[c4_PowerInstallCostBL]]+Table_SiteMilestoneTracking[[#This Row],[c5_TxintegrationCostBL]]+Table_SiteMilestoneTracking[[#This Row],[c6_InstallationCostBL]]+Table_SiteMilestoneTracking[[#This Row],[c7_IntegrationCostBL]]+Table_SiteMilestoneTracking[[#This Row],[c8_AcceptanceCostBL]]+Table_SiteMilestoneTracking[[#This Row],[c9_HandoverCostBL]]</f>
        <v>7550</v>
      </c>
      <c r="I68" s="62">
        <f>Table_SiteMilestoneTracking[[#This Row],[c0_SiteDesignCostAC]]+Table_SiteMilestoneTracking[[#This Row],[c1_SiteSurveyCostAC]]+Table_SiteMilestoneTracking[[#This Row],[c2_SiteAcquisitionCostAC]]+Table_SiteMilestoneTracking[[#This Row],[c3_CivilWorksCostAC]]+Table_SiteMilestoneTracking[[#This Row],[c4_PowerInstallCostAC]]+Table_SiteMilestoneTracking[[#This Row],[c5_TxintegrationCostAC]]+Table_SiteMilestoneTracking[[#This Row],[c6_InstallationCostAC]]+Table_SiteMilestoneTracking[[#This Row],[c7_IntegrationCostAC]]+Table_SiteMilestoneTracking[[#This Row],[c8_AcceptanceCostAC]]+Table_SiteMilestoneTracking[[#This Row],[c9_HandoverCostAC]]</f>
        <v>2535</v>
      </c>
      <c r="J68" s="84">
        <v>44011</v>
      </c>
      <c r="K68" s="84">
        <v>44012</v>
      </c>
      <c r="L68" s="64">
        <f>IF(ISBLANK(Table_SiteMilestoneTracking[[#This Row],[SiteDesignStarted_AC]])=FALSE,Table_SiteMilestoneTracking[[#This Row],[SiteDesignStarted_AC]]-Table_SiteMilestoneTracking[[#This Row],[SiteDesignStarted_BL]],"")</f>
        <v>1</v>
      </c>
      <c r="M68" s="64">
        <f t="shared" ref="M68:M103" si="11">$M$2</f>
        <v>500</v>
      </c>
      <c r="N68" s="87">
        <v>540</v>
      </c>
      <c r="O68" s="63">
        <f>Table_SiteMilestoneTracking[[#This Row],[SiteDesignStarted_BL]]+t0_SiteDesignDelayBL</f>
        <v>44013</v>
      </c>
      <c r="P68" s="84">
        <v>44014</v>
      </c>
      <c r="Q68" s="64">
        <f>IF(ISBLANK(Table_SiteMilestoneTracking[[#This Row],[SiteDesignReady_AC]])=FALSE,Table_SiteMilestoneTracking[[#This Row],[SiteDesignReady_AC]]-Table_SiteMilestoneTracking[[#This Row],[SiteDesignReady_BL]],"-")</f>
        <v>1</v>
      </c>
      <c r="R68" s="64">
        <f t="shared" si="5"/>
        <v>500</v>
      </c>
      <c r="S68" s="82">
        <v>525</v>
      </c>
      <c r="T68" s="63">
        <f>Table_SiteMilestoneTracking[[#This Row],[SiteDesignReady_BL]]+t1_SiteSurveyBL</f>
        <v>44015</v>
      </c>
      <c r="U68" s="84">
        <v>44016</v>
      </c>
      <c r="V68" s="64">
        <f>IF(ISBLANK(Table_SiteMilestoneTracking[[#This Row],[SiteSurveyCompleted_AC]])=FALSE,Table_SiteMilestoneTracking[[#This Row],[SiteSurveyCompleted_AC]]-Table_SiteMilestoneTracking[[#This Row],[SiteDesignReady_AC]],"-")</f>
        <v>2</v>
      </c>
      <c r="W68" s="64">
        <f t="shared" ref="W68:W103" si="12">$W$2</f>
        <v>600</v>
      </c>
      <c r="X68" s="82">
        <v>420</v>
      </c>
      <c r="Y68" s="63">
        <f>Table_SiteMilestoneTracking[[#This Row],[SiteSurveyCompleted_BL]]+t2_SiteAcquisitionBL</f>
        <v>44026</v>
      </c>
      <c r="Z68" s="84">
        <v>44027</v>
      </c>
      <c r="AA68" s="65">
        <f>IF(ISBLANK(Table_SiteMilestoneTracking[[#This Row],[SiteAcquired_AC]])=FALSE,Table_SiteMilestoneTracking[[#This Row],[SiteAcquired_AC]]-Table_SiteMilestoneTracking[[#This Row],[SiteAcquired_BL]],"-")</f>
        <v>1</v>
      </c>
      <c r="AB68" s="65">
        <f>IF(ISBLANK(Table_SiteMilestoneTracking[[#This Row],[SiteAcquired_AC]])=FALSE,Table_SiteMilestoneTracking[[#This Row],[SiteAcquired_AC]]-Table_SiteMilestoneTracking[[#This Row],[SiteSurveyCompleted_AC]],"-")</f>
        <v>11</v>
      </c>
      <c r="AC68" s="64">
        <f t="shared" ref="AC68:AC103" si="13">$AC$2</f>
        <v>150</v>
      </c>
      <c r="AD68" s="82">
        <v>165</v>
      </c>
      <c r="AE68" s="63">
        <f>Table_SiteMilestoneTracking[[#This Row],[SiteAcquired_BL]]+t2a_SiteCWReadinessBL</f>
        <v>44028</v>
      </c>
      <c r="AF68" s="85">
        <v>44029</v>
      </c>
      <c r="AG68" s="66">
        <f>IF(ISBLANK(Table_SiteMilestoneTracking[[#This Row],[SiteReadyForCW_AC]])=FALSE,Table_SiteMilestoneTracking[[#This Row],[SiteReadyForCW_AC]]-Table_SiteMilestoneTracking[[#This Row],[SiteReadyForCW_BL]],"-")</f>
        <v>1</v>
      </c>
      <c r="AH68" s="66">
        <f>IF(ISBLANK(Table_SiteMilestoneTracking[[#This Row],[SiteReadyForCW_AC]])=FALSE,Table_SiteMilestoneTracking[[#This Row],[SiteReadyForCW_AC]]-Table_SiteMilestoneTracking[[#This Row],[SiteDesignReady_AC]],"-")</f>
        <v>15</v>
      </c>
      <c r="AI68" s="64">
        <f t="shared" ref="AI68:AI103" si="14">$AI$2</f>
        <v>1500</v>
      </c>
      <c r="AJ68" s="82">
        <v>1050</v>
      </c>
      <c r="AK68" s="63">
        <f>Table_SiteMilestoneTracking[[#This Row],[SiteReadyForCW_BL]]+t3_CivilWorksBL</f>
        <v>44036</v>
      </c>
      <c r="AL68" s="84">
        <v>44037</v>
      </c>
      <c r="AM68" s="64">
        <f>IF(ISBLANK(Table_SiteMilestoneTracking[[#This Row],[SiteReadyForPower_AC]])=FALSE,Table_SiteMilestoneTracking[[#This Row],[SiteReadyForPower_AC]]-Table_SiteMilestoneTracking[[#This Row],[SiteReadyForPower_BL]],"-")</f>
        <v>1</v>
      </c>
      <c r="AN68" s="64">
        <f>IF(ISBLANK(Table_SiteMilestoneTracking[[#This Row],[SiteReadyForPower_AC]])=FALSE,Table_SiteMilestoneTracking[[#This Row],[SiteReadyForPower_AC]]-Table_SiteMilestoneTracking[[#This Row],[SiteReadyForCW_AC]],"-")</f>
        <v>8</v>
      </c>
      <c r="AO68" s="64">
        <f t="shared" ref="AO68:AO103" si="15">$AO$2</f>
        <v>500</v>
      </c>
      <c r="AP68" s="82"/>
      <c r="AQ68" s="63">
        <f>Table_SiteMilestoneTracking[[#This Row],[SiteReadyForPower_BL]]+t4_PowerInstallBL</f>
        <v>44041</v>
      </c>
      <c r="AR68" s="84"/>
      <c r="AS68" s="64" t="str">
        <f>IF(ISBLANK(Table_SiteMilestoneTracking[[#This Row],[TXReady_AC]])=FALSE,Table_SiteMilestoneTracking[[#This Row],[TXReady_AC]]-Table_SiteMilestoneTracking[[#This Row],[TXReady_BL]],"-")</f>
        <v>-</v>
      </c>
      <c r="AT68" s="64" t="str">
        <f>IF(ISBLANK(Table_SiteMilestoneTracking[[#This Row],[TXReady_AC]])=FALSE,Table_SiteMilestoneTracking[[#This Row],[TXReady_AC]]-Table_SiteMilestoneTracking[[#This Row],[SiteReadyForPower_AC]],"-")</f>
        <v>-</v>
      </c>
      <c r="AU68" s="64">
        <f>$AU$2</f>
        <v>500</v>
      </c>
      <c r="AV68" s="82"/>
      <c r="AW68" s="63">
        <f>Table_SiteMilestoneTracking[[#This Row],[TXReady_BL]]+t5_TxintegrationBL</f>
        <v>44048</v>
      </c>
      <c r="AX68" s="84"/>
      <c r="AY68" s="64" t="str">
        <f>IF(ISBLANK(Table_SiteMilestoneTracking[[#This Row],[SiteReadyForInstallation_AC]])=FALSE,Table_SiteMilestoneTracking[[#This Row],[SiteReadyForInstallation_AC]]-Table_SiteMilestoneTracking[[#This Row],[SiteReadyForInstallation_BL]],"-")</f>
        <v>-</v>
      </c>
      <c r="AZ68" s="64" t="str">
        <f>IF(ISBLANK(Table_SiteMilestoneTracking[[#This Row],[SiteReadyForInstallation_AC]])=FALSE,Table_SiteMilestoneTracking[[#This Row],[SiteReadyForInstallation_AC]]-Table_SiteMilestoneTracking[[#This Row],[TXReady_AC]],"-")</f>
        <v>-</v>
      </c>
      <c r="BA68" s="64">
        <f>$BA$2</f>
        <v>2500</v>
      </c>
      <c r="BB68" s="82"/>
      <c r="BC68" s="63">
        <f>Table_SiteMilestoneTracking[[#This Row],[SiteReadyForInstallation_BL]]+t6_InstallationBL</f>
        <v>44052</v>
      </c>
      <c r="BD68" s="84"/>
      <c r="BE68" s="64" t="str">
        <f>IF(ISBLANK(Table_SiteMilestoneTracking[[#This Row],[SiteReadyForIntegration_AC]])=FALSE,Table_SiteMilestoneTracking[[#This Row],[SiteReadyForIntegration_AC]]-Table_SiteMilestoneTracking[[#This Row],[SiteReadyForIntegration_BL]],"-")</f>
        <v>-</v>
      </c>
      <c r="BF68" s="64" t="str">
        <f>IF(ISBLANK(Table_SiteMilestoneTracking[[#This Row],[SiteReadyForIntegration_AC]])=FALSE,Table_SiteMilestoneTracking[[#This Row],[SiteReadyForIntegration_AC]]-Table_SiteMilestoneTracking[[#This Row],[SiteReadyForInstallation_AC]],"-")</f>
        <v>-</v>
      </c>
      <c r="BG68" s="64">
        <f>$BG$2</f>
        <v>500</v>
      </c>
      <c r="BH68" s="82"/>
      <c r="BI68" s="63">
        <f>Table_SiteMilestoneTracking[[#This Row],[SiteReadyForIntegration_BL]]+t7_IntegrationBL</f>
        <v>44056</v>
      </c>
      <c r="BJ68" s="84"/>
      <c r="BK68" s="64" t="str">
        <f>IF(ISBLANK(Table_SiteMilestoneTracking[[#This Row],[SiteOnAir_AC]])=FALSE,Table_SiteMilestoneTracking[[#This Row],[SiteOnAir_AC]]-Table_SiteMilestoneTracking[[#This Row],[SiteOnAir_BL]],"-")</f>
        <v>-</v>
      </c>
      <c r="BL68" s="64" t="str">
        <f>IF(ISBLANK(Table_SiteMilestoneTracking[[#This Row],[SiteOnAir_AC]])=FALSE,Table_SiteMilestoneTracking[[#This Row],[SiteOnAir_AC]]-Table_SiteMilestoneTracking[[#This Row],[SiteReadyForIntegration_AC]],"-")</f>
        <v>-</v>
      </c>
      <c r="BM68" s="64">
        <f>$BM$2</f>
        <v>250</v>
      </c>
      <c r="BN68" s="82"/>
      <c r="BO68" s="63">
        <f>Table_SiteMilestoneTracking[[#This Row],[SiteOnAir_BL]]+t8_AcceptanceBL</f>
        <v>44060</v>
      </c>
      <c r="BP68" s="84"/>
      <c r="BQ68" s="64" t="str">
        <f>IF(ISBLANK(Table_SiteMilestoneTracking[[#This Row],[SiteAccepted_AC]])=FALSE,Table_SiteMilestoneTracking[[#This Row],[SiteAccepted_AC]]-Table_SiteMilestoneTracking[[#This Row],[SiteAccepted_BL]],"-")</f>
        <v>-</v>
      </c>
      <c r="BR68" s="64" t="str">
        <f>IF(ISBLANK(Table_SiteMilestoneTracking[[#This Row],[SiteAccepted_AC]])=FALSE,Table_SiteMilestoneTracking[[#This Row],[SiteAccepted_AC]]-Table_SiteMilestoneTracking[[#This Row],[SiteOnAir_AC]],"-")</f>
        <v>-</v>
      </c>
      <c r="BS68" s="64">
        <f>$BS$2</f>
        <v>200</v>
      </c>
      <c r="BT68" s="82"/>
      <c r="BU68" s="63">
        <f>Table_SiteMilestoneTracking[[#This Row],[SiteAccepted_BL]]+t9_HandoverBL</f>
        <v>44068</v>
      </c>
      <c r="BV68" s="84"/>
      <c r="BW68" s="64" t="str">
        <f>IF(ISBLANK(Table_SiteMilestoneTracking[[#This Row],[SiteInOperations_AC]])=FALSE,Table_SiteMilestoneTracking[[#This Row],[SiteInOperations_AC]]-Table_SiteMilestoneTracking[[#This Row],[SiteInOperations_BL]],"-")</f>
        <v>-</v>
      </c>
      <c r="BX68" s="66">
        <f>Table_SiteMilestoneTracking[[#This Row],[SiteInOperations_BL]]-Table_SiteMilestoneTracking[[#This Row],[SiteDesignReady_BL]]</f>
        <v>55</v>
      </c>
      <c r="BY68" s="66" t="str">
        <f>IF(Table_SiteMilestoneTracking[[#This Row],[CurrentSiteMilestone]]="SiteInOperations",Table_SiteMilestoneTracking[[#This Row],[SiteInOperations_AC]]-Table_SiteMilestoneTracking[[#This Row],[SiteDesignReady_AC]],"")</f>
        <v/>
      </c>
      <c r="BZ68" s="66" t="str">
        <f>IFERROR(Table_SiteMilestoneTracking[[#This Row],[E2E_Site_AC]]-Table_SiteMilestoneTracking[[#This Row],[E2E_Site_BL]],"")</f>
        <v/>
      </c>
      <c r="CA68" s="66" t="str">
        <f>IF(Table_SiteMilestoneTracking[[#This Row],[CurrentSiteMilestone]]="SiteInOperations",Table_SiteMilestoneTracking[[#This Row],[SiteInOperations_AC]]-Table_SiteMilestoneTracking[[#This Row],[SiteAccepted_AC]],"")</f>
        <v/>
      </c>
      <c r="CB68" s="79"/>
      <c r="CC68" s="89"/>
      <c r="CD68" s="89"/>
      <c r="CE68" s="70"/>
      <c r="CF68" s="70"/>
      <c r="CG68" s="70"/>
      <c r="CH68" s="70"/>
      <c r="CI68" s="70"/>
      <c r="CJ68" s="70"/>
      <c r="CK68" s="70"/>
      <c r="CL68" s="70"/>
      <c r="CM68" s="70"/>
      <c r="CN68" s="70"/>
      <c r="CO68" s="70"/>
      <c r="CP68" s="70"/>
      <c r="CQ68" s="70"/>
      <c r="CR68" s="70"/>
      <c r="CS68" s="70"/>
      <c r="CT68" s="70"/>
      <c r="CU68" s="70"/>
      <c r="CV68" s="70"/>
      <c r="CW68" s="70"/>
      <c r="CX68" s="70"/>
      <c r="CY68" s="70"/>
      <c r="CZ68" s="70"/>
      <c r="DA68" s="70"/>
      <c r="DB68" s="70"/>
      <c r="DC68" s="70"/>
      <c r="DD68" s="70"/>
      <c r="DE68" s="70"/>
      <c r="DF68" s="70"/>
      <c r="DG68" s="70"/>
      <c r="DH68" s="70"/>
      <c r="DI68" s="70"/>
      <c r="DJ68" s="70"/>
      <c r="DK68" s="70"/>
      <c r="DL68" s="70"/>
      <c r="DM68" s="70"/>
      <c r="DN68" s="70"/>
      <c r="DO68" s="70"/>
      <c r="DP68" s="70"/>
      <c r="DQ68" s="70"/>
      <c r="DR68" s="70"/>
      <c r="DS68" s="70"/>
      <c r="DT68" s="70"/>
      <c r="DU68" s="70"/>
      <c r="DV68" s="70"/>
    </row>
    <row r="69" spans="1:126" x14ac:dyDescent="0.3">
      <c r="A69" s="79" t="str">
        <f>'4. Design Tracking Summary'!A70</f>
        <v>AP00049</v>
      </c>
      <c r="B69" s="79" t="str">
        <f>'4. Design Tracking Summary'!B70</f>
        <v>South</v>
      </c>
      <c r="C69" s="79" t="str">
        <f>'4. Design Tracking Summary'!C70</f>
        <v>GTO</v>
      </c>
      <c r="D69" s="79" t="str">
        <f>'4. Design Tracking Summary'!D70</f>
        <v>SMALL</v>
      </c>
      <c r="E69" s="79" t="s">
        <v>58</v>
      </c>
      <c r="F69" s="79"/>
      <c r="G69" s="60" t="str">
        <f>IFERROR(INDEX(Table_SiteMilestonesNames[SiteMilestoneName],COUNTA(Table_SiteMilestoneTracking[[#This Row],[SiteDesignStarted_AC]],Table_SiteMilestoneTracking[[#This Row],[SiteDesignReady_AC]],Table_SiteMilestoneTracking[[#This Row],[SiteSurveyCompleted_AC]],Table_SiteMilestoneTracking[[#This Row],[SiteAcquired_AC]],Table_SiteMilestoneTracking[[#This Row],[SiteReadyForCW_AC]],Table_SiteMilestoneTracking[[#This Row],[SiteReadyForPower_AC]],Table_SiteMilestoneTracking[[#This Row],[TXReady_AC]],Table_SiteMilestoneTracking[[#This Row],[SiteReadyForInstallation_AC]],Table_SiteMilestoneTracking[[#This Row],[SiteReadyForIntegration_AC]],Table_SiteMilestoneTracking[[#This Row],[SiteOnAir_AC]],Table_SiteMilestoneTracking[[#This Row],[SiteAccepted_AC]],Table_SiteMilestoneTracking[[#This Row],[SiteInOperations_AC]])+1),"Invalid Milestone")</f>
        <v>SiteReadyForPower</v>
      </c>
      <c r="H69" s="61">
        <f>Table_SiteMilestoneTracking[[#This Row],[c0_SiteDesignCostBL]]+Table_SiteMilestoneTracking[[#This Row],[c1_SiteSurveyCostBL]]+Table_SiteMilestoneTracking[[#This Row],[c2_SiteAcquisitionCostBL]]+Table_SiteMilestoneTracking[[#This Row],[c3_CivilWorksCostBL]]+Table_SiteMilestoneTracking[[#This Row],[c4_PowerInstallCostBL]]+Table_SiteMilestoneTracking[[#This Row],[c5_TxintegrationCostBL]]+Table_SiteMilestoneTracking[[#This Row],[c6_InstallationCostBL]]+Table_SiteMilestoneTracking[[#This Row],[c7_IntegrationCostBL]]+Table_SiteMilestoneTracking[[#This Row],[c8_AcceptanceCostBL]]+Table_SiteMilestoneTracking[[#This Row],[c9_HandoverCostBL]]</f>
        <v>7550</v>
      </c>
      <c r="I69" s="62">
        <f>Table_SiteMilestoneTracking[[#This Row],[c0_SiteDesignCostAC]]+Table_SiteMilestoneTracking[[#This Row],[c1_SiteSurveyCostAC]]+Table_SiteMilestoneTracking[[#This Row],[c2_SiteAcquisitionCostAC]]+Table_SiteMilestoneTracking[[#This Row],[c3_CivilWorksCostAC]]+Table_SiteMilestoneTracking[[#This Row],[c4_PowerInstallCostAC]]+Table_SiteMilestoneTracking[[#This Row],[c5_TxintegrationCostAC]]+Table_SiteMilestoneTracking[[#This Row],[c6_InstallationCostAC]]+Table_SiteMilestoneTracking[[#This Row],[c7_IntegrationCostAC]]+Table_SiteMilestoneTracking[[#This Row],[c8_AcceptanceCostAC]]+Table_SiteMilestoneTracking[[#This Row],[c9_HandoverCostAC]]</f>
        <v>3375</v>
      </c>
      <c r="J69" s="84">
        <v>44011</v>
      </c>
      <c r="K69" s="84">
        <v>44012</v>
      </c>
      <c r="L69" s="64">
        <f>IF(ISBLANK(Table_SiteMilestoneTracking[[#This Row],[SiteDesignStarted_AC]])=FALSE,Table_SiteMilestoneTracking[[#This Row],[SiteDesignStarted_AC]]-Table_SiteMilestoneTracking[[#This Row],[SiteDesignStarted_BL]],"")</f>
        <v>1</v>
      </c>
      <c r="M69" s="64">
        <f t="shared" si="11"/>
        <v>500</v>
      </c>
      <c r="N69" s="87">
        <v>540</v>
      </c>
      <c r="O69" s="63">
        <f>Table_SiteMilestoneTracking[[#This Row],[SiteDesignStarted_BL]]+t0_SiteDesignDelayBL</f>
        <v>44013</v>
      </c>
      <c r="P69" s="84">
        <v>44015</v>
      </c>
      <c r="Q69" s="64">
        <f>IF(ISBLANK(Table_SiteMilestoneTracking[[#This Row],[SiteDesignReady_AC]])=FALSE,Table_SiteMilestoneTracking[[#This Row],[SiteDesignReady_AC]]-Table_SiteMilestoneTracking[[#This Row],[SiteDesignReady_BL]],"-")</f>
        <v>2</v>
      </c>
      <c r="R69" s="64">
        <f t="shared" ref="R69:R103" si="16">$R$2</f>
        <v>500</v>
      </c>
      <c r="S69" s="82">
        <v>525</v>
      </c>
      <c r="T69" s="63">
        <f>Table_SiteMilestoneTracking[[#This Row],[SiteDesignReady_BL]]+t1_SiteSurveyBL</f>
        <v>44015</v>
      </c>
      <c r="U69" s="84">
        <v>44017</v>
      </c>
      <c r="V69" s="64">
        <f>IF(ISBLANK(Table_SiteMilestoneTracking[[#This Row],[SiteSurveyCompleted_AC]])=FALSE,Table_SiteMilestoneTracking[[#This Row],[SiteSurveyCompleted_AC]]-Table_SiteMilestoneTracking[[#This Row],[SiteDesignReady_AC]],"-")</f>
        <v>2</v>
      </c>
      <c r="W69" s="64">
        <f t="shared" si="12"/>
        <v>600</v>
      </c>
      <c r="X69" s="82">
        <v>360</v>
      </c>
      <c r="Y69" s="63">
        <f>Table_SiteMilestoneTracking[[#This Row],[SiteSurveyCompleted_BL]]+t2_SiteAcquisitionBL</f>
        <v>44026</v>
      </c>
      <c r="Z69" s="84">
        <v>44029</v>
      </c>
      <c r="AA69" s="65">
        <f>IF(ISBLANK(Table_SiteMilestoneTracking[[#This Row],[SiteAcquired_AC]])=FALSE,Table_SiteMilestoneTracking[[#This Row],[SiteAcquired_AC]]-Table_SiteMilestoneTracking[[#This Row],[SiteAcquired_BL]],"-")</f>
        <v>3</v>
      </c>
      <c r="AB69" s="65">
        <f>IF(ISBLANK(Table_SiteMilestoneTracking[[#This Row],[SiteAcquired_AC]])=FALSE,Table_SiteMilestoneTracking[[#This Row],[SiteAcquired_AC]]-Table_SiteMilestoneTracking[[#This Row],[SiteSurveyCompleted_AC]],"-")</f>
        <v>12</v>
      </c>
      <c r="AC69" s="64">
        <f t="shared" si="13"/>
        <v>150</v>
      </c>
      <c r="AD69" s="82">
        <v>180.00000000000003</v>
      </c>
      <c r="AE69" s="63">
        <f>Table_SiteMilestoneTracking[[#This Row],[SiteAcquired_BL]]+t2a_SiteCWReadinessBL</f>
        <v>44028</v>
      </c>
      <c r="AF69" s="85">
        <v>44031</v>
      </c>
      <c r="AG69" s="66">
        <f>IF(ISBLANK(Table_SiteMilestoneTracking[[#This Row],[SiteReadyForCW_AC]])=FALSE,Table_SiteMilestoneTracking[[#This Row],[SiteReadyForCW_AC]]-Table_SiteMilestoneTracking[[#This Row],[SiteReadyForCW_BL]],"-")</f>
        <v>3</v>
      </c>
      <c r="AH69" s="66">
        <f>IF(ISBLANK(Table_SiteMilestoneTracking[[#This Row],[SiteReadyForCW_AC]])=FALSE,Table_SiteMilestoneTracking[[#This Row],[SiteReadyForCW_AC]]-Table_SiteMilestoneTracking[[#This Row],[SiteDesignReady_AC]],"-")</f>
        <v>16</v>
      </c>
      <c r="AI69" s="64">
        <f t="shared" si="14"/>
        <v>1500</v>
      </c>
      <c r="AJ69" s="82">
        <v>1950</v>
      </c>
      <c r="AK69" s="63">
        <f>Table_SiteMilestoneTracking[[#This Row],[SiteReadyForCW_BL]]+t3_CivilWorksBL</f>
        <v>44036</v>
      </c>
      <c r="AL69" s="84">
        <v>44040</v>
      </c>
      <c r="AM69" s="64">
        <f>IF(ISBLANK(Table_SiteMilestoneTracking[[#This Row],[SiteReadyForPower_AC]])=FALSE,Table_SiteMilestoneTracking[[#This Row],[SiteReadyForPower_AC]]-Table_SiteMilestoneTracking[[#This Row],[SiteReadyForPower_BL]],"-")</f>
        <v>4</v>
      </c>
      <c r="AN69" s="64">
        <f>IF(ISBLANK(Table_SiteMilestoneTracking[[#This Row],[SiteReadyForPower_AC]])=FALSE,Table_SiteMilestoneTracking[[#This Row],[SiteReadyForPower_AC]]-Table_SiteMilestoneTracking[[#This Row],[SiteReadyForCW_AC]],"-")</f>
        <v>9</v>
      </c>
      <c r="AO69" s="64">
        <f t="shared" si="15"/>
        <v>500</v>
      </c>
      <c r="AP69" s="82"/>
      <c r="AQ69" s="63">
        <f>Table_SiteMilestoneTracking[[#This Row],[SiteReadyForPower_BL]]+t4_PowerInstallBL</f>
        <v>44041</v>
      </c>
      <c r="AR69" s="84"/>
      <c r="AS69" s="64" t="str">
        <f>IF(ISBLANK(Table_SiteMilestoneTracking[[#This Row],[TXReady_AC]])=FALSE,Table_SiteMilestoneTracking[[#This Row],[TXReady_AC]]-Table_SiteMilestoneTracking[[#This Row],[TXReady_BL]],"-")</f>
        <v>-</v>
      </c>
      <c r="AT69" s="64" t="str">
        <f>IF(ISBLANK(Table_SiteMilestoneTracking[[#This Row],[TXReady_AC]])=FALSE,Table_SiteMilestoneTracking[[#This Row],[TXReady_AC]]-Table_SiteMilestoneTracking[[#This Row],[SiteReadyForPower_AC]],"-")</f>
        <v>-</v>
      </c>
      <c r="AU69" s="64">
        <f>$AU$2</f>
        <v>500</v>
      </c>
      <c r="AV69" s="82"/>
      <c r="AW69" s="63">
        <f>Table_SiteMilestoneTracking[[#This Row],[TXReady_BL]]+t5_TxintegrationBL</f>
        <v>44048</v>
      </c>
      <c r="AX69" s="84"/>
      <c r="AY69" s="64" t="str">
        <f>IF(ISBLANK(Table_SiteMilestoneTracking[[#This Row],[SiteReadyForInstallation_AC]])=FALSE,Table_SiteMilestoneTracking[[#This Row],[SiteReadyForInstallation_AC]]-Table_SiteMilestoneTracking[[#This Row],[SiteReadyForInstallation_BL]],"-")</f>
        <v>-</v>
      </c>
      <c r="AZ69" s="64" t="str">
        <f>IF(ISBLANK(Table_SiteMilestoneTracking[[#This Row],[SiteReadyForInstallation_AC]])=FALSE,Table_SiteMilestoneTracking[[#This Row],[SiteReadyForInstallation_AC]]-Table_SiteMilestoneTracking[[#This Row],[TXReady_AC]],"-")</f>
        <v>-</v>
      </c>
      <c r="BA69" s="64">
        <f>$BA$2</f>
        <v>2500</v>
      </c>
      <c r="BB69" s="82"/>
      <c r="BC69" s="63">
        <f>Table_SiteMilestoneTracking[[#This Row],[SiteReadyForInstallation_BL]]+t6_InstallationBL</f>
        <v>44052</v>
      </c>
      <c r="BD69" s="84"/>
      <c r="BE69" s="64" t="str">
        <f>IF(ISBLANK(Table_SiteMilestoneTracking[[#This Row],[SiteReadyForIntegration_AC]])=FALSE,Table_SiteMilestoneTracking[[#This Row],[SiteReadyForIntegration_AC]]-Table_SiteMilestoneTracking[[#This Row],[SiteReadyForIntegration_BL]],"-")</f>
        <v>-</v>
      </c>
      <c r="BF69" s="64" t="str">
        <f>IF(ISBLANK(Table_SiteMilestoneTracking[[#This Row],[SiteReadyForIntegration_AC]])=FALSE,Table_SiteMilestoneTracking[[#This Row],[SiteReadyForIntegration_AC]]-Table_SiteMilestoneTracking[[#This Row],[SiteReadyForInstallation_AC]],"-")</f>
        <v>-</v>
      </c>
      <c r="BG69" s="64">
        <f>$BG$2</f>
        <v>500</v>
      </c>
      <c r="BH69" s="82"/>
      <c r="BI69" s="63">
        <f>Table_SiteMilestoneTracking[[#This Row],[SiteReadyForIntegration_BL]]+t7_IntegrationBL</f>
        <v>44056</v>
      </c>
      <c r="BJ69" s="84"/>
      <c r="BK69" s="64" t="str">
        <f>IF(ISBLANK(Table_SiteMilestoneTracking[[#This Row],[SiteOnAir_AC]])=FALSE,Table_SiteMilestoneTracking[[#This Row],[SiteOnAir_AC]]-Table_SiteMilestoneTracking[[#This Row],[SiteOnAir_BL]],"-")</f>
        <v>-</v>
      </c>
      <c r="BL69" s="64" t="str">
        <f>IF(ISBLANK(Table_SiteMilestoneTracking[[#This Row],[SiteOnAir_AC]])=FALSE,Table_SiteMilestoneTracking[[#This Row],[SiteOnAir_AC]]-Table_SiteMilestoneTracking[[#This Row],[SiteReadyForIntegration_AC]],"-")</f>
        <v>-</v>
      </c>
      <c r="BM69" s="64">
        <f>$BM$2</f>
        <v>250</v>
      </c>
      <c r="BN69" s="82"/>
      <c r="BO69" s="63">
        <f>Table_SiteMilestoneTracking[[#This Row],[SiteOnAir_BL]]+t8_AcceptanceBL</f>
        <v>44060</v>
      </c>
      <c r="BP69" s="84"/>
      <c r="BQ69" s="64" t="str">
        <f>IF(ISBLANK(Table_SiteMilestoneTracking[[#This Row],[SiteAccepted_AC]])=FALSE,Table_SiteMilestoneTracking[[#This Row],[SiteAccepted_AC]]-Table_SiteMilestoneTracking[[#This Row],[SiteAccepted_BL]],"-")</f>
        <v>-</v>
      </c>
      <c r="BR69" s="64" t="str">
        <f>IF(ISBLANK(Table_SiteMilestoneTracking[[#This Row],[SiteAccepted_AC]])=FALSE,Table_SiteMilestoneTracking[[#This Row],[SiteAccepted_AC]]-Table_SiteMilestoneTracking[[#This Row],[SiteOnAir_AC]],"-")</f>
        <v>-</v>
      </c>
      <c r="BS69" s="64">
        <f>$BS$2</f>
        <v>200</v>
      </c>
      <c r="BT69" s="82"/>
      <c r="BU69" s="63">
        <f>Table_SiteMilestoneTracking[[#This Row],[SiteAccepted_BL]]+t9_HandoverBL</f>
        <v>44068</v>
      </c>
      <c r="BV69" s="84"/>
      <c r="BW69" s="64" t="str">
        <f>IF(ISBLANK(Table_SiteMilestoneTracking[[#This Row],[SiteInOperations_AC]])=FALSE,Table_SiteMilestoneTracking[[#This Row],[SiteInOperations_AC]]-Table_SiteMilestoneTracking[[#This Row],[SiteInOperations_BL]],"-")</f>
        <v>-</v>
      </c>
      <c r="BX69" s="66">
        <f>Table_SiteMilestoneTracking[[#This Row],[SiteInOperations_BL]]-Table_SiteMilestoneTracking[[#This Row],[SiteDesignReady_BL]]</f>
        <v>55</v>
      </c>
      <c r="BY69" s="66" t="str">
        <f>IF(Table_SiteMilestoneTracking[[#This Row],[CurrentSiteMilestone]]="SiteInOperations",Table_SiteMilestoneTracking[[#This Row],[SiteInOperations_AC]]-Table_SiteMilestoneTracking[[#This Row],[SiteDesignReady_AC]],"")</f>
        <v/>
      </c>
      <c r="BZ69" s="66" t="str">
        <f>IFERROR(Table_SiteMilestoneTracking[[#This Row],[E2E_Site_AC]]-Table_SiteMilestoneTracking[[#This Row],[E2E_Site_BL]],"")</f>
        <v/>
      </c>
      <c r="CA69" s="66" t="str">
        <f>IF(Table_SiteMilestoneTracking[[#This Row],[CurrentSiteMilestone]]="SiteInOperations",Table_SiteMilestoneTracking[[#This Row],[SiteInOperations_AC]]-Table_SiteMilestoneTracking[[#This Row],[SiteAccepted_AC]],"")</f>
        <v/>
      </c>
      <c r="CB69" s="79"/>
      <c r="CC69" s="89"/>
      <c r="CD69" s="89"/>
      <c r="CE69" s="70"/>
      <c r="CF69" s="70"/>
      <c r="CG69" s="70"/>
      <c r="CH69" s="70"/>
      <c r="CI69" s="70"/>
      <c r="CJ69" s="70"/>
      <c r="CK69" s="70"/>
      <c r="CL69" s="70"/>
      <c r="CM69" s="70"/>
      <c r="CN69" s="70"/>
      <c r="CO69" s="70"/>
      <c r="CP69" s="70"/>
      <c r="CQ69" s="70"/>
      <c r="CR69" s="70"/>
      <c r="CS69" s="70"/>
      <c r="CT69" s="70"/>
      <c r="CU69" s="70"/>
      <c r="CV69" s="70"/>
      <c r="CW69" s="70"/>
      <c r="CX69" s="70"/>
      <c r="CY69" s="70"/>
      <c r="CZ69" s="70"/>
      <c r="DA69" s="70"/>
      <c r="DB69" s="70"/>
      <c r="DC69" s="70"/>
      <c r="DD69" s="70"/>
      <c r="DE69" s="70"/>
      <c r="DF69" s="70"/>
      <c r="DG69" s="70"/>
      <c r="DH69" s="70"/>
      <c r="DI69" s="70"/>
      <c r="DJ69" s="70"/>
      <c r="DK69" s="70"/>
      <c r="DL69" s="70"/>
      <c r="DM69" s="70"/>
      <c r="DN69" s="70"/>
      <c r="DO69" s="70"/>
      <c r="DP69" s="70"/>
      <c r="DQ69" s="70"/>
      <c r="DR69" s="70"/>
      <c r="DS69" s="70"/>
      <c r="DT69" s="70"/>
      <c r="DU69" s="70"/>
      <c r="DV69" s="70"/>
    </row>
    <row r="70" spans="1:126" x14ac:dyDescent="0.3">
      <c r="A70" s="79" t="str">
        <f>'4. Design Tracking Summary'!A71</f>
        <v>PI00135</v>
      </c>
      <c r="B70" s="79" t="str">
        <f>'4. Design Tracking Summary'!B71</f>
        <v>North</v>
      </c>
      <c r="C70" s="79" t="str">
        <f>'4. Design Tracking Summary'!C71</f>
        <v>QRO</v>
      </c>
      <c r="D70" s="79" t="str">
        <f>'4. Design Tracking Summary'!D71</f>
        <v>MACRO</v>
      </c>
      <c r="E70" s="79" t="s">
        <v>58</v>
      </c>
      <c r="F70" s="79"/>
      <c r="G70" s="60" t="str">
        <f>IFERROR(INDEX(Table_SiteMilestonesNames[SiteMilestoneName],COUNTA(Table_SiteMilestoneTracking[[#This Row],[SiteDesignStarted_AC]],Table_SiteMilestoneTracking[[#This Row],[SiteDesignReady_AC]],Table_SiteMilestoneTracking[[#This Row],[SiteSurveyCompleted_AC]],Table_SiteMilestoneTracking[[#This Row],[SiteAcquired_AC]],Table_SiteMilestoneTracking[[#This Row],[SiteReadyForCW_AC]],Table_SiteMilestoneTracking[[#This Row],[SiteReadyForPower_AC]],Table_SiteMilestoneTracking[[#This Row],[TXReady_AC]],Table_SiteMilestoneTracking[[#This Row],[SiteReadyForInstallation_AC]],Table_SiteMilestoneTracking[[#This Row],[SiteReadyForIntegration_AC]],Table_SiteMilestoneTracking[[#This Row],[SiteOnAir_AC]],Table_SiteMilestoneTracking[[#This Row],[SiteAccepted_AC]],Table_SiteMilestoneTracking[[#This Row],[SiteInOperations_AC]])+1),"Invalid Milestone")</f>
        <v>SiteReadyForPower</v>
      </c>
      <c r="H70" s="61">
        <f>Table_SiteMilestoneTracking[[#This Row],[c0_SiteDesignCostBL]]+Table_SiteMilestoneTracking[[#This Row],[c1_SiteSurveyCostBL]]+Table_SiteMilestoneTracking[[#This Row],[c2_SiteAcquisitionCostBL]]+Table_SiteMilestoneTracking[[#This Row],[c3_CivilWorksCostBL]]+Table_SiteMilestoneTracking[[#This Row],[c4_PowerInstallCostBL]]+Table_SiteMilestoneTracking[[#This Row],[c5_TxintegrationCostBL]]+Table_SiteMilestoneTracking[[#This Row],[c6_InstallationCostBL]]+Table_SiteMilestoneTracking[[#This Row],[c7_IntegrationCostBL]]+Table_SiteMilestoneTracking[[#This Row],[c8_AcceptanceCostBL]]+Table_SiteMilestoneTracking[[#This Row],[c9_HandoverCostBL]]</f>
        <v>7550</v>
      </c>
      <c r="I70" s="62">
        <f>Table_SiteMilestoneTracking[[#This Row],[c0_SiteDesignCostAC]]+Table_SiteMilestoneTracking[[#This Row],[c1_SiteSurveyCostAC]]+Table_SiteMilestoneTracking[[#This Row],[c2_SiteAcquisitionCostAC]]+Table_SiteMilestoneTracking[[#This Row],[c3_CivilWorksCostAC]]+Table_SiteMilestoneTracking[[#This Row],[c4_PowerInstallCostAC]]+Table_SiteMilestoneTracking[[#This Row],[c5_TxintegrationCostAC]]+Table_SiteMilestoneTracking[[#This Row],[c6_InstallationCostAC]]+Table_SiteMilestoneTracking[[#This Row],[c7_IntegrationCostAC]]+Table_SiteMilestoneTracking[[#This Row],[c8_AcceptanceCostAC]]+Table_SiteMilestoneTracking[[#This Row],[c9_HandoverCostAC]]</f>
        <v>3505</v>
      </c>
      <c r="J70" s="84">
        <v>44011</v>
      </c>
      <c r="K70" s="84">
        <v>44013</v>
      </c>
      <c r="L70" s="64">
        <f>IF(ISBLANK(Table_SiteMilestoneTracking[[#This Row],[SiteDesignStarted_AC]])=FALSE,Table_SiteMilestoneTracking[[#This Row],[SiteDesignStarted_AC]]-Table_SiteMilestoneTracking[[#This Row],[SiteDesignStarted_BL]],"")</f>
        <v>2</v>
      </c>
      <c r="M70" s="64">
        <f t="shared" si="11"/>
        <v>500</v>
      </c>
      <c r="N70" s="87">
        <v>460</v>
      </c>
      <c r="O70" s="63">
        <f>Table_SiteMilestoneTracking[[#This Row],[SiteDesignStarted_BL]]+t0_SiteDesignDelayBL</f>
        <v>44013</v>
      </c>
      <c r="P70" s="84">
        <v>44017</v>
      </c>
      <c r="Q70" s="64">
        <f>IF(ISBLANK(Table_SiteMilestoneTracking[[#This Row],[SiteDesignReady_AC]])=FALSE,Table_SiteMilestoneTracking[[#This Row],[SiteDesignReady_AC]]-Table_SiteMilestoneTracking[[#This Row],[SiteDesignReady_BL]],"-")</f>
        <v>4</v>
      </c>
      <c r="R70" s="64">
        <f t="shared" si="16"/>
        <v>500</v>
      </c>
      <c r="S70" s="82">
        <v>375</v>
      </c>
      <c r="T70" s="63">
        <f>Table_SiteMilestoneTracking[[#This Row],[SiteDesignReady_BL]]+t1_SiteSurveyBL</f>
        <v>44015</v>
      </c>
      <c r="U70" s="84">
        <v>44019</v>
      </c>
      <c r="V70" s="64">
        <f>IF(ISBLANK(Table_SiteMilestoneTracking[[#This Row],[SiteSurveyCompleted_AC]])=FALSE,Table_SiteMilestoneTracking[[#This Row],[SiteSurveyCompleted_AC]]-Table_SiteMilestoneTracking[[#This Row],[SiteDesignReady_AC]],"-")</f>
        <v>2</v>
      </c>
      <c r="W70" s="64">
        <f t="shared" si="12"/>
        <v>600</v>
      </c>
      <c r="X70" s="82">
        <v>420</v>
      </c>
      <c r="Y70" s="63">
        <f>Table_SiteMilestoneTracking[[#This Row],[SiteSurveyCompleted_BL]]+t2_SiteAcquisitionBL</f>
        <v>44026</v>
      </c>
      <c r="Z70" s="84">
        <v>44030</v>
      </c>
      <c r="AA70" s="65">
        <f>IF(ISBLANK(Table_SiteMilestoneTracking[[#This Row],[SiteAcquired_AC]])=FALSE,Table_SiteMilestoneTracking[[#This Row],[SiteAcquired_AC]]-Table_SiteMilestoneTracking[[#This Row],[SiteAcquired_BL]],"-")</f>
        <v>4</v>
      </c>
      <c r="AB70" s="65">
        <f>IF(ISBLANK(Table_SiteMilestoneTracking[[#This Row],[SiteAcquired_AC]])=FALSE,Table_SiteMilestoneTracking[[#This Row],[SiteAcquired_AC]]-Table_SiteMilestoneTracking[[#This Row],[SiteSurveyCompleted_AC]],"-")</f>
        <v>11</v>
      </c>
      <c r="AC70" s="64">
        <f t="shared" si="13"/>
        <v>150</v>
      </c>
      <c r="AD70" s="82">
        <v>120</v>
      </c>
      <c r="AE70" s="63">
        <f>Table_SiteMilestoneTracking[[#This Row],[SiteAcquired_BL]]+t2a_SiteCWReadinessBL</f>
        <v>44028</v>
      </c>
      <c r="AF70" s="85">
        <v>44033</v>
      </c>
      <c r="AG70" s="66">
        <f>IF(ISBLANK(Table_SiteMilestoneTracking[[#This Row],[SiteReadyForCW_AC]])=FALSE,Table_SiteMilestoneTracking[[#This Row],[SiteReadyForCW_AC]]-Table_SiteMilestoneTracking[[#This Row],[SiteReadyForCW_BL]],"-")</f>
        <v>5</v>
      </c>
      <c r="AH70" s="66">
        <f>IF(ISBLANK(Table_SiteMilestoneTracking[[#This Row],[SiteReadyForCW_AC]])=FALSE,Table_SiteMilestoneTracking[[#This Row],[SiteReadyForCW_AC]]-Table_SiteMilestoneTracking[[#This Row],[SiteDesignReady_AC]],"-")</f>
        <v>16</v>
      </c>
      <c r="AI70" s="64">
        <f t="shared" si="14"/>
        <v>1500</v>
      </c>
      <c r="AJ70" s="82">
        <v>2250</v>
      </c>
      <c r="AK70" s="63">
        <f>Table_SiteMilestoneTracking[[#This Row],[SiteReadyForCW_BL]]+t3_CivilWorksBL</f>
        <v>44036</v>
      </c>
      <c r="AL70" s="84">
        <v>44042</v>
      </c>
      <c r="AM70" s="64">
        <f>IF(ISBLANK(Table_SiteMilestoneTracking[[#This Row],[SiteReadyForPower_AC]])=FALSE,Table_SiteMilestoneTracking[[#This Row],[SiteReadyForPower_AC]]-Table_SiteMilestoneTracking[[#This Row],[SiteReadyForPower_BL]],"-")</f>
        <v>6</v>
      </c>
      <c r="AN70" s="64">
        <f>IF(ISBLANK(Table_SiteMilestoneTracking[[#This Row],[SiteReadyForPower_AC]])=FALSE,Table_SiteMilestoneTracking[[#This Row],[SiteReadyForPower_AC]]-Table_SiteMilestoneTracking[[#This Row],[SiteReadyForCW_AC]],"-")</f>
        <v>9</v>
      </c>
      <c r="AO70" s="64">
        <f t="shared" si="15"/>
        <v>500</v>
      </c>
      <c r="AP70" s="82"/>
      <c r="AQ70" s="63">
        <f>Table_SiteMilestoneTracking[[#This Row],[SiteReadyForPower_BL]]+t4_PowerInstallBL</f>
        <v>44041</v>
      </c>
      <c r="AR70" s="84"/>
      <c r="AS70" s="64" t="str">
        <f>IF(ISBLANK(Table_SiteMilestoneTracking[[#This Row],[TXReady_AC]])=FALSE,Table_SiteMilestoneTracking[[#This Row],[TXReady_AC]]-Table_SiteMilestoneTracking[[#This Row],[TXReady_BL]],"-")</f>
        <v>-</v>
      </c>
      <c r="AT70" s="64" t="str">
        <f>IF(ISBLANK(Table_SiteMilestoneTracking[[#This Row],[TXReady_AC]])=FALSE,Table_SiteMilestoneTracking[[#This Row],[TXReady_AC]]-Table_SiteMilestoneTracking[[#This Row],[SiteReadyForPower_AC]],"-")</f>
        <v>-</v>
      </c>
      <c r="AU70" s="64">
        <f>$AU$2</f>
        <v>500</v>
      </c>
      <c r="AV70" s="82"/>
      <c r="AW70" s="63">
        <f>Table_SiteMilestoneTracking[[#This Row],[TXReady_BL]]+t5_TxintegrationBL</f>
        <v>44048</v>
      </c>
      <c r="AX70" s="84"/>
      <c r="AY70" s="64" t="str">
        <f>IF(ISBLANK(Table_SiteMilestoneTracking[[#This Row],[SiteReadyForInstallation_AC]])=FALSE,Table_SiteMilestoneTracking[[#This Row],[SiteReadyForInstallation_AC]]-Table_SiteMilestoneTracking[[#This Row],[SiteReadyForInstallation_BL]],"-")</f>
        <v>-</v>
      </c>
      <c r="AZ70" s="64" t="str">
        <f>IF(ISBLANK(Table_SiteMilestoneTracking[[#This Row],[SiteReadyForInstallation_AC]])=FALSE,Table_SiteMilestoneTracking[[#This Row],[SiteReadyForInstallation_AC]]-Table_SiteMilestoneTracking[[#This Row],[TXReady_AC]],"-")</f>
        <v>-</v>
      </c>
      <c r="BA70" s="64">
        <f>$BA$2</f>
        <v>2500</v>
      </c>
      <c r="BB70" s="82"/>
      <c r="BC70" s="63">
        <f>Table_SiteMilestoneTracking[[#This Row],[SiteReadyForInstallation_BL]]+t6_InstallationBL</f>
        <v>44052</v>
      </c>
      <c r="BD70" s="84"/>
      <c r="BE70" s="64" t="str">
        <f>IF(ISBLANK(Table_SiteMilestoneTracking[[#This Row],[SiteReadyForIntegration_AC]])=FALSE,Table_SiteMilestoneTracking[[#This Row],[SiteReadyForIntegration_AC]]-Table_SiteMilestoneTracking[[#This Row],[SiteReadyForIntegration_BL]],"-")</f>
        <v>-</v>
      </c>
      <c r="BF70" s="64" t="str">
        <f>IF(ISBLANK(Table_SiteMilestoneTracking[[#This Row],[SiteReadyForIntegration_AC]])=FALSE,Table_SiteMilestoneTracking[[#This Row],[SiteReadyForIntegration_AC]]-Table_SiteMilestoneTracking[[#This Row],[SiteReadyForInstallation_AC]],"-")</f>
        <v>-</v>
      </c>
      <c r="BG70" s="64">
        <f>$BG$2</f>
        <v>500</v>
      </c>
      <c r="BH70" s="82"/>
      <c r="BI70" s="63">
        <f>Table_SiteMilestoneTracking[[#This Row],[SiteReadyForIntegration_BL]]+t7_IntegrationBL</f>
        <v>44056</v>
      </c>
      <c r="BJ70" s="84"/>
      <c r="BK70" s="64" t="str">
        <f>IF(ISBLANK(Table_SiteMilestoneTracking[[#This Row],[SiteOnAir_AC]])=FALSE,Table_SiteMilestoneTracking[[#This Row],[SiteOnAir_AC]]-Table_SiteMilestoneTracking[[#This Row],[SiteOnAir_BL]],"-")</f>
        <v>-</v>
      </c>
      <c r="BL70" s="64" t="str">
        <f>IF(ISBLANK(Table_SiteMilestoneTracking[[#This Row],[SiteOnAir_AC]])=FALSE,Table_SiteMilestoneTracking[[#This Row],[SiteOnAir_AC]]-Table_SiteMilestoneTracking[[#This Row],[SiteReadyForIntegration_AC]],"-")</f>
        <v>-</v>
      </c>
      <c r="BM70" s="64">
        <f>$BM$2</f>
        <v>250</v>
      </c>
      <c r="BN70" s="82"/>
      <c r="BO70" s="63">
        <f>Table_SiteMilestoneTracking[[#This Row],[SiteOnAir_BL]]+t8_AcceptanceBL</f>
        <v>44060</v>
      </c>
      <c r="BP70" s="84"/>
      <c r="BQ70" s="64" t="str">
        <f>IF(ISBLANK(Table_SiteMilestoneTracking[[#This Row],[SiteAccepted_AC]])=FALSE,Table_SiteMilestoneTracking[[#This Row],[SiteAccepted_AC]]-Table_SiteMilestoneTracking[[#This Row],[SiteAccepted_BL]],"-")</f>
        <v>-</v>
      </c>
      <c r="BR70" s="64" t="str">
        <f>IF(ISBLANK(Table_SiteMilestoneTracking[[#This Row],[SiteAccepted_AC]])=FALSE,Table_SiteMilestoneTracking[[#This Row],[SiteAccepted_AC]]-Table_SiteMilestoneTracking[[#This Row],[SiteOnAir_AC]],"-")</f>
        <v>-</v>
      </c>
      <c r="BS70" s="64">
        <f>$BS$2</f>
        <v>200</v>
      </c>
      <c r="BT70" s="82"/>
      <c r="BU70" s="63">
        <f>Table_SiteMilestoneTracking[[#This Row],[SiteAccepted_BL]]+t9_HandoverBL</f>
        <v>44068</v>
      </c>
      <c r="BV70" s="84"/>
      <c r="BW70" s="64" t="str">
        <f>IF(ISBLANK(Table_SiteMilestoneTracking[[#This Row],[SiteInOperations_AC]])=FALSE,Table_SiteMilestoneTracking[[#This Row],[SiteInOperations_AC]]-Table_SiteMilestoneTracking[[#This Row],[SiteInOperations_BL]],"-")</f>
        <v>-</v>
      </c>
      <c r="BX70" s="66">
        <f>Table_SiteMilestoneTracking[[#This Row],[SiteInOperations_BL]]-Table_SiteMilestoneTracking[[#This Row],[SiteDesignReady_BL]]</f>
        <v>55</v>
      </c>
      <c r="BY70" s="66" t="str">
        <f>IF(Table_SiteMilestoneTracking[[#This Row],[CurrentSiteMilestone]]="SiteInOperations",Table_SiteMilestoneTracking[[#This Row],[SiteInOperations_AC]]-Table_SiteMilestoneTracking[[#This Row],[SiteDesignReady_AC]],"")</f>
        <v/>
      </c>
      <c r="BZ70" s="66" t="str">
        <f>IFERROR(Table_SiteMilestoneTracking[[#This Row],[E2E_Site_AC]]-Table_SiteMilestoneTracking[[#This Row],[E2E_Site_BL]],"")</f>
        <v/>
      </c>
      <c r="CA70" s="66" t="str">
        <f>IF(Table_SiteMilestoneTracking[[#This Row],[CurrentSiteMilestone]]="SiteInOperations",Table_SiteMilestoneTracking[[#This Row],[SiteInOperations_AC]]-Table_SiteMilestoneTracking[[#This Row],[SiteAccepted_AC]],"")</f>
        <v/>
      </c>
      <c r="CB70" s="79"/>
      <c r="CC70" s="89"/>
      <c r="CD70" s="89"/>
      <c r="CE70" s="70"/>
      <c r="CF70" s="70"/>
      <c r="CG70" s="70"/>
      <c r="CH70" s="70"/>
      <c r="CI70" s="70"/>
      <c r="CJ70" s="70"/>
      <c r="CK70" s="70"/>
      <c r="CL70" s="70"/>
      <c r="CM70" s="70"/>
      <c r="CN70" s="70"/>
      <c r="CO70" s="70"/>
      <c r="CP70" s="70"/>
      <c r="CQ70" s="70"/>
      <c r="CR70" s="70"/>
      <c r="CS70" s="70"/>
      <c r="CT70" s="70"/>
      <c r="CU70" s="70"/>
      <c r="CV70" s="70"/>
      <c r="CW70" s="70"/>
      <c r="CX70" s="70"/>
      <c r="CY70" s="70"/>
      <c r="CZ70" s="70"/>
      <c r="DA70" s="70"/>
      <c r="DB70" s="70"/>
      <c r="DC70" s="70"/>
      <c r="DD70" s="70"/>
      <c r="DE70" s="70"/>
      <c r="DF70" s="70"/>
      <c r="DG70" s="70"/>
      <c r="DH70" s="70"/>
      <c r="DI70" s="70"/>
      <c r="DJ70" s="70"/>
      <c r="DK70" s="70"/>
      <c r="DL70" s="70"/>
      <c r="DM70" s="70"/>
      <c r="DN70" s="70"/>
      <c r="DO70" s="70"/>
      <c r="DP70" s="70"/>
      <c r="DQ70" s="70"/>
      <c r="DR70" s="70"/>
      <c r="DS70" s="70"/>
      <c r="DT70" s="70"/>
      <c r="DU70" s="70"/>
      <c r="DV70" s="70"/>
    </row>
    <row r="71" spans="1:126" x14ac:dyDescent="0.3">
      <c r="A71" s="79" t="str">
        <f>'4. Design Tracking Summary'!A72</f>
        <v>PI00184</v>
      </c>
      <c r="B71" s="79" t="str">
        <f>'4. Design Tracking Summary'!B72</f>
        <v>North</v>
      </c>
      <c r="C71" s="79" t="str">
        <f>'4. Design Tracking Summary'!C72</f>
        <v>VER</v>
      </c>
      <c r="D71" s="79" t="str">
        <f>'4. Design Tracking Summary'!D72</f>
        <v>MINI</v>
      </c>
      <c r="E71" s="79" t="s">
        <v>56</v>
      </c>
      <c r="F71" s="79"/>
      <c r="G71" s="60" t="str">
        <f>IFERROR(INDEX(Table_SiteMilestonesNames[SiteMilestoneName],COUNTA(Table_SiteMilestoneTracking[[#This Row],[SiteDesignStarted_AC]],Table_SiteMilestoneTracking[[#This Row],[SiteDesignReady_AC]],Table_SiteMilestoneTracking[[#This Row],[SiteSurveyCompleted_AC]],Table_SiteMilestoneTracking[[#This Row],[SiteAcquired_AC]],Table_SiteMilestoneTracking[[#This Row],[SiteReadyForCW_AC]],Table_SiteMilestoneTracking[[#This Row],[SiteReadyForPower_AC]],Table_SiteMilestoneTracking[[#This Row],[TXReady_AC]],Table_SiteMilestoneTracking[[#This Row],[SiteReadyForInstallation_AC]],Table_SiteMilestoneTracking[[#This Row],[SiteReadyForIntegration_AC]],Table_SiteMilestoneTracking[[#This Row],[SiteOnAir_AC]],Table_SiteMilestoneTracking[[#This Row],[SiteAccepted_AC]],Table_SiteMilestoneTracking[[#This Row],[SiteInOperations_AC]])+1),"Invalid Milestone")</f>
        <v>SiteReadyForPower</v>
      </c>
      <c r="H71" s="61">
        <f>Table_SiteMilestoneTracking[[#This Row],[c0_SiteDesignCostBL]]+Table_SiteMilestoneTracking[[#This Row],[c1_SiteSurveyCostBL]]+Table_SiteMilestoneTracking[[#This Row],[c2_SiteAcquisitionCostBL]]+Table_SiteMilestoneTracking[[#This Row],[c3_CivilWorksCostBL]]+Table_SiteMilestoneTracking[[#This Row],[c4_PowerInstallCostBL]]+Table_SiteMilestoneTracking[[#This Row],[c5_TxintegrationCostBL]]+Table_SiteMilestoneTracking[[#This Row],[c6_InstallationCostBL]]+Table_SiteMilestoneTracking[[#This Row],[c7_IntegrationCostBL]]+Table_SiteMilestoneTracking[[#This Row],[c8_AcceptanceCostBL]]+Table_SiteMilestoneTracking[[#This Row],[c9_HandoverCostBL]]</f>
        <v>7550</v>
      </c>
      <c r="I71" s="62">
        <f>Table_SiteMilestoneTracking[[#This Row],[c0_SiteDesignCostAC]]+Table_SiteMilestoneTracking[[#This Row],[c1_SiteSurveyCostAC]]+Table_SiteMilestoneTracking[[#This Row],[c2_SiteAcquisitionCostAC]]+Table_SiteMilestoneTracking[[#This Row],[c3_CivilWorksCostAC]]+Table_SiteMilestoneTracking[[#This Row],[c4_PowerInstallCostAC]]+Table_SiteMilestoneTracking[[#This Row],[c5_TxintegrationCostAC]]+Table_SiteMilestoneTracking[[#This Row],[c6_InstallationCostAC]]+Table_SiteMilestoneTracking[[#This Row],[c7_IntegrationCostAC]]+Table_SiteMilestoneTracking[[#This Row],[c8_AcceptanceCostAC]]+Table_SiteMilestoneTracking[[#This Row],[c9_HandoverCostAC]]</f>
        <v>3715</v>
      </c>
      <c r="J71" s="84">
        <v>44018</v>
      </c>
      <c r="K71" s="84">
        <v>44019</v>
      </c>
      <c r="L71" s="64">
        <f>IF(ISBLANK(Table_SiteMilestoneTracking[[#This Row],[SiteDesignStarted_AC]])=FALSE,Table_SiteMilestoneTracking[[#This Row],[SiteDesignStarted_AC]]-Table_SiteMilestoneTracking[[#This Row],[SiteDesignStarted_BL]],"")</f>
        <v>1</v>
      </c>
      <c r="M71" s="64">
        <f t="shared" si="11"/>
        <v>500</v>
      </c>
      <c r="N71" s="87">
        <v>540</v>
      </c>
      <c r="O71" s="63">
        <f>Table_SiteMilestoneTracking[[#This Row],[SiteDesignStarted_BL]]+t0_SiteDesignDelayBL</f>
        <v>44020</v>
      </c>
      <c r="P71" s="84">
        <v>44021</v>
      </c>
      <c r="Q71" s="64">
        <f>IF(ISBLANK(Table_SiteMilestoneTracking[[#This Row],[SiteDesignReady_AC]])=FALSE,Table_SiteMilestoneTracking[[#This Row],[SiteDesignReady_AC]]-Table_SiteMilestoneTracking[[#This Row],[SiteDesignReady_BL]],"-")</f>
        <v>1</v>
      </c>
      <c r="R71" s="64">
        <f t="shared" si="16"/>
        <v>500</v>
      </c>
      <c r="S71" s="82">
        <v>625</v>
      </c>
      <c r="T71" s="63">
        <f>Table_SiteMilestoneTracking[[#This Row],[SiteDesignReady_BL]]+t1_SiteSurveyBL</f>
        <v>44022</v>
      </c>
      <c r="U71" s="84">
        <v>44024</v>
      </c>
      <c r="V71" s="64">
        <f>IF(ISBLANK(Table_SiteMilestoneTracking[[#This Row],[SiteSurveyCompleted_AC]])=FALSE,Table_SiteMilestoneTracking[[#This Row],[SiteSurveyCompleted_AC]]-Table_SiteMilestoneTracking[[#This Row],[SiteDesignReady_AC]],"-")</f>
        <v>3</v>
      </c>
      <c r="W71" s="64">
        <f t="shared" si="12"/>
        <v>600</v>
      </c>
      <c r="X71" s="82">
        <v>600</v>
      </c>
      <c r="Y71" s="63">
        <f>Table_SiteMilestoneTracking[[#This Row],[SiteSurveyCompleted_BL]]+t2_SiteAcquisitionBL</f>
        <v>44033</v>
      </c>
      <c r="Z71" s="84">
        <v>44035</v>
      </c>
      <c r="AA71" s="65">
        <f>IF(ISBLANK(Table_SiteMilestoneTracking[[#This Row],[SiteAcquired_AC]])=FALSE,Table_SiteMilestoneTracking[[#This Row],[SiteAcquired_AC]]-Table_SiteMilestoneTracking[[#This Row],[SiteAcquired_BL]],"-")</f>
        <v>2</v>
      </c>
      <c r="AB71" s="65">
        <f>IF(ISBLANK(Table_SiteMilestoneTracking[[#This Row],[SiteAcquired_AC]])=FALSE,Table_SiteMilestoneTracking[[#This Row],[SiteAcquired_AC]]-Table_SiteMilestoneTracking[[#This Row],[SiteSurveyCompleted_AC]],"-")</f>
        <v>11</v>
      </c>
      <c r="AC71" s="64">
        <f t="shared" si="13"/>
        <v>150</v>
      </c>
      <c r="AD71" s="82">
        <v>165</v>
      </c>
      <c r="AE71" s="63">
        <f>Table_SiteMilestoneTracking[[#This Row],[SiteAcquired_BL]]+t2a_SiteCWReadinessBL</f>
        <v>44035</v>
      </c>
      <c r="AF71" s="85">
        <v>44038</v>
      </c>
      <c r="AG71" s="66">
        <f>IF(ISBLANK(Table_SiteMilestoneTracking[[#This Row],[SiteReadyForCW_AC]])=FALSE,Table_SiteMilestoneTracking[[#This Row],[SiteReadyForCW_AC]]-Table_SiteMilestoneTracking[[#This Row],[SiteReadyForCW_BL]],"-")</f>
        <v>3</v>
      </c>
      <c r="AH71" s="66">
        <f>IF(ISBLANK(Table_SiteMilestoneTracking[[#This Row],[SiteReadyForCW_AC]])=FALSE,Table_SiteMilestoneTracking[[#This Row],[SiteReadyForCW_AC]]-Table_SiteMilestoneTracking[[#This Row],[SiteDesignReady_AC]],"-")</f>
        <v>17</v>
      </c>
      <c r="AI71" s="64">
        <f t="shared" si="14"/>
        <v>1500</v>
      </c>
      <c r="AJ71" s="82">
        <v>1950</v>
      </c>
      <c r="AK71" s="63">
        <f>Table_SiteMilestoneTracking[[#This Row],[SiteReadyForCW_BL]]+t3_CivilWorksBL</f>
        <v>44043</v>
      </c>
      <c r="AL71" s="84">
        <v>44046</v>
      </c>
      <c r="AM71" s="64">
        <f>IF(ISBLANK(Table_SiteMilestoneTracking[[#This Row],[SiteReadyForPower_AC]])=FALSE,Table_SiteMilestoneTracking[[#This Row],[SiteReadyForPower_AC]]-Table_SiteMilestoneTracking[[#This Row],[SiteReadyForPower_BL]],"-")</f>
        <v>3</v>
      </c>
      <c r="AN71" s="64">
        <f>IF(ISBLANK(Table_SiteMilestoneTracking[[#This Row],[SiteReadyForPower_AC]])=FALSE,Table_SiteMilestoneTracking[[#This Row],[SiteReadyForPower_AC]]-Table_SiteMilestoneTracking[[#This Row],[SiteReadyForCW_AC]],"-")</f>
        <v>8</v>
      </c>
      <c r="AO71" s="64">
        <f t="shared" si="15"/>
        <v>500</v>
      </c>
      <c r="AP71" s="82"/>
      <c r="AQ71" s="63">
        <f>Table_SiteMilestoneTracking[[#This Row],[SiteReadyForPower_BL]]+t4_PowerInstallBL</f>
        <v>44048</v>
      </c>
      <c r="AR71" s="84"/>
      <c r="AS71" s="64" t="str">
        <f>IF(ISBLANK(Table_SiteMilestoneTracking[[#This Row],[TXReady_AC]])=FALSE,Table_SiteMilestoneTracking[[#This Row],[TXReady_AC]]-Table_SiteMilestoneTracking[[#This Row],[TXReady_BL]],"-")</f>
        <v>-</v>
      </c>
      <c r="AT71" s="64" t="str">
        <f>IF(ISBLANK(Table_SiteMilestoneTracking[[#This Row],[TXReady_AC]])=FALSE,Table_SiteMilestoneTracking[[#This Row],[TXReady_AC]]-Table_SiteMilestoneTracking[[#This Row],[SiteReadyForPower_AC]],"-")</f>
        <v>-</v>
      </c>
      <c r="AU71" s="64">
        <f>$AU$2</f>
        <v>500</v>
      </c>
      <c r="AV71" s="82"/>
      <c r="AW71" s="63">
        <f>Table_SiteMilestoneTracking[[#This Row],[TXReady_BL]]+t5_TxintegrationBL</f>
        <v>44055</v>
      </c>
      <c r="AX71" s="84"/>
      <c r="AY71" s="64" t="str">
        <f>IF(ISBLANK(Table_SiteMilestoneTracking[[#This Row],[SiteReadyForInstallation_AC]])=FALSE,Table_SiteMilestoneTracking[[#This Row],[SiteReadyForInstallation_AC]]-Table_SiteMilestoneTracking[[#This Row],[SiteReadyForInstallation_BL]],"-")</f>
        <v>-</v>
      </c>
      <c r="AZ71" s="64" t="str">
        <f>IF(ISBLANK(Table_SiteMilestoneTracking[[#This Row],[SiteReadyForInstallation_AC]])=FALSE,Table_SiteMilestoneTracking[[#This Row],[SiteReadyForInstallation_AC]]-Table_SiteMilestoneTracking[[#This Row],[TXReady_AC]],"-")</f>
        <v>-</v>
      </c>
      <c r="BA71" s="64">
        <f>$BA$2</f>
        <v>2500</v>
      </c>
      <c r="BB71" s="82"/>
      <c r="BC71" s="63">
        <f>Table_SiteMilestoneTracking[[#This Row],[SiteReadyForInstallation_BL]]+t6_InstallationBL</f>
        <v>44059</v>
      </c>
      <c r="BD71" s="84"/>
      <c r="BE71" s="64" t="str">
        <f>IF(ISBLANK(Table_SiteMilestoneTracking[[#This Row],[SiteReadyForIntegration_AC]])=FALSE,Table_SiteMilestoneTracking[[#This Row],[SiteReadyForIntegration_AC]]-Table_SiteMilestoneTracking[[#This Row],[SiteReadyForIntegration_BL]],"-")</f>
        <v>-</v>
      </c>
      <c r="BF71" s="64" t="str">
        <f>IF(ISBLANK(Table_SiteMilestoneTracking[[#This Row],[SiteReadyForIntegration_AC]])=FALSE,Table_SiteMilestoneTracking[[#This Row],[SiteReadyForIntegration_AC]]-Table_SiteMilestoneTracking[[#This Row],[SiteReadyForInstallation_AC]],"-")</f>
        <v>-</v>
      </c>
      <c r="BG71" s="64">
        <f>$BG$2</f>
        <v>500</v>
      </c>
      <c r="BH71" s="82"/>
      <c r="BI71" s="63">
        <f>Table_SiteMilestoneTracking[[#This Row],[SiteReadyForIntegration_BL]]+t7_IntegrationBL</f>
        <v>44063</v>
      </c>
      <c r="BJ71" s="84"/>
      <c r="BK71" s="64" t="str">
        <f>IF(ISBLANK(Table_SiteMilestoneTracking[[#This Row],[SiteOnAir_AC]])=FALSE,Table_SiteMilestoneTracking[[#This Row],[SiteOnAir_AC]]-Table_SiteMilestoneTracking[[#This Row],[SiteOnAir_BL]],"-")</f>
        <v>-</v>
      </c>
      <c r="BL71" s="64" t="str">
        <f>IF(ISBLANK(Table_SiteMilestoneTracking[[#This Row],[SiteOnAir_AC]])=FALSE,Table_SiteMilestoneTracking[[#This Row],[SiteOnAir_AC]]-Table_SiteMilestoneTracking[[#This Row],[SiteReadyForIntegration_AC]],"-")</f>
        <v>-</v>
      </c>
      <c r="BM71" s="64">
        <f>$BM$2</f>
        <v>250</v>
      </c>
      <c r="BN71" s="82"/>
      <c r="BO71" s="63">
        <f>Table_SiteMilestoneTracking[[#This Row],[SiteOnAir_BL]]+t8_AcceptanceBL</f>
        <v>44067</v>
      </c>
      <c r="BP71" s="84"/>
      <c r="BQ71" s="64" t="str">
        <f>IF(ISBLANK(Table_SiteMilestoneTracking[[#This Row],[SiteAccepted_AC]])=FALSE,Table_SiteMilestoneTracking[[#This Row],[SiteAccepted_AC]]-Table_SiteMilestoneTracking[[#This Row],[SiteAccepted_BL]],"-")</f>
        <v>-</v>
      </c>
      <c r="BR71" s="64" t="str">
        <f>IF(ISBLANK(Table_SiteMilestoneTracking[[#This Row],[SiteAccepted_AC]])=FALSE,Table_SiteMilestoneTracking[[#This Row],[SiteAccepted_AC]]-Table_SiteMilestoneTracking[[#This Row],[SiteOnAir_AC]],"-")</f>
        <v>-</v>
      </c>
      <c r="BS71" s="64">
        <f>$BS$2</f>
        <v>200</v>
      </c>
      <c r="BT71" s="82"/>
      <c r="BU71" s="63">
        <f>Table_SiteMilestoneTracking[[#This Row],[SiteAccepted_BL]]+t9_HandoverBL</f>
        <v>44075</v>
      </c>
      <c r="BV71" s="84"/>
      <c r="BW71" s="64" t="str">
        <f>IF(ISBLANK(Table_SiteMilestoneTracking[[#This Row],[SiteInOperations_AC]])=FALSE,Table_SiteMilestoneTracking[[#This Row],[SiteInOperations_AC]]-Table_SiteMilestoneTracking[[#This Row],[SiteInOperations_BL]],"-")</f>
        <v>-</v>
      </c>
      <c r="BX71" s="66">
        <f>Table_SiteMilestoneTracking[[#This Row],[SiteInOperations_BL]]-Table_SiteMilestoneTracking[[#This Row],[SiteDesignReady_BL]]</f>
        <v>55</v>
      </c>
      <c r="BY71" s="66" t="str">
        <f>IF(Table_SiteMilestoneTracking[[#This Row],[CurrentSiteMilestone]]="SiteInOperations",Table_SiteMilestoneTracking[[#This Row],[SiteInOperations_AC]]-Table_SiteMilestoneTracking[[#This Row],[SiteDesignReady_AC]],"")</f>
        <v/>
      </c>
      <c r="BZ71" s="66" t="str">
        <f>IFERROR(Table_SiteMilestoneTracking[[#This Row],[E2E_Site_AC]]-Table_SiteMilestoneTracking[[#This Row],[E2E_Site_BL]],"")</f>
        <v/>
      </c>
      <c r="CA71" s="66" t="str">
        <f>IF(Table_SiteMilestoneTracking[[#This Row],[CurrentSiteMilestone]]="SiteInOperations",Table_SiteMilestoneTracking[[#This Row],[SiteInOperations_AC]]-Table_SiteMilestoneTracking[[#This Row],[SiteAccepted_AC]],"")</f>
        <v/>
      </c>
      <c r="CB71" s="79"/>
      <c r="CC71" s="89"/>
      <c r="CD71" s="89"/>
      <c r="CE71" s="70"/>
      <c r="CF71" s="70"/>
      <c r="CG71" s="70"/>
      <c r="CH71" s="70"/>
      <c r="CI71" s="70"/>
      <c r="CJ71" s="70"/>
      <c r="CK71" s="70"/>
      <c r="CL71" s="70"/>
      <c r="CM71" s="70"/>
      <c r="CN71" s="70"/>
      <c r="CO71" s="70"/>
      <c r="CP71" s="70"/>
      <c r="CQ71" s="70"/>
      <c r="CR71" s="70"/>
      <c r="CS71" s="70"/>
      <c r="CT71" s="70"/>
      <c r="CU71" s="70"/>
      <c r="CV71" s="70"/>
      <c r="CW71" s="70"/>
      <c r="CX71" s="70"/>
      <c r="CY71" s="70"/>
      <c r="CZ71" s="70"/>
      <c r="DA71" s="70"/>
      <c r="DB71" s="70"/>
      <c r="DC71" s="70"/>
      <c r="DD71" s="70"/>
      <c r="DE71" s="70"/>
      <c r="DF71" s="70"/>
      <c r="DG71" s="70"/>
      <c r="DH71" s="70"/>
      <c r="DI71" s="70"/>
      <c r="DJ71" s="70"/>
      <c r="DK71" s="70"/>
      <c r="DL71" s="70"/>
      <c r="DM71" s="70"/>
      <c r="DN71" s="70"/>
      <c r="DO71" s="70"/>
      <c r="DP71" s="70"/>
      <c r="DQ71" s="70"/>
      <c r="DR71" s="70"/>
      <c r="DS71" s="70"/>
      <c r="DT71" s="70"/>
      <c r="DU71" s="70"/>
      <c r="DV71" s="70"/>
    </row>
    <row r="72" spans="1:126" x14ac:dyDescent="0.3">
      <c r="A72" s="79" t="str">
        <f>'4. Design Tracking Summary'!A73</f>
        <v>AP00092</v>
      </c>
      <c r="B72" s="79" t="str">
        <f>'4. Design Tracking Summary'!B73</f>
        <v>Center</v>
      </c>
      <c r="C72" s="79" t="str">
        <f>'4. Design Tracking Summary'!C73</f>
        <v>CHI</v>
      </c>
      <c r="D72" s="79" t="str">
        <f>'4. Design Tracking Summary'!D73</f>
        <v>SMALL</v>
      </c>
      <c r="E72" s="79" t="s">
        <v>57</v>
      </c>
      <c r="F72" s="79"/>
      <c r="G72" s="60" t="str">
        <f>IFERROR(INDEX(Table_SiteMilestonesNames[SiteMilestoneName],COUNTA(Table_SiteMilestoneTracking[[#This Row],[SiteDesignStarted_AC]],Table_SiteMilestoneTracking[[#This Row],[SiteDesignReady_AC]],Table_SiteMilestoneTracking[[#This Row],[SiteSurveyCompleted_AC]],Table_SiteMilestoneTracking[[#This Row],[SiteAcquired_AC]],Table_SiteMilestoneTracking[[#This Row],[SiteReadyForCW_AC]],Table_SiteMilestoneTracking[[#This Row],[SiteReadyForPower_AC]],Table_SiteMilestoneTracking[[#This Row],[TXReady_AC]],Table_SiteMilestoneTracking[[#This Row],[SiteReadyForInstallation_AC]],Table_SiteMilestoneTracking[[#This Row],[SiteReadyForIntegration_AC]],Table_SiteMilestoneTracking[[#This Row],[SiteOnAir_AC]],Table_SiteMilestoneTracking[[#This Row],[SiteAccepted_AC]],Table_SiteMilestoneTracking[[#This Row],[SiteInOperations_AC]])+1),"Invalid Milestone")</f>
        <v>SiteReadyForPower</v>
      </c>
      <c r="H72" s="61">
        <f>Table_SiteMilestoneTracking[[#This Row],[c0_SiteDesignCostBL]]+Table_SiteMilestoneTracking[[#This Row],[c1_SiteSurveyCostBL]]+Table_SiteMilestoneTracking[[#This Row],[c2_SiteAcquisitionCostBL]]+Table_SiteMilestoneTracking[[#This Row],[c3_CivilWorksCostBL]]+Table_SiteMilestoneTracking[[#This Row],[c4_PowerInstallCostBL]]+Table_SiteMilestoneTracking[[#This Row],[c5_TxintegrationCostBL]]+Table_SiteMilestoneTracking[[#This Row],[c6_InstallationCostBL]]+Table_SiteMilestoneTracking[[#This Row],[c7_IntegrationCostBL]]+Table_SiteMilestoneTracking[[#This Row],[c8_AcceptanceCostBL]]+Table_SiteMilestoneTracking[[#This Row],[c9_HandoverCostBL]]</f>
        <v>7550</v>
      </c>
      <c r="I72" s="62">
        <f>Table_SiteMilestoneTracking[[#This Row],[c0_SiteDesignCostAC]]+Table_SiteMilestoneTracking[[#This Row],[c1_SiteSurveyCostAC]]+Table_SiteMilestoneTracking[[#This Row],[c2_SiteAcquisitionCostAC]]+Table_SiteMilestoneTracking[[#This Row],[c3_CivilWorksCostAC]]+Table_SiteMilestoneTracking[[#This Row],[c4_PowerInstallCostAC]]+Table_SiteMilestoneTracking[[#This Row],[c5_TxintegrationCostAC]]+Table_SiteMilestoneTracking[[#This Row],[c6_InstallationCostAC]]+Table_SiteMilestoneTracking[[#This Row],[c7_IntegrationCostAC]]+Table_SiteMilestoneTracking[[#This Row],[c8_AcceptanceCostAC]]+Table_SiteMilestoneTracking[[#This Row],[c9_HandoverCostAC]]</f>
        <v>2665</v>
      </c>
      <c r="J72" s="84">
        <v>44018</v>
      </c>
      <c r="K72" s="84">
        <v>44020</v>
      </c>
      <c r="L72" s="64">
        <f>IF(ISBLANK(Table_SiteMilestoneTracking[[#This Row],[SiteDesignStarted_AC]])=FALSE,Table_SiteMilestoneTracking[[#This Row],[SiteDesignStarted_AC]]-Table_SiteMilestoneTracking[[#This Row],[SiteDesignStarted_BL]],"")</f>
        <v>2</v>
      </c>
      <c r="M72" s="64">
        <f t="shared" si="11"/>
        <v>500</v>
      </c>
      <c r="N72" s="87">
        <v>400</v>
      </c>
      <c r="O72" s="63">
        <f>Table_SiteMilestoneTracking[[#This Row],[SiteDesignStarted_BL]]+t0_SiteDesignDelayBL</f>
        <v>44020</v>
      </c>
      <c r="P72" s="84">
        <v>44021</v>
      </c>
      <c r="Q72" s="64">
        <f>IF(ISBLANK(Table_SiteMilestoneTracking[[#This Row],[SiteDesignReady_AC]])=FALSE,Table_SiteMilestoneTracking[[#This Row],[SiteDesignReady_AC]]-Table_SiteMilestoneTracking[[#This Row],[SiteDesignReady_BL]],"-")</f>
        <v>1</v>
      </c>
      <c r="R72" s="64">
        <f t="shared" si="16"/>
        <v>500</v>
      </c>
      <c r="S72" s="82">
        <v>525</v>
      </c>
      <c r="T72" s="63">
        <f>Table_SiteMilestoneTracking[[#This Row],[SiteDesignReady_BL]]+t1_SiteSurveyBL</f>
        <v>44022</v>
      </c>
      <c r="U72" s="84">
        <v>44024</v>
      </c>
      <c r="V72" s="64">
        <f>IF(ISBLANK(Table_SiteMilestoneTracking[[#This Row],[SiteSurveyCompleted_AC]])=FALSE,Table_SiteMilestoneTracking[[#This Row],[SiteSurveyCompleted_AC]]-Table_SiteMilestoneTracking[[#This Row],[SiteDesignReady_AC]],"-")</f>
        <v>3</v>
      </c>
      <c r="W72" s="64">
        <f t="shared" si="12"/>
        <v>600</v>
      </c>
      <c r="X72" s="82">
        <v>540</v>
      </c>
      <c r="Y72" s="63">
        <f>Table_SiteMilestoneTracking[[#This Row],[SiteSurveyCompleted_BL]]+t2_SiteAcquisitionBL</f>
        <v>44033</v>
      </c>
      <c r="Z72" s="84">
        <v>44036</v>
      </c>
      <c r="AA72" s="65">
        <f>IF(ISBLANK(Table_SiteMilestoneTracking[[#This Row],[SiteAcquired_AC]])=FALSE,Table_SiteMilestoneTracking[[#This Row],[SiteAcquired_AC]]-Table_SiteMilestoneTracking[[#This Row],[SiteAcquired_BL]],"-")</f>
        <v>3</v>
      </c>
      <c r="AB72" s="65">
        <f>IF(ISBLANK(Table_SiteMilestoneTracking[[#This Row],[SiteAcquired_AC]])=FALSE,Table_SiteMilestoneTracking[[#This Row],[SiteAcquired_AC]]-Table_SiteMilestoneTracking[[#This Row],[SiteSurveyCompleted_AC]],"-")</f>
        <v>12</v>
      </c>
      <c r="AC72" s="64">
        <f t="shared" si="13"/>
        <v>150</v>
      </c>
      <c r="AD72" s="82">
        <v>165</v>
      </c>
      <c r="AE72" s="63">
        <f>Table_SiteMilestoneTracking[[#This Row],[SiteAcquired_BL]]+t2a_SiteCWReadinessBL</f>
        <v>44035</v>
      </c>
      <c r="AF72" s="85">
        <v>44038</v>
      </c>
      <c r="AG72" s="66">
        <f>IF(ISBLANK(Table_SiteMilestoneTracking[[#This Row],[SiteReadyForCW_AC]])=FALSE,Table_SiteMilestoneTracking[[#This Row],[SiteReadyForCW_AC]]-Table_SiteMilestoneTracking[[#This Row],[SiteReadyForCW_BL]],"-")</f>
        <v>3</v>
      </c>
      <c r="AH72" s="66">
        <f>IF(ISBLANK(Table_SiteMilestoneTracking[[#This Row],[SiteReadyForCW_AC]])=FALSE,Table_SiteMilestoneTracking[[#This Row],[SiteReadyForCW_AC]]-Table_SiteMilestoneTracking[[#This Row],[SiteDesignReady_AC]],"-")</f>
        <v>17</v>
      </c>
      <c r="AI72" s="64">
        <f t="shared" si="14"/>
        <v>1500</v>
      </c>
      <c r="AJ72" s="82">
        <v>1200</v>
      </c>
      <c r="AK72" s="63">
        <f>Table_SiteMilestoneTracking[[#This Row],[SiteReadyForCW_BL]]+t3_CivilWorksBL</f>
        <v>44043</v>
      </c>
      <c r="AL72" s="84">
        <v>44047</v>
      </c>
      <c r="AM72" s="64">
        <f>IF(ISBLANK(Table_SiteMilestoneTracking[[#This Row],[SiteReadyForPower_AC]])=FALSE,Table_SiteMilestoneTracking[[#This Row],[SiteReadyForPower_AC]]-Table_SiteMilestoneTracking[[#This Row],[SiteReadyForPower_BL]],"-")</f>
        <v>4</v>
      </c>
      <c r="AN72" s="64">
        <f>IF(ISBLANK(Table_SiteMilestoneTracking[[#This Row],[SiteReadyForPower_AC]])=FALSE,Table_SiteMilestoneTracking[[#This Row],[SiteReadyForPower_AC]]-Table_SiteMilestoneTracking[[#This Row],[SiteReadyForCW_AC]],"-")</f>
        <v>9</v>
      </c>
      <c r="AO72" s="64">
        <f t="shared" si="15"/>
        <v>500</v>
      </c>
      <c r="AP72" s="82"/>
      <c r="AQ72" s="63">
        <f>Table_SiteMilestoneTracking[[#This Row],[SiteReadyForPower_BL]]+t4_PowerInstallBL</f>
        <v>44048</v>
      </c>
      <c r="AR72" s="84"/>
      <c r="AS72" s="64" t="str">
        <f>IF(ISBLANK(Table_SiteMilestoneTracking[[#This Row],[TXReady_AC]])=FALSE,Table_SiteMilestoneTracking[[#This Row],[TXReady_AC]]-Table_SiteMilestoneTracking[[#This Row],[TXReady_BL]],"-")</f>
        <v>-</v>
      </c>
      <c r="AT72" s="64" t="str">
        <f>IF(ISBLANK(Table_SiteMilestoneTracking[[#This Row],[TXReady_AC]])=FALSE,Table_SiteMilestoneTracking[[#This Row],[TXReady_AC]]-Table_SiteMilestoneTracking[[#This Row],[SiteReadyForPower_AC]],"-")</f>
        <v>-</v>
      </c>
      <c r="AU72" s="64">
        <f>$AU$2</f>
        <v>500</v>
      </c>
      <c r="AV72" s="82"/>
      <c r="AW72" s="63">
        <f>Table_SiteMilestoneTracking[[#This Row],[TXReady_BL]]+t5_TxintegrationBL</f>
        <v>44055</v>
      </c>
      <c r="AX72" s="84"/>
      <c r="AY72" s="64" t="str">
        <f>IF(ISBLANK(Table_SiteMilestoneTracking[[#This Row],[SiteReadyForInstallation_AC]])=FALSE,Table_SiteMilestoneTracking[[#This Row],[SiteReadyForInstallation_AC]]-Table_SiteMilestoneTracking[[#This Row],[SiteReadyForInstallation_BL]],"-")</f>
        <v>-</v>
      </c>
      <c r="AZ72" s="64" t="str">
        <f>IF(ISBLANK(Table_SiteMilestoneTracking[[#This Row],[SiteReadyForInstallation_AC]])=FALSE,Table_SiteMilestoneTracking[[#This Row],[SiteReadyForInstallation_AC]]-Table_SiteMilestoneTracking[[#This Row],[TXReady_AC]],"-")</f>
        <v>-</v>
      </c>
      <c r="BA72" s="64">
        <f>$BA$2</f>
        <v>2500</v>
      </c>
      <c r="BB72" s="82"/>
      <c r="BC72" s="63">
        <f>Table_SiteMilestoneTracking[[#This Row],[SiteReadyForInstallation_BL]]+t6_InstallationBL</f>
        <v>44059</v>
      </c>
      <c r="BD72" s="84"/>
      <c r="BE72" s="64" t="str">
        <f>IF(ISBLANK(Table_SiteMilestoneTracking[[#This Row],[SiteReadyForIntegration_AC]])=FALSE,Table_SiteMilestoneTracking[[#This Row],[SiteReadyForIntegration_AC]]-Table_SiteMilestoneTracking[[#This Row],[SiteReadyForIntegration_BL]],"-")</f>
        <v>-</v>
      </c>
      <c r="BF72" s="64" t="str">
        <f>IF(ISBLANK(Table_SiteMilestoneTracking[[#This Row],[SiteReadyForIntegration_AC]])=FALSE,Table_SiteMilestoneTracking[[#This Row],[SiteReadyForIntegration_AC]]-Table_SiteMilestoneTracking[[#This Row],[SiteReadyForInstallation_AC]],"-")</f>
        <v>-</v>
      </c>
      <c r="BG72" s="64">
        <f>$BG$2</f>
        <v>500</v>
      </c>
      <c r="BH72" s="82"/>
      <c r="BI72" s="63">
        <f>Table_SiteMilestoneTracking[[#This Row],[SiteReadyForIntegration_BL]]+t7_IntegrationBL</f>
        <v>44063</v>
      </c>
      <c r="BJ72" s="84"/>
      <c r="BK72" s="64" t="str">
        <f>IF(ISBLANK(Table_SiteMilestoneTracking[[#This Row],[SiteOnAir_AC]])=FALSE,Table_SiteMilestoneTracking[[#This Row],[SiteOnAir_AC]]-Table_SiteMilestoneTracking[[#This Row],[SiteOnAir_BL]],"-")</f>
        <v>-</v>
      </c>
      <c r="BL72" s="64" t="str">
        <f>IF(ISBLANK(Table_SiteMilestoneTracking[[#This Row],[SiteOnAir_AC]])=FALSE,Table_SiteMilestoneTracking[[#This Row],[SiteOnAir_AC]]-Table_SiteMilestoneTracking[[#This Row],[SiteReadyForIntegration_AC]],"-")</f>
        <v>-</v>
      </c>
      <c r="BM72" s="64">
        <f>$BM$2</f>
        <v>250</v>
      </c>
      <c r="BN72" s="82"/>
      <c r="BO72" s="63">
        <f>Table_SiteMilestoneTracking[[#This Row],[SiteOnAir_BL]]+t8_AcceptanceBL</f>
        <v>44067</v>
      </c>
      <c r="BP72" s="84"/>
      <c r="BQ72" s="64" t="str">
        <f>IF(ISBLANK(Table_SiteMilestoneTracking[[#This Row],[SiteAccepted_AC]])=FALSE,Table_SiteMilestoneTracking[[#This Row],[SiteAccepted_AC]]-Table_SiteMilestoneTracking[[#This Row],[SiteAccepted_BL]],"-")</f>
        <v>-</v>
      </c>
      <c r="BR72" s="64" t="str">
        <f>IF(ISBLANK(Table_SiteMilestoneTracking[[#This Row],[SiteAccepted_AC]])=FALSE,Table_SiteMilestoneTracking[[#This Row],[SiteAccepted_AC]]-Table_SiteMilestoneTracking[[#This Row],[SiteOnAir_AC]],"-")</f>
        <v>-</v>
      </c>
      <c r="BS72" s="64">
        <f>$BS$2</f>
        <v>200</v>
      </c>
      <c r="BT72" s="82"/>
      <c r="BU72" s="63">
        <f>Table_SiteMilestoneTracking[[#This Row],[SiteAccepted_BL]]+t9_HandoverBL</f>
        <v>44075</v>
      </c>
      <c r="BV72" s="84"/>
      <c r="BW72" s="64" t="str">
        <f>IF(ISBLANK(Table_SiteMilestoneTracking[[#This Row],[SiteInOperations_AC]])=FALSE,Table_SiteMilestoneTracking[[#This Row],[SiteInOperations_AC]]-Table_SiteMilestoneTracking[[#This Row],[SiteInOperations_BL]],"-")</f>
        <v>-</v>
      </c>
      <c r="BX72" s="66">
        <f>Table_SiteMilestoneTracking[[#This Row],[SiteInOperations_BL]]-Table_SiteMilestoneTracking[[#This Row],[SiteDesignReady_BL]]</f>
        <v>55</v>
      </c>
      <c r="BY72" s="66" t="str">
        <f>IF(Table_SiteMilestoneTracking[[#This Row],[CurrentSiteMilestone]]="SiteInOperations",Table_SiteMilestoneTracking[[#This Row],[SiteInOperations_AC]]-Table_SiteMilestoneTracking[[#This Row],[SiteDesignReady_AC]],"")</f>
        <v/>
      </c>
      <c r="BZ72" s="66" t="str">
        <f>IFERROR(Table_SiteMilestoneTracking[[#This Row],[E2E_Site_AC]]-Table_SiteMilestoneTracking[[#This Row],[E2E_Site_BL]],"")</f>
        <v/>
      </c>
      <c r="CA72" s="66" t="str">
        <f>IF(Table_SiteMilestoneTracking[[#This Row],[CurrentSiteMilestone]]="SiteInOperations",Table_SiteMilestoneTracking[[#This Row],[SiteInOperations_AC]]-Table_SiteMilestoneTracking[[#This Row],[SiteAccepted_AC]],"")</f>
        <v/>
      </c>
      <c r="CB72" s="79"/>
      <c r="CC72" s="89"/>
      <c r="CD72" s="89"/>
      <c r="CE72" s="70"/>
      <c r="CF72" s="70"/>
      <c r="CG72" s="70"/>
      <c r="CH72" s="70"/>
      <c r="CI72" s="70"/>
      <c r="CJ72" s="70"/>
      <c r="CK72" s="70"/>
      <c r="CL72" s="70"/>
      <c r="CM72" s="70"/>
      <c r="CN72" s="70"/>
      <c r="CO72" s="70"/>
      <c r="CP72" s="70"/>
      <c r="CQ72" s="70"/>
      <c r="CR72" s="70"/>
      <c r="CS72" s="70"/>
      <c r="CT72" s="70"/>
      <c r="CU72" s="70"/>
      <c r="CV72" s="70"/>
      <c r="CW72" s="70"/>
      <c r="CX72" s="70"/>
      <c r="CY72" s="70"/>
      <c r="CZ72" s="70"/>
      <c r="DA72" s="70"/>
      <c r="DB72" s="70"/>
      <c r="DC72" s="70"/>
      <c r="DD72" s="70"/>
      <c r="DE72" s="70"/>
      <c r="DF72" s="70"/>
      <c r="DG72" s="70"/>
      <c r="DH72" s="70"/>
      <c r="DI72" s="70"/>
      <c r="DJ72" s="70"/>
      <c r="DK72" s="70"/>
      <c r="DL72" s="70"/>
      <c r="DM72" s="70"/>
      <c r="DN72" s="70"/>
      <c r="DO72" s="70"/>
      <c r="DP72" s="70"/>
      <c r="DQ72" s="70"/>
      <c r="DR72" s="70"/>
      <c r="DS72" s="70"/>
      <c r="DT72" s="70"/>
      <c r="DU72" s="70"/>
      <c r="DV72" s="70"/>
    </row>
    <row r="73" spans="1:126" x14ac:dyDescent="0.3">
      <c r="A73" s="79" t="str">
        <f>'4. Design Tracking Summary'!A74</f>
        <v>AP00146</v>
      </c>
      <c r="B73" s="79" t="str">
        <f>'4. Design Tracking Summary'!B74</f>
        <v>Center</v>
      </c>
      <c r="C73" s="79" t="str">
        <f>'4. Design Tracking Summary'!C74</f>
        <v>MTY</v>
      </c>
      <c r="D73" s="79" t="str">
        <f>'4. Design Tracking Summary'!D74</f>
        <v>MACRO</v>
      </c>
      <c r="E73" s="79" t="s">
        <v>58</v>
      </c>
      <c r="F73" s="79"/>
      <c r="G73" s="60" t="str">
        <f>IFERROR(INDEX(Table_SiteMilestonesNames[SiteMilestoneName],COUNTA(Table_SiteMilestoneTracking[[#This Row],[SiteDesignStarted_AC]],Table_SiteMilestoneTracking[[#This Row],[SiteDesignReady_AC]],Table_SiteMilestoneTracking[[#This Row],[SiteSurveyCompleted_AC]],Table_SiteMilestoneTracking[[#This Row],[SiteAcquired_AC]],Table_SiteMilestoneTracking[[#This Row],[SiteReadyForCW_AC]],Table_SiteMilestoneTracking[[#This Row],[SiteReadyForPower_AC]],Table_SiteMilestoneTracking[[#This Row],[TXReady_AC]],Table_SiteMilestoneTracking[[#This Row],[SiteReadyForInstallation_AC]],Table_SiteMilestoneTracking[[#This Row],[SiteReadyForIntegration_AC]],Table_SiteMilestoneTracking[[#This Row],[SiteOnAir_AC]],Table_SiteMilestoneTracking[[#This Row],[SiteAccepted_AC]],Table_SiteMilestoneTracking[[#This Row],[SiteInOperations_AC]])+1),"Invalid Milestone")</f>
        <v>SiteReadyForPower</v>
      </c>
      <c r="H73" s="61">
        <f>Table_SiteMilestoneTracking[[#This Row],[c0_SiteDesignCostBL]]+Table_SiteMilestoneTracking[[#This Row],[c1_SiteSurveyCostBL]]+Table_SiteMilestoneTracking[[#This Row],[c2_SiteAcquisitionCostBL]]+Table_SiteMilestoneTracking[[#This Row],[c3_CivilWorksCostBL]]+Table_SiteMilestoneTracking[[#This Row],[c4_PowerInstallCostBL]]+Table_SiteMilestoneTracking[[#This Row],[c5_TxintegrationCostBL]]+Table_SiteMilestoneTracking[[#This Row],[c6_InstallationCostBL]]+Table_SiteMilestoneTracking[[#This Row],[c7_IntegrationCostBL]]+Table_SiteMilestoneTracking[[#This Row],[c8_AcceptanceCostBL]]+Table_SiteMilestoneTracking[[#This Row],[c9_HandoverCostBL]]</f>
        <v>7550</v>
      </c>
      <c r="I73" s="62">
        <f>Table_SiteMilestoneTracking[[#This Row],[c0_SiteDesignCostAC]]+Table_SiteMilestoneTracking[[#This Row],[c1_SiteSurveyCostAC]]+Table_SiteMilestoneTracking[[#This Row],[c2_SiteAcquisitionCostAC]]+Table_SiteMilestoneTracking[[#This Row],[c3_CivilWorksCostAC]]+Table_SiteMilestoneTracking[[#This Row],[c4_PowerInstallCostAC]]+Table_SiteMilestoneTracking[[#This Row],[c5_TxintegrationCostAC]]+Table_SiteMilestoneTracking[[#This Row],[c6_InstallationCostAC]]+Table_SiteMilestoneTracking[[#This Row],[c7_IntegrationCostAC]]+Table_SiteMilestoneTracking[[#This Row],[c8_AcceptanceCostAC]]+Table_SiteMilestoneTracking[[#This Row],[c9_HandoverCostAC]]</f>
        <v>3835</v>
      </c>
      <c r="J73" s="84">
        <v>44018</v>
      </c>
      <c r="K73" s="84">
        <v>44020</v>
      </c>
      <c r="L73" s="64">
        <f>IF(ISBLANK(Table_SiteMilestoneTracking[[#This Row],[SiteDesignStarted_AC]])=FALSE,Table_SiteMilestoneTracking[[#This Row],[SiteDesignStarted_AC]]-Table_SiteMilestoneTracking[[#This Row],[SiteDesignStarted_BL]],"")</f>
        <v>2</v>
      </c>
      <c r="M73" s="64">
        <f t="shared" si="11"/>
        <v>500</v>
      </c>
      <c r="N73" s="87">
        <v>480</v>
      </c>
      <c r="O73" s="63">
        <f>Table_SiteMilestoneTracking[[#This Row],[SiteDesignStarted_BL]]+t0_SiteDesignDelayBL</f>
        <v>44020</v>
      </c>
      <c r="P73" s="84">
        <v>44023</v>
      </c>
      <c r="Q73" s="64">
        <f>IF(ISBLANK(Table_SiteMilestoneTracking[[#This Row],[SiteDesignReady_AC]])=FALSE,Table_SiteMilestoneTracking[[#This Row],[SiteDesignReady_AC]]-Table_SiteMilestoneTracking[[#This Row],[SiteDesignReady_BL]],"-")</f>
        <v>3</v>
      </c>
      <c r="R73" s="64">
        <f t="shared" si="16"/>
        <v>500</v>
      </c>
      <c r="S73" s="82">
        <v>775</v>
      </c>
      <c r="T73" s="63">
        <f>Table_SiteMilestoneTracking[[#This Row],[SiteDesignReady_BL]]+t1_SiteSurveyBL</f>
        <v>44022</v>
      </c>
      <c r="U73" s="84">
        <v>44026</v>
      </c>
      <c r="V73" s="64">
        <f>IF(ISBLANK(Table_SiteMilestoneTracking[[#This Row],[SiteSurveyCompleted_AC]])=FALSE,Table_SiteMilestoneTracking[[#This Row],[SiteSurveyCompleted_AC]]-Table_SiteMilestoneTracking[[#This Row],[SiteDesignReady_AC]],"-")</f>
        <v>3</v>
      </c>
      <c r="W73" s="64">
        <f t="shared" si="12"/>
        <v>600</v>
      </c>
      <c r="X73" s="82">
        <v>780</v>
      </c>
      <c r="Y73" s="63">
        <f>Table_SiteMilestoneTracking[[#This Row],[SiteSurveyCompleted_BL]]+t2_SiteAcquisitionBL</f>
        <v>44033</v>
      </c>
      <c r="Z73" s="84">
        <v>44038</v>
      </c>
      <c r="AA73" s="65">
        <f>IF(ISBLANK(Table_SiteMilestoneTracking[[#This Row],[SiteAcquired_AC]])=FALSE,Table_SiteMilestoneTracking[[#This Row],[SiteAcquired_AC]]-Table_SiteMilestoneTracking[[#This Row],[SiteAcquired_BL]],"-")</f>
        <v>5</v>
      </c>
      <c r="AB73" s="65">
        <f>IF(ISBLANK(Table_SiteMilestoneTracking[[#This Row],[SiteAcquired_AC]])=FALSE,Table_SiteMilestoneTracking[[#This Row],[SiteAcquired_AC]]-Table_SiteMilestoneTracking[[#This Row],[SiteSurveyCompleted_AC]],"-")</f>
        <v>12</v>
      </c>
      <c r="AC73" s="64">
        <f t="shared" si="13"/>
        <v>150</v>
      </c>
      <c r="AD73" s="82">
        <v>165</v>
      </c>
      <c r="AE73" s="63">
        <f>Table_SiteMilestoneTracking[[#This Row],[SiteAcquired_BL]]+t2a_SiteCWReadinessBL</f>
        <v>44035</v>
      </c>
      <c r="AF73" s="85">
        <v>44040</v>
      </c>
      <c r="AG73" s="66">
        <f>IF(ISBLANK(Table_SiteMilestoneTracking[[#This Row],[SiteReadyForCW_AC]])=FALSE,Table_SiteMilestoneTracking[[#This Row],[SiteReadyForCW_AC]]-Table_SiteMilestoneTracking[[#This Row],[SiteReadyForCW_BL]],"-")</f>
        <v>5</v>
      </c>
      <c r="AH73" s="66">
        <f>IF(ISBLANK(Table_SiteMilestoneTracking[[#This Row],[SiteReadyForCW_AC]])=FALSE,Table_SiteMilestoneTracking[[#This Row],[SiteReadyForCW_AC]]-Table_SiteMilestoneTracking[[#This Row],[SiteDesignReady_AC]],"-")</f>
        <v>17</v>
      </c>
      <c r="AI73" s="64">
        <f t="shared" si="14"/>
        <v>1500</v>
      </c>
      <c r="AJ73" s="82">
        <v>1800</v>
      </c>
      <c r="AK73" s="63">
        <f>Table_SiteMilestoneTracking[[#This Row],[SiteReadyForCW_BL]]+t3_CivilWorksBL</f>
        <v>44043</v>
      </c>
      <c r="AL73" s="84">
        <v>44048</v>
      </c>
      <c r="AM73" s="64">
        <f>IF(ISBLANK(Table_SiteMilestoneTracking[[#This Row],[SiteReadyForPower_AC]])=FALSE,Table_SiteMilestoneTracking[[#This Row],[SiteReadyForPower_AC]]-Table_SiteMilestoneTracking[[#This Row],[SiteReadyForPower_BL]],"-")</f>
        <v>5</v>
      </c>
      <c r="AN73" s="64">
        <f>IF(ISBLANK(Table_SiteMilestoneTracking[[#This Row],[SiteReadyForPower_AC]])=FALSE,Table_SiteMilestoneTracking[[#This Row],[SiteReadyForPower_AC]]-Table_SiteMilestoneTracking[[#This Row],[SiteReadyForCW_AC]],"-")</f>
        <v>8</v>
      </c>
      <c r="AO73" s="64">
        <f t="shared" si="15"/>
        <v>500</v>
      </c>
      <c r="AP73" s="82"/>
      <c r="AQ73" s="63">
        <f>Table_SiteMilestoneTracking[[#This Row],[SiteReadyForPower_BL]]+t4_PowerInstallBL</f>
        <v>44048</v>
      </c>
      <c r="AR73" s="84"/>
      <c r="AS73" s="64" t="str">
        <f>IF(ISBLANK(Table_SiteMilestoneTracking[[#This Row],[TXReady_AC]])=FALSE,Table_SiteMilestoneTracking[[#This Row],[TXReady_AC]]-Table_SiteMilestoneTracking[[#This Row],[TXReady_BL]],"-")</f>
        <v>-</v>
      </c>
      <c r="AT73" s="64" t="str">
        <f>IF(ISBLANK(Table_SiteMilestoneTracking[[#This Row],[TXReady_AC]])=FALSE,Table_SiteMilestoneTracking[[#This Row],[TXReady_AC]]-Table_SiteMilestoneTracking[[#This Row],[SiteReadyForPower_AC]],"-")</f>
        <v>-</v>
      </c>
      <c r="AU73" s="64">
        <f>$AU$2</f>
        <v>500</v>
      </c>
      <c r="AV73" s="82"/>
      <c r="AW73" s="63">
        <f>Table_SiteMilestoneTracking[[#This Row],[TXReady_BL]]+t5_TxintegrationBL</f>
        <v>44055</v>
      </c>
      <c r="AX73" s="84"/>
      <c r="AY73" s="64" t="str">
        <f>IF(ISBLANK(Table_SiteMilestoneTracking[[#This Row],[SiteReadyForInstallation_AC]])=FALSE,Table_SiteMilestoneTracking[[#This Row],[SiteReadyForInstallation_AC]]-Table_SiteMilestoneTracking[[#This Row],[SiteReadyForInstallation_BL]],"-")</f>
        <v>-</v>
      </c>
      <c r="AZ73" s="64" t="str">
        <f>IF(ISBLANK(Table_SiteMilestoneTracking[[#This Row],[SiteReadyForInstallation_AC]])=FALSE,Table_SiteMilestoneTracking[[#This Row],[SiteReadyForInstallation_AC]]-Table_SiteMilestoneTracking[[#This Row],[TXReady_AC]],"-")</f>
        <v>-</v>
      </c>
      <c r="BA73" s="64">
        <f>$BA$2</f>
        <v>2500</v>
      </c>
      <c r="BB73" s="82"/>
      <c r="BC73" s="63">
        <f>Table_SiteMilestoneTracking[[#This Row],[SiteReadyForInstallation_BL]]+t6_InstallationBL</f>
        <v>44059</v>
      </c>
      <c r="BD73" s="84"/>
      <c r="BE73" s="64" t="str">
        <f>IF(ISBLANK(Table_SiteMilestoneTracking[[#This Row],[SiteReadyForIntegration_AC]])=FALSE,Table_SiteMilestoneTracking[[#This Row],[SiteReadyForIntegration_AC]]-Table_SiteMilestoneTracking[[#This Row],[SiteReadyForIntegration_BL]],"-")</f>
        <v>-</v>
      </c>
      <c r="BF73" s="64" t="str">
        <f>IF(ISBLANK(Table_SiteMilestoneTracking[[#This Row],[SiteReadyForIntegration_AC]])=FALSE,Table_SiteMilestoneTracking[[#This Row],[SiteReadyForIntegration_AC]]-Table_SiteMilestoneTracking[[#This Row],[SiteReadyForInstallation_AC]],"-")</f>
        <v>-</v>
      </c>
      <c r="BG73" s="64">
        <f>$BG$2</f>
        <v>500</v>
      </c>
      <c r="BH73" s="82"/>
      <c r="BI73" s="63">
        <f>Table_SiteMilestoneTracking[[#This Row],[SiteReadyForIntegration_BL]]+t7_IntegrationBL</f>
        <v>44063</v>
      </c>
      <c r="BJ73" s="84"/>
      <c r="BK73" s="64" t="str">
        <f>IF(ISBLANK(Table_SiteMilestoneTracking[[#This Row],[SiteOnAir_AC]])=FALSE,Table_SiteMilestoneTracking[[#This Row],[SiteOnAir_AC]]-Table_SiteMilestoneTracking[[#This Row],[SiteOnAir_BL]],"-")</f>
        <v>-</v>
      </c>
      <c r="BL73" s="64" t="str">
        <f>IF(ISBLANK(Table_SiteMilestoneTracking[[#This Row],[SiteOnAir_AC]])=FALSE,Table_SiteMilestoneTracking[[#This Row],[SiteOnAir_AC]]-Table_SiteMilestoneTracking[[#This Row],[SiteReadyForIntegration_AC]],"-")</f>
        <v>-</v>
      </c>
      <c r="BM73" s="64">
        <f>$BM$2</f>
        <v>250</v>
      </c>
      <c r="BN73" s="82"/>
      <c r="BO73" s="63">
        <f>Table_SiteMilestoneTracking[[#This Row],[SiteOnAir_BL]]+t8_AcceptanceBL</f>
        <v>44067</v>
      </c>
      <c r="BP73" s="84"/>
      <c r="BQ73" s="64" t="str">
        <f>IF(ISBLANK(Table_SiteMilestoneTracking[[#This Row],[SiteAccepted_AC]])=FALSE,Table_SiteMilestoneTracking[[#This Row],[SiteAccepted_AC]]-Table_SiteMilestoneTracking[[#This Row],[SiteAccepted_BL]],"-")</f>
        <v>-</v>
      </c>
      <c r="BR73" s="64" t="str">
        <f>IF(ISBLANK(Table_SiteMilestoneTracking[[#This Row],[SiteAccepted_AC]])=FALSE,Table_SiteMilestoneTracking[[#This Row],[SiteAccepted_AC]]-Table_SiteMilestoneTracking[[#This Row],[SiteOnAir_AC]],"-")</f>
        <v>-</v>
      </c>
      <c r="BS73" s="64">
        <f>$BS$2</f>
        <v>200</v>
      </c>
      <c r="BT73" s="82"/>
      <c r="BU73" s="63">
        <f>Table_SiteMilestoneTracking[[#This Row],[SiteAccepted_BL]]+t9_HandoverBL</f>
        <v>44075</v>
      </c>
      <c r="BV73" s="84"/>
      <c r="BW73" s="64" t="str">
        <f>IF(ISBLANK(Table_SiteMilestoneTracking[[#This Row],[SiteInOperations_AC]])=FALSE,Table_SiteMilestoneTracking[[#This Row],[SiteInOperations_AC]]-Table_SiteMilestoneTracking[[#This Row],[SiteInOperations_BL]],"-")</f>
        <v>-</v>
      </c>
      <c r="BX73" s="66">
        <f>Table_SiteMilestoneTracking[[#This Row],[SiteInOperations_BL]]-Table_SiteMilestoneTracking[[#This Row],[SiteDesignReady_BL]]</f>
        <v>55</v>
      </c>
      <c r="BY73" s="66" t="str">
        <f>IF(Table_SiteMilestoneTracking[[#This Row],[CurrentSiteMilestone]]="SiteInOperations",Table_SiteMilestoneTracking[[#This Row],[SiteInOperations_AC]]-Table_SiteMilestoneTracking[[#This Row],[SiteDesignReady_AC]],"")</f>
        <v/>
      </c>
      <c r="BZ73" s="66" t="str">
        <f>IFERROR(Table_SiteMilestoneTracking[[#This Row],[E2E_Site_AC]]-Table_SiteMilestoneTracking[[#This Row],[E2E_Site_BL]],"")</f>
        <v/>
      </c>
      <c r="CA73" s="66" t="str">
        <f>IF(Table_SiteMilestoneTracking[[#This Row],[CurrentSiteMilestone]]="SiteInOperations",Table_SiteMilestoneTracking[[#This Row],[SiteInOperations_AC]]-Table_SiteMilestoneTracking[[#This Row],[SiteAccepted_AC]],"")</f>
        <v/>
      </c>
      <c r="CB73" s="79"/>
      <c r="CC73" s="89"/>
      <c r="CD73" s="89"/>
      <c r="CE73" s="70"/>
      <c r="CF73" s="70"/>
      <c r="CG73" s="70"/>
      <c r="CH73" s="70"/>
      <c r="CI73" s="70"/>
      <c r="CJ73" s="70"/>
      <c r="CK73" s="70"/>
      <c r="CL73" s="70"/>
      <c r="CM73" s="70"/>
      <c r="CN73" s="70"/>
      <c r="CO73" s="70"/>
      <c r="CP73" s="70"/>
      <c r="CQ73" s="70"/>
      <c r="CR73" s="70"/>
      <c r="CS73" s="70"/>
      <c r="CT73" s="70"/>
      <c r="CU73" s="70"/>
      <c r="CV73" s="70"/>
      <c r="CW73" s="70"/>
      <c r="CX73" s="70"/>
      <c r="CY73" s="70"/>
      <c r="CZ73" s="70"/>
      <c r="DA73" s="70"/>
      <c r="DB73" s="70"/>
      <c r="DC73" s="70"/>
      <c r="DD73" s="70"/>
      <c r="DE73" s="70"/>
      <c r="DF73" s="70"/>
      <c r="DG73" s="70"/>
      <c r="DH73" s="70"/>
      <c r="DI73" s="70"/>
      <c r="DJ73" s="70"/>
      <c r="DK73" s="70"/>
      <c r="DL73" s="70"/>
      <c r="DM73" s="70"/>
      <c r="DN73" s="70"/>
      <c r="DO73" s="70"/>
      <c r="DP73" s="70"/>
      <c r="DQ73" s="70"/>
      <c r="DR73" s="70"/>
      <c r="DS73" s="70"/>
      <c r="DT73" s="70"/>
      <c r="DU73" s="70"/>
      <c r="DV73" s="70"/>
    </row>
    <row r="74" spans="1:126" x14ac:dyDescent="0.3">
      <c r="A74" s="79" t="str">
        <f>'4. Design Tracking Summary'!A75</f>
        <v>AP00231</v>
      </c>
      <c r="B74" s="79" t="str">
        <f>'4. Design Tracking Summary'!B75</f>
        <v>South</v>
      </c>
      <c r="C74" s="79" t="str">
        <f>'4. Design Tracking Summary'!C75</f>
        <v>ZAC</v>
      </c>
      <c r="D74" s="79" t="str">
        <f>'4. Design Tracking Summary'!D75</f>
        <v>MINI</v>
      </c>
      <c r="E74" s="79" t="s">
        <v>58</v>
      </c>
      <c r="F74" s="79"/>
      <c r="G74" s="60" t="str">
        <f>IFERROR(INDEX(Table_SiteMilestonesNames[SiteMilestoneName],COUNTA(Table_SiteMilestoneTracking[[#This Row],[SiteDesignStarted_AC]],Table_SiteMilestoneTracking[[#This Row],[SiteDesignReady_AC]],Table_SiteMilestoneTracking[[#This Row],[SiteSurveyCompleted_AC]],Table_SiteMilestoneTracking[[#This Row],[SiteAcquired_AC]],Table_SiteMilestoneTracking[[#This Row],[SiteReadyForCW_AC]],Table_SiteMilestoneTracking[[#This Row],[SiteReadyForPower_AC]],Table_SiteMilestoneTracking[[#This Row],[TXReady_AC]],Table_SiteMilestoneTracking[[#This Row],[SiteReadyForInstallation_AC]],Table_SiteMilestoneTracking[[#This Row],[SiteReadyForIntegration_AC]],Table_SiteMilestoneTracking[[#This Row],[SiteOnAir_AC]],Table_SiteMilestoneTracking[[#This Row],[SiteAccepted_AC]],Table_SiteMilestoneTracking[[#This Row],[SiteInOperations_AC]])+1),"Invalid Milestone")</f>
        <v>SiteReadyForCW</v>
      </c>
      <c r="H74" s="61">
        <f>Table_SiteMilestoneTracking[[#This Row],[c0_SiteDesignCostBL]]+Table_SiteMilestoneTracking[[#This Row],[c1_SiteSurveyCostBL]]+Table_SiteMilestoneTracking[[#This Row],[c2_SiteAcquisitionCostBL]]+Table_SiteMilestoneTracking[[#This Row],[c3_CivilWorksCostBL]]+Table_SiteMilestoneTracking[[#This Row],[c4_PowerInstallCostBL]]+Table_SiteMilestoneTracking[[#This Row],[c5_TxintegrationCostBL]]+Table_SiteMilestoneTracking[[#This Row],[c6_InstallationCostBL]]+Table_SiteMilestoneTracking[[#This Row],[c7_IntegrationCostBL]]+Table_SiteMilestoneTracking[[#This Row],[c8_AcceptanceCostBL]]+Table_SiteMilestoneTracking[[#This Row],[c9_HandoverCostBL]]</f>
        <v>7550</v>
      </c>
      <c r="I74" s="62">
        <f>Table_SiteMilestoneTracking[[#This Row],[c0_SiteDesignCostAC]]+Table_SiteMilestoneTracking[[#This Row],[c1_SiteSurveyCostAC]]+Table_SiteMilestoneTracking[[#This Row],[c2_SiteAcquisitionCostAC]]+Table_SiteMilestoneTracking[[#This Row],[c3_CivilWorksCostAC]]+Table_SiteMilestoneTracking[[#This Row],[c4_PowerInstallCostAC]]+Table_SiteMilestoneTracking[[#This Row],[c5_TxintegrationCostAC]]+Table_SiteMilestoneTracking[[#This Row],[c6_InstallationCostAC]]+Table_SiteMilestoneTracking[[#This Row],[c7_IntegrationCostAC]]+Table_SiteMilestoneTracking[[#This Row],[c8_AcceptanceCostAC]]+Table_SiteMilestoneTracking[[#This Row],[c9_HandoverCostAC]]</f>
        <v>1975</v>
      </c>
      <c r="J74" s="84">
        <v>44018</v>
      </c>
      <c r="K74" s="84">
        <v>44020</v>
      </c>
      <c r="L74" s="64">
        <f>IF(ISBLANK(Table_SiteMilestoneTracking[[#This Row],[SiteDesignStarted_AC]])=FALSE,Table_SiteMilestoneTracking[[#This Row],[SiteDesignStarted_AC]]-Table_SiteMilestoneTracking[[#This Row],[SiteDesignStarted_BL]],"")</f>
        <v>2</v>
      </c>
      <c r="M74" s="64">
        <f t="shared" si="11"/>
        <v>500</v>
      </c>
      <c r="N74" s="87">
        <v>500</v>
      </c>
      <c r="O74" s="63">
        <f>Table_SiteMilestoneTracking[[#This Row],[SiteDesignStarted_BL]]+t0_SiteDesignDelayBL</f>
        <v>44020</v>
      </c>
      <c r="P74" s="84">
        <v>44021</v>
      </c>
      <c r="Q74" s="64">
        <f>IF(ISBLANK(Table_SiteMilestoneTracking[[#This Row],[SiteDesignReady_AC]])=FALSE,Table_SiteMilestoneTracking[[#This Row],[SiteDesignReady_AC]]-Table_SiteMilestoneTracking[[#This Row],[SiteDesignReady_BL]],"-")</f>
        <v>1</v>
      </c>
      <c r="R74" s="64">
        <f t="shared" si="16"/>
        <v>500</v>
      </c>
      <c r="S74" s="82">
        <v>575</v>
      </c>
      <c r="T74" s="63">
        <f>Table_SiteMilestoneTracking[[#This Row],[SiteDesignReady_BL]]+t1_SiteSurveyBL</f>
        <v>44022</v>
      </c>
      <c r="U74" s="84">
        <v>44023</v>
      </c>
      <c r="V74" s="64">
        <f>IF(ISBLANK(Table_SiteMilestoneTracking[[#This Row],[SiteSurveyCompleted_AC]])=FALSE,Table_SiteMilestoneTracking[[#This Row],[SiteSurveyCompleted_AC]]-Table_SiteMilestoneTracking[[#This Row],[SiteDesignReady_AC]],"-")</f>
        <v>2</v>
      </c>
      <c r="W74" s="64">
        <f t="shared" si="12"/>
        <v>600</v>
      </c>
      <c r="X74" s="82">
        <v>900</v>
      </c>
      <c r="Y74" s="63">
        <f>Table_SiteMilestoneTracking[[#This Row],[SiteSurveyCompleted_BL]]+t2_SiteAcquisitionBL</f>
        <v>44033</v>
      </c>
      <c r="Z74" s="84">
        <v>44035</v>
      </c>
      <c r="AA74" s="65">
        <f>IF(ISBLANK(Table_SiteMilestoneTracking[[#This Row],[SiteAcquired_AC]])=FALSE,Table_SiteMilestoneTracking[[#This Row],[SiteAcquired_AC]]-Table_SiteMilestoneTracking[[#This Row],[SiteAcquired_BL]],"-")</f>
        <v>2</v>
      </c>
      <c r="AB74" s="65">
        <f>IF(ISBLANK(Table_SiteMilestoneTracking[[#This Row],[SiteAcquired_AC]])=FALSE,Table_SiteMilestoneTracking[[#This Row],[SiteAcquired_AC]]-Table_SiteMilestoneTracking[[#This Row],[SiteSurveyCompleted_AC]],"-")</f>
        <v>12</v>
      </c>
      <c r="AC74" s="64">
        <f t="shared" si="13"/>
        <v>150</v>
      </c>
      <c r="AD74" s="82">
        <v>150</v>
      </c>
      <c r="AE74" s="63">
        <f>Table_SiteMilestoneTracking[[#This Row],[SiteAcquired_BL]]+t2a_SiteCWReadinessBL</f>
        <v>44035</v>
      </c>
      <c r="AF74" s="85">
        <v>44035</v>
      </c>
      <c r="AG74" s="66">
        <f>IF(ISBLANK(Table_SiteMilestoneTracking[[#This Row],[SiteReadyForCW_AC]])=FALSE,Table_SiteMilestoneTracking[[#This Row],[SiteReadyForCW_AC]]-Table_SiteMilestoneTracking[[#This Row],[SiteReadyForCW_BL]],"-")</f>
        <v>0</v>
      </c>
      <c r="AH74" s="66">
        <f>IF(ISBLANK(Table_SiteMilestoneTracking[[#This Row],[SiteReadyForCW_AC]])=FALSE,Table_SiteMilestoneTracking[[#This Row],[SiteReadyForCW_AC]]-Table_SiteMilestoneTracking[[#This Row],[SiteDesignReady_AC]],"-")</f>
        <v>14</v>
      </c>
      <c r="AI74" s="64">
        <f t="shared" si="14"/>
        <v>1500</v>
      </c>
      <c r="AJ74" s="82"/>
      <c r="AK74" s="63">
        <f>Table_SiteMilestoneTracking[[#This Row],[SiteReadyForCW_BL]]+t3_CivilWorksBL</f>
        <v>44043</v>
      </c>
      <c r="AL74" s="84"/>
      <c r="AM74" s="64" t="str">
        <f>IF(ISBLANK(Table_SiteMilestoneTracking[[#This Row],[SiteReadyForPower_AC]])=FALSE,Table_SiteMilestoneTracking[[#This Row],[SiteReadyForPower_AC]]-Table_SiteMilestoneTracking[[#This Row],[SiteReadyForPower_BL]],"-")</f>
        <v>-</v>
      </c>
      <c r="AN74" s="64" t="str">
        <f>IF(ISBLANK(Table_SiteMilestoneTracking[[#This Row],[SiteReadyForPower_AC]])=FALSE,Table_SiteMilestoneTracking[[#This Row],[SiteReadyForPower_AC]]-Table_SiteMilestoneTracking[[#This Row],[SiteReadyForCW_AC]],"-")</f>
        <v>-</v>
      </c>
      <c r="AO74" s="64">
        <f t="shared" si="15"/>
        <v>500</v>
      </c>
      <c r="AP74" s="82"/>
      <c r="AQ74" s="63">
        <f>Table_SiteMilestoneTracking[[#This Row],[SiteReadyForPower_BL]]+t4_PowerInstallBL</f>
        <v>44048</v>
      </c>
      <c r="AR74" s="84"/>
      <c r="AS74" s="64" t="str">
        <f>IF(ISBLANK(Table_SiteMilestoneTracking[[#This Row],[TXReady_AC]])=FALSE,Table_SiteMilestoneTracking[[#This Row],[TXReady_AC]]-Table_SiteMilestoneTracking[[#This Row],[TXReady_BL]],"-")</f>
        <v>-</v>
      </c>
      <c r="AT74" s="64" t="str">
        <f>IF(ISBLANK(Table_SiteMilestoneTracking[[#This Row],[TXReady_AC]])=FALSE,Table_SiteMilestoneTracking[[#This Row],[TXReady_AC]]-Table_SiteMilestoneTracking[[#This Row],[SiteReadyForPower_AC]],"-")</f>
        <v>-</v>
      </c>
      <c r="AU74" s="64">
        <f>$AU$2</f>
        <v>500</v>
      </c>
      <c r="AV74" s="82"/>
      <c r="AW74" s="63">
        <f>Table_SiteMilestoneTracking[[#This Row],[TXReady_BL]]+t5_TxintegrationBL</f>
        <v>44055</v>
      </c>
      <c r="AX74" s="84"/>
      <c r="AY74" s="64" t="str">
        <f>IF(ISBLANK(Table_SiteMilestoneTracking[[#This Row],[SiteReadyForInstallation_AC]])=FALSE,Table_SiteMilestoneTracking[[#This Row],[SiteReadyForInstallation_AC]]-Table_SiteMilestoneTracking[[#This Row],[SiteReadyForInstallation_BL]],"-")</f>
        <v>-</v>
      </c>
      <c r="AZ74" s="64" t="str">
        <f>IF(ISBLANK(Table_SiteMilestoneTracking[[#This Row],[SiteReadyForInstallation_AC]])=FALSE,Table_SiteMilestoneTracking[[#This Row],[SiteReadyForInstallation_AC]]-Table_SiteMilestoneTracking[[#This Row],[TXReady_AC]],"-")</f>
        <v>-</v>
      </c>
      <c r="BA74" s="64">
        <f>$BA$2</f>
        <v>2500</v>
      </c>
      <c r="BB74" s="82"/>
      <c r="BC74" s="63">
        <f>Table_SiteMilestoneTracking[[#This Row],[SiteReadyForInstallation_BL]]+t6_InstallationBL</f>
        <v>44059</v>
      </c>
      <c r="BD74" s="84"/>
      <c r="BE74" s="64" t="str">
        <f>IF(ISBLANK(Table_SiteMilestoneTracking[[#This Row],[SiteReadyForIntegration_AC]])=FALSE,Table_SiteMilestoneTracking[[#This Row],[SiteReadyForIntegration_AC]]-Table_SiteMilestoneTracking[[#This Row],[SiteReadyForIntegration_BL]],"-")</f>
        <v>-</v>
      </c>
      <c r="BF74" s="64" t="str">
        <f>IF(ISBLANK(Table_SiteMilestoneTracking[[#This Row],[SiteReadyForIntegration_AC]])=FALSE,Table_SiteMilestoneTracking[[#This Row],[SiteReadyForIntegration_AC]]-Table_SiteMilestoneTracking[[#This Row],[SiteReadyForInstallation_AC]],"-")</f>
        <v>-</v>
      </c>
      <c r="BG74" s="64">
        <f>$BG$2</f>
        <v>500</v>
      </c>
      <c r="BH74" s="82"/>
      <c r="BI74" s="63">
        <f>Table_SiteMilestoneTracking[[#This Row],[SiteReadyForIntegration_BL]]+t7_IntegrationBL</f>
        <v>44063</v>
      </c>
      <c r="BJ74" s="84"/>
      <c r="BK74" s="64" t="str">
        <f>IF(ISBLANK(Table_SiteMilestoneTracking[[#This Row],[SiteOnAir_AC]])=FALSE,Table_SiteMilestoneTracking[[#This Row],[SiteOnAir_AC]]-Table_SiteMilestoneTracking[[#This Row],[SiteOnAir_BL]],"-")</f>
        <v>-</v>
      </c>
      <c r="BL74" s="64" t="str">
        <f>IF(ISBLANK(Table_SiteMilestoneTracking[[#This Row],[SiteOnAir_AC]])=FALSE,Table_SiteMilestoneTracking[[#This Row],[SiteOnAir_AC]]-Table_SiteMilestoneTracking[[#This Row],[SiteReadyForIntegration_AC]],"-")</f>
        <v>-</v>
      </c>
      <c r="BM74" s="64">
        <f>$BM$2</f>
        <v>250</v>
      </c>
      <c r="BN74" s="82"/>
      <c r="BO74" s="63">
        <f>Table_SiteMilestoneTracking[[#This Row],[SiteOnAir_BL]]+t8_AcceptanceBL</f>
        <v>44067</v>
      </c>
      <c r="BP74" s="84"/>
      <c r="BQ74" s="64" t="str">
        <f>IF(ISBLANK(Table_SiteMilestoneTracking[[#This Row],[SiteAccepted_AC]])=FALSE,Table_SiteMilestoneTracking[[#This Row],[SiteAccepted_AC]]-Table_SiteMilestoneTracking[[#This Row],[SiteAccepted_BL]],"-")</f>
        <v>-</v>
      </c>
      <c r="BR74" s="64" t="str">
        <f>IF(ISBLANK(Table_SiteMilestoneTracking[[#This Row],[SiteAccepted_AC]])=FALSE,Table_SiteMilestoneTracking[[#This Row],[SiteAccepted_AC]]-Table_SiteMilestoneTracking[[#This Row],[SiteOnAir_AC]],"-")</f>
        <v>-</v>
      </c>
      <c r="BS74" s="64">
        <f>$BS$2</f>
        <v>200</v>
      </c>
      <c r="BT74" s="82"/>
      <c r="BU74" s="63">
        <f>Table_SiteMilestoneTracking[[#This Row],[SiteAccepted_BL]]+t9_HandoverBL</f>
        <v>44075</v>
      </c>
      <c r="BV74" s="84"/>
      <c r="BW74" s="64" t="str">
        <f>IF(ISBLANK(Table_SiteMilestoneTracking[[#This Row],[SiteInOperations_AC]])=FALSE,Table_SiteMilestoneTracking[[#This Row],[SiteInOperations_AC]]-Table_SiteMilestoneTracking[[#This Row],[SiteInOperations_BL]],"-")</f>
        <v>-</v>
      </c>
      <c r="BX74" s="66">
        <f>Table_SiteMilestoneTracking[[#This Row],[SiteInOperations_BL]]-Table_SiteMilestoneTracking[[#This Row],[SiteDesignReady_BL]]</f>
        <v>55</v>
      </c>
      <c r="BY74" s="66" t="str">
        <f>IF(Table_SiteMilestoneTracking[[#This Row],[CurrentSiteMilestone]]="SiteInOperations",Table_SiteMilestoneTracking[[#This Row],[SiteInOperations_AC]]-Table_SiteMilestoneTracking[[#This Row],[SiteDesignReady_AC]],"")</f>
        <v/>
      </c>
      <c r="BZ74" s="66" t="str">
        <f>IFERROR(Table_SiteMilestoneTracking[[#This Row],[E2E_Site_AC]]-Table_SiteMilestoneTracking[[#This Row],[E2E_Site_BL]],"")</f>
        <v/>
      </c>
      <c r="CA74" s="66" t="str">
        <f>IF(Table_SiteMilestoneTracking[[#This Row],[CurrentSiteMilestone]]="SiteInOperations",Table_SiteMilestoneTracking[[#This Row],[SiteInOperations_AC]]-Table_SiteMilestoneTracking[[#This Row],[SiteAccepted_AC]],"")</f>
        <v/>
      </c>
      <c r="CB74" s="79"/>
      <c r="CC74" s="89"/>
      <c r="CD74" s="89"/>
      <c r="CE74" s="70"/>
      <c r="CF74" s="70"/>
      <c r="CG74" s="70"/>
      <c r="CH74" s="70"/>
      <c r="CI74" s="70"/>
      <c r="CJ74" s="70"/>
      <c r="CK74" s="70"/>
      <c r="CL74" s="70"/>
      <c r="CM74" s="70"/>
      <c r="CN74" s="70"/>
      <c r="CO74" s="70"/>
      <c r="CP74" s="70"/>
      <c r="CQ74" s="70"/>
      <c r="CR74" s="70"/>
      <c r="CS74" s="70"/>
      <c r="CT74" s="70"/>
      <c r="CU74" s="70"/>
      <c r="CV74" s="70"/>
      <c r="CW74" s="70"/>
      <c r="CX74" s="70"/>
      <c r="CY74" s="70"/>
      <c r="CZ74" s="70"/>
      <c r="DA74" s="70"/>
      <c r="DB74" s="70"/>
      <c r="DC74" s="70"/>
      <c r="DD74" s="70"/>
      <c r="DE74" s="70"/>
      <c r="DF74" s="70"/>
      <c r="DG74" s="70"/>
      <c r="DH74" s="70"/>
      <c r="DI74" s="70"/>
      <c r="DJ74" s="70"/>
      <c r="DK74" s="70"/>
      <c r="DL74" s="70"/>
      <c r="DM74" s="70"/>
      <c r="DN74" s="70"/>
      <c r="DO74" s="70"/>
      <c r="DP74" s="70"/>
      <c r="DQ74" s="70"/>
      <c r="DR74" s="70"/>
      <c r="DS74" s="70"/>
      <c r="DT74" s="70"/>
      <c r="DU74" s="70"/>
      <c r="DV74" s="70"/>
    </row>
    <row r="75" spans="1:126" x14ac:dyDescent="0.3">
      <c r="A75" s="79" t="str">
        <f>'4. Design Tracking Summary'!A76</f>
        <v>AP00235</v>
      </c>
      <c r="B75" s="79" t="str">
        <f>'4. Design Tracking Summary'!B76</f>
        <v>South</v>
      </c>
      <c r="C75" s="79" t="str">
        <f>'4. Design Tracking Summary'!C76</f>
        <v>GTO</v>
      </c>
      <c r="D75" s="79" t="str">
        <f>'4. Design Tracking Summary'!D76</f>
        <v>SMALL</v>
      </c>
      <c r="E75" s="79" t="s">
        <v>59</v>
      </c>
      <c r="F75" s="79"/>
      <c r="G75" s="60" t="str">
        <f>IFERROR(INDEX(Table_SiteMilestonesNames[SiteMilestoneName],COUNTA(Table_SiteMilestoneTracking[[#This Row],[SiteDesignStarted_AC]],Table_SiteMilestoneTracking[[#This Row],[SiteDesignReady_AC]],Table_SiteMilestoneTracking[[#This Row],[SiteSurveyCompleted_AC]],Table_SiteMilestoneTracking[[#This Row],[SiteAcquired_AC]],Table_SiteMilestoneTracking[[#This Row],[SiteReadyForCW_AC]],Table_SiteMilestoneTracking[[#This Row],[SiteReadyForPower_AC]],Table_SiteMilestoneTracking[[#This Row],[TXReady_AC]],Table_SiteMilestoneTracking[[#This Row],[SiteReadyForInstallation_AC]],Table_SiteMilestoneTracking[[#This Row],[SiteReadyForIntegration_AC]],Table_SiteMilestoneTracking[[#This Row],[SiteOnAir_AC]],Table_SiteMilestoneTracking[[#This Row],[SiteAccepted_AC]],Table_SiteMilestoneTracking[[#This Row],[SiteInOperations_AC]])+1),"Invalid Milestone")</f>
        <v>SiteReadyForCW</v>
      </c>
      <c r="H75" s="61">
        <f>Table_SiteMilestoneTracking[[#This Row],[c0_SiteDesignCostBL]]+Table_SiteMilestoneTracking[[#This Row],[c1_SiteSurveyCostBL]]+Table_SiteMilestoneTracking[[#This Row],[c2_SiteAcquisitionCostBL]]+Table_SiteMilestoneTracking[[#This Row],[c3_CivilWorksCostBL]]+Table_SiteMilestoneTracking[[#This Row],[c4_PowerInstallCostBL]]+Table_SiteMilestoneTracking[[#This Row],[c5_TxintegrationCostBL]]+Table_SiteMilestoneTracking[[#This Row],[c6_InstallationCostBL]]+Table_SiteMilestoneTracking[[#This Row],[c7_IntegrationCostBL]]+Table_SiteMilestoneTracking[[#This Row],[c8_AcceptanceCostBL]]+Table_SiteMilestoneTracking[[#This Row],[c9_HandoverCostBL]]</f>
        <v>7550</v>
      </c>
      <c r="I75" s="62">
        <f>Table_SiteMilestoneTracking[[#This Row],[c0_SiteDesignCostAC]]+Table_SiteMilestoneTracking[[#This Row],[c1_SiteSurveyCostAC]]+Table_SiteMilestoneTracking[[#This Row],[c2_SiteAcquisitionCostAC]]+Table_SiteMilestoneTracking[[#This Row],[c3_CivilWorksCostAC]]+Table_SiteMilestoneTracking[[#This Row],[c4_PowerInstallCostAC]]+Table_SiteMilestoneTracking[[#This Row],[c5_TxintegrationCostAC]]+Table_SiteMilestoneTracking[[#This Row],[c6_InstallationCostAC]]+Table_SiteMilestoneTracking[[#This Row],[c7_IntegrationCostAC]]+Table_SiteMilestoneTracking[[#This Row],[c8_AcceptanceCostAC]]+Table_SiteMilestoneTracking[[#This Row],[c9_HandoverCostAC]]</f>
        <v>2185</v>
      </c>
      <c r="J75" s="84">
        <v>44018</v>
      </c>
      <c r="K75" s="84">
        <v>44020</v>
      </c>
      <c r="L75" s="64">
        <f>IF(ISBLANK(Table_SiteMilestoneTracking[[#This Row],[SiteDesignStarted_AC]])=FALSE,Table_SiteMilestoneTracking[[#This Row],[SiteDesignStarted_AC]]-Table_SiteMilestoneTracking[[#This Row],[SiteDesignStarted_BL]],"")</f>
        <v>2</v>
      </c>
      <c r="M75" s="64">
        <f t="shared" si="11"/>
        <v>500</v>
      </c>
      <c r="N75" s="87">
        <v>460</v>
      </c>
      <c r="O75" s="63">
        <f>Table_SiteMilestoneTracking[[#This Row],[SiteDesignStarted_BL]]+t0_SiteDesignDelayBL</f>
        <v>44020</v>
      </c>
      <c r="P75" s="84">
        <v>44022</v>
      </c>
      <c r="Q75" s="64">
        <f>IF(ISBLANK(Table_SiteMilestoneTracking[[#This Row],[SiteDesignReady_AC]])=FALSE,Table_SiteMilestoneTracking[[#This Row],[SiteDesignReady_AC]]-Table_SiteMilestoneTracking[[#This Row],[SiteDesignReady_BL]],"-")</f>
        <v>2</v>
      </c>
      <c r="R75" s="64">
        <f t="shared" si="16"/>
        <v>500</v>
      </c>
      <c r="S75" s="82">
        <v>825</v>
      </c>
      <c r="T75" s="63">
        <f>Table_SiteMilestoneTracking[[#This Row],[SiteDesignReady_BL]]+t1_SiteSurveyBL</f>
        <v>44022</v>
      </c>
      <c r="U75" s="84">
        <v>44025</v>
      </c>
      <c r="V75" s="64">
        <f>IF(ISBLANK(Table_SiteMilestoneTracking[[#This Row],[SiteSurveyCompleted_AC]])=FALSE,Table_SiteMilestoneTracking[[#This Row],[SiteSurveyCompleted_AC]]-Table_SiteMilestoneTracking[[#This Row],[SiteDesignReady_AC]],"-")</f>
        <v>3</v>
      </c>
      <c r="W75" s="64">
        <f t="shared" si="12"/>
        <v>600</v>
      </c>
      <c r="X75" s="82">
        <v>900</v>
      </c>
      <c r="Y75" s="63">
        <f>Table_SiteMilestoneTracking[[#This Row],[SiteSurveyCompleted_BL]]+t2_SiteAcquisitionBL</f>
        <v>44033</v>
      </c>
      <c r="Z75" s="84">
        <v>44037</v>
      </c>
      <c r="AA75" s="65">
        <f>IF(ISBLANK(Table_SiteMilestoneTracking[[#This Row],[SiteAcquired_AC]])=FALSE,Table_SiteMilestoneTracking[[#This Row],[SiteAcquired_AC]]-Table_SiteMilestoneTracking[[#This Row],[SiteAcquired_BL]],"-")</f>
        <v>4</v>
      </c>
      <c r="AB75" s="65">
        <f>IF(ISBLANK(Table_SiteMilestoneTracking[[#This Row],[SiteAcquired_AC]])=FALSE,Table_SiteMilestoneTracking[[#This Row],[SiteAcquired_AC]]-Table_SiteMilestoneTracking[[#This Row],[SiteSurveyCompleted_AC]],"-")</f>
        <v>12</v>
      </c>
      <c r="AC75" s="64">
        <f t="shared" si="13"/>
        <v>150</v>
      </c>
      <c r="AD75" s="82">
        <v>150</v>
      </c>
      <c r="AE75" s="63">
        <f>Table_SiteMilestoneTracking[[#This Row],[SiteAcquired_BL]]+t2a_SiteCWReadinessBL</f>
        <v>44035</v>
      </c>
      <c r="AF75" s="85">
        <v>44039</v>
      </c>
      <c r="AG75" s="66">
        <f>IF(ISBLANK(Table_SiteMilestoneTracking[[#This Row],[SiteReadyForCW_AC]])=FALSE,Table_SiteMilestoneTracking[[#This Row],[SiteReadyForCW_AC]]-Table_SiteMilestoneTracking[[#This Row],[SiteReadyForCW_BL]],"-")</f>
        <v>4</v>
      </c>
      <c r="AH75" s="66">
        <f>IF(ISBLANK(Table_SiteMilestoneTracking[[#This Row],[SiteReadyForCW_AC]])=FALSE,Table_SiteMilestoneTracking[[#This Row],[SiteReadyForCW_AC]]-Table_SiteMilestoneTracking[[#This Row],[SiteDesignReady_AC]],"-")</f>
        <v>17</v>
      </c>
      <c r="AI75" s="64">
        <f t="shared" si="14"/>
        <v>1500</v>
      </c>
      <c r="AJ75" s="82"/>
      <c r="AK75" s="63">
        <f>Table_SiteMilestoneTracking[[#This Row],[SiteReadyForCW_BL]]+t3_CivilWorksBL</f>
        <v>44043</v>
      </c>
      <c r="AL75" s="84"/>
      <c r="AM75" s="64" t="str">
        <f>IF(ISBLANK(Table_SiteMilestoneTracking[[#This Row],[SiteReadyForPower_AC]])=FALSE,Table_SiteMilestoneTracking[[#This Row],[SiteReadyForPower_AC]]-Table_SiteMilestoneTracking[[#This Row],[SiteReadyForPower_BL]],"-")</f>
        <v>-</v>
      </c>
      <c r="AN75" s="64" t="str">
        <f>IF(ISBLANK(Table_SiteMilestoneTracking[[#This Row],[SiteReadyForPower_AC]])=FALSE,Table_SiteMilestoneTracking[[#This Row],[SiteReadyForPower_AC]]-Table_SiteMilestoneTracking[[#This Row],[SiteReadyForCW_AC]],"-")</f>
        <v>-</v>
      </c>
      <c r="AO75" s="64">
        <f t="shared" si="15"/>
        <v>500</v>
      </c>
      <c r="AP75" s="82"/>
      <c r="AQ75" s="63">
        <f>Table_SiteMilestoneTracking[[#This Row],[SiteReadyForPower_BL]]+t4_PowerInstallBL</f>
        <v>44048</v>
      </c>
      <c r="AR75" s="84"/>
      <c r="AS75" s="64" t="str">
        <f>IF(ISBLANK(Table_SiteMilestoneTracking[[#This Row],[TXReady_AC]])=FALSE,Table_SiteMilestoneTracking[[#This Row],[TXReady_AC]]-Table_SiteMilestoneTracking[[#This Row],[TXReady_BL]],"-")</f>
        <v>-</v>
      </c>
      <c r="AT75" s="64" t="str">
        <f>IF(ISBLANK(Table_SiteMilestoneTracking[[#This Row],[TXReady_AC]])=FALSE,Table_SiteMilestoneTracking[[#This Row],[TXReady_AC]]-Table_SiteMilestoneTracking[[#This Row],[SiteReadyForPower_AC]],"-")</f>
        <v>-</v>
      </c>
      <c r="AU75" s="64">
        <f>$AU$2</f>
        <v>500</v>
      </c>
      <c r="AV75" s="82"/>
      <c r="AW75" s="63">
        <f>Table_SiteMilestoneTracking[[#This Row],[TXReady_BL]]+t5_TxintegrationBL</f>
        <v>44055</v>
      </c>
      <c r="AX75" s="84"/>
      <c r="AY75" s="64" t="str">
        <f>IF(ISBLANK(Table_SiteMilestoneTracking[[#This Row],[SiteReadyForInstallation_AC]])=FALSE,Table_SiteMilestoneTracking[[#This Row],[SiteReadyForInstallation_AC]]-Table_SiteMilestoneTracking[[#This Row],[SiteReadyForInstallation_BL]],"-")</f>
        <v>-</v>
      </c>
      <c r="AZ75" s="64" t="str">
        <f>IF(ISBLANK(Table_SiteMilestoneTracking[[#This Row],[SiteReadyForInstallation_AC]])=FALSE,Table_SiteMilestoneTracking[[#This Row],[SiteReadyForInstallation_AC]]-Table_SiteMilestoneTracking[[#This Row],[TXReady_AC]],"-")</f>
        <v>-</v>
      </c>
      <c r="BA75" s="64">
        <f>$BA$2</f>
        <v>2500</v>
      </c>
      <c r="BB75" s="82"/>
      <c r="BC75" s="63">
        <f>Table_SiteMilestoneTracking[[#This Row],[SiteReadyForInstallation_BL]]+t6_InstallationBL</f>
        <v>44059</v>
      </c>
      <c r="BD75" s="84"/>
      <c r="BE75" s="64" t="str">
        <f>IF(ISBLANK(Table_SiteMilestoneTracking[[#This Row],[SiteReadyForIntegration_AC]])=FALSE,Table_SiteMilestoneTracking[[#This Row],[SiteReadyForIntegration_AC]]-Table_SiteMilestoneTracking[[#This Row],[SiteReadyForIntegration_BL]],"-")</f>
        <v>-</v>
      </c>
      <c r="BF75" s="64" t="str">
        <f>IF(ISBLANK(Table_SiteMilestoneTracking[[#This Row],[SiteReadyForIntegration_AC]])=FALSE,Table_SiteMilestoneTracking[[#This Row],[SiteReadyForIntegration_AC]]-Table_SiteMilestoneTracking[[#This Row],[SiteReadyForInstallation_AC]],"-")</f>
        <v>-</v>
      </c>
      <c r="BG75" s="64">
        <f>$BG$2</f>
        <v>500</v>
      </c>
      <c r="BH75" s="82"/>
      <c r="BI75" s="63">
        <f>Table_SiteMilestoneTracking[[#This Row],[SiteReadyForIntegration_BL]]+t7_IntegrationBL</f>
        <v>44063</v>
      </c>
      <c r="BJ75" s="84"/>
      <c r="BK75" s="64" t="str">
        <f>IF(ISBLANK(Table_SiteMilestoneTracking[[#This Row],[SiteOnAir_AC]])=FALSE,Table_SiteMilestoneTracking[[#This Row],[SiteOnAir_AC]]-Table_SiteMilestoneTracking[[#This Row],[SiteOnAir_BL]],"-")</f>
        <v>-</v>
      </c>
      <c r="BL75" s="64" t="str">
        <f>IF(ISBLANK(Table_SiteMilestoneTracking[[#This Row],[SiteOnAir_AC]])=FALSE,Table_SiteMilestoneTracking[[#This Row],[SiteOnAir_AC]]-Table_SiteMilestoneTracking[[#This Row],[SiteReadyForIntegration_AC]],"-")</f>
        <v>-</v>
      </c>
      <c r="BM75" s="64">
        <f>$BM$2</f>
        <v>250</v>
      </c>
      <c r="BN75" s="82"/>
      <c r="BO75" s="63">
        <f>Table_SiteMilestoneTracking[[#This Row],[SiteOnAir_BL]]+t8_AcceptanceBL</f>
        <v>44067</v>
      </c>
      <c r="BP75" s="84"/>
      <c r="BQ75" s="64" t="str">
        <f>IF(ISBLANK(Table_SiteMilestoneTracking[[#This Row],[SiteAccepted_AC]])=FALSE,Table_SiteMilestoneTracking[[#This Row],[SiteAccepted_AC]]-Table_SiteMilestoneTracking[[#This Row],[SiteAccepted_BL]],"-")</f>
        <v>-</v>
      </c>
      <c r="BR75" s="64" t="str">
        <f>IF(ISBLANK(Table_SiteMilestoneTracking[[#This Row],[SiteAccepted_AC]])=FALSE,Table_SiteMilestoneTracking[[#This Row],[SiteAccepted_AC]]-Table_SiteMilestoneTracking[[#This Row],[SiteOnAir_AC]],"-")</f>
        <v>-</v>
      </c>
      <c r="BS75" s="64">
        <f>$BS$2</f>
        <v>200</v>
      </c>
      <c r="BT75" s="82"/>
      <c r="BU75" s="63">
        <f>Table_SiteMilestoneTracking[[#This Row],[SiteAccepted_BL]]+t9_HandoverBL</f>
        <v>44075</v>
      </c>
      <c r="BV75" s="84"/>
      <c r="BW75" s="64" t="str">
        <f>IF(ISBLANK(Table_SiteMilestoneTracking[[#This Row],[SiteInOperations_AC]])=FALSE,Table_SiteMilestoneTracking[[#This Row],[SiteInOperations_AC]]-Table_SiteMilestoneTracking[[#This Row],[SiteInOperations_BL]],"-")</f>
        <v>-</v>
      </c>
      <c r="BX75" s="66">
        <f>Table_SiteMilestoneTracking[[#This Row],[SiteInOperations_BL]]-Table_SiteMilestoneTracking[[#This Row],[SiteDesignReady_BL]]</f>
        <v>55</v>
      </c>
      <c r="BY75" s="66" t="str">
        <f>IF(Table_SiteMilestoneTracking[[#This Row],[CurrentSiteMilestone]]="SiteInOperations",Table_SiteMilestoneTracking[[#This Row],[SiteInOperations_AC]]-Table_SiteMilestoneTracking[[#This Row],[SiteDesignReady_AC]],"")</f>
        <v/>
      </c>
      <c r="BZ75" s="66" t="str">
        <f>IFERROR(Table_SiteMilestoneTracking[[#This Row],[E2E_Site_AC]]-Table_SiteMilestoneTracking[[#This Row],[E2E_Site_BL]],"")</f>
        <v/>
      </c>
      <c r="CA75" s="66" t="str">
        <f>IF(Table_SiteMilestoneTracking[[#This Row],[CurrentSiteMilestone]]="SiteInOperations",Table_SiteMilestoneTracking[[#This Row],[SiteInOperations_AC]]-Table_SiteMilestoneTracking[[#This Row],[SiteAccepted_AC]],"")</f>
        <v/>
      </c>
      <c r="CB75" s="79"/>
      <c r="CC75" s="89"/>
      <c r="CD75" s="89"/>
      <c r="CE75" s="70"/>
      <c r="CF75" s="70"/>
      <c r="CG75" s="70"/>
      <c r="CH75" s="70"/>
      <c r="CI75" s="70"/>
      <c r="CJ75" s="70"/>
      <c r="CK75" s="70"/>
      <c r="CL75" s="70"/>
      <c r="CM75" s="70"/>
      <c r="CN75" s="70"/>
      <c r="CO75" s="70"/>
      <c r="CP75" s="70"/>
      <c r="CQ75" s="70"/>
      <c r="CR75" s="70"/>
      <c r="CS75" s="70"/>
      <c r="CT75" s="70"/>
      <c r="CU75" s="70"/>
      <c r="CV75" s="70"/>
      <c r="CW75" s="70"/>
      <c r="CX75" s="70"/>
      <c r="CY75" s="70"/>
      <c r="CZ75" s="70"/>
      <c r="DA75" s="70"/>
      <c r="DB75" s="70"/>
      <c r="DC75" s="70"/>
      <c r="DD75" s="70"/>
      <c r="DE75" s="70"/>
      <c r="DF75" s="70"/>
      <c r="DG75" s="70"/>
      <c r="DH75" s="70"/>
      <c r="DI75" s="70"/>
      <c r="DJ75" s="70"/>
      <c r="DK75" s="70"/>
      <c r="DL75" s="70"/>
      <c r="DM75" s="70"/>
      <c r="DN75" s="70"/>
      <c r="DO75" s="70"/>
      <c r="DP75" s="70"/>
      <c r="DQ75" s="70"/>
      <c r="DR75" s="70"/>
      <c r="DS75" s="70"/>
      <c r="DT75" s="70"/>
      <c r="DU75" s="70"/>
      <c r="DV75" s="70"/>
    </row>
    <row r="76" spans="1:126" x14ac:dyDescent="0.3">
      <c r="A76" s="79" t="str">
        <f>'4. Design Tracking Summary'!A77</f>
        <v>AP00239</v>
      </c>
      <c r="B76" s="79" t="str">
        <f>'4. Design Tracking Summary'!B77</f>
        <v>North</v>
      </c>
      <c r="C76" s="79" t="str">
        <f>'4. Design Tracking Summary'!C77</f>
        <v>QRO</v>
      </c>
      <c r="D76" s="79" t="str">
        <f>'4. Design Tracking Summary'!D77</f>
        <v>MACRO</v>
      </c>
      <c r="E76" s="79" t="s">
        <v>56</v>
      </c>
      <c r="F76" s="79"/>
      <c r="G76" s="60" t="str">
        <f>IFERROR(INDEX(Table_SiteMilestonesNames[SiteMilestoneName],COUNTA(Table_SiteMilestoneTracking[[#This Row],[SiteDesignStarted_AC]],Table_SiteMilestoneTracking[[#This Row],[SiteDesignReady_AC]],Table_SiteMilestoneTracking[[#This Row],[SiteSurveyCompleted_AC]],Table_SiteMilestoneTracking[[#This Row],[SiteAcquired_AC]],Table_SiteMilestoneTracking[[#This Row],[SiteReadyForCW_AC]],Table_SiteMilestoneTracking[[#This Row],[SiteReadyForPower_AC]],Table_SiteMilestoneTracking[[#This Row],[TXReady_AC]],Table_SiteMilestoneTracking[[#This Row],[SiteReadyForInstallation_AC]],Table_SiteMilestoneTracking[[#This Row],[SiteReadyForIntegration_AC]],Table_SiteMilestoneTracking[[#This Row],[SiteOnAir_AC]],Table_SiteMilestoneTracking[[#This Row],[SiteAccepted_AC]],Table_SiteMilestoneTracking[[#This Row],[SiteInOperations_AC]])+1),"Invalid Milestone")</f>
        <v>SiteReadyForCW</v>
      </c>
      <c r="H76" s="61">
        <f>Table_SiteMilestoneTracking[[#This Row],[c0_SiteDesignCostBL]]+Table_SiteMilestoneTracking[[#This Row],[c1_SiteSurveyCostBL]]+Table_SiteMilestoneTracking[[#This Row],[c2_SiteAcquisitionCostBL]]+Table_SiteMilestoneTracking[[#This Row],[c3_CivilWorksCostBL]]+Table_SiteMilestoneTracking[[#This Row],[c4_PowerInstallCostBL]]+Table_SiteMilestoneTracking[[#This Row],[c5_TxintegrationCostBL]]+Table_SiteMilestoneTracking[[#This Row],[c6_InstallationCostBL]]+Table_SiteMilestoneTracking[[#This Row],[c7_IntegrationCostBL]]+Table_SiteMilestoneTracking[[#This Row],[c8_AcceptanceCostBL]]+Table_SiteMilestoneTracking[[#This Row],[c9_HandoverCostBL]]</f>
        <v>7550</v>
      </c>
      <c r="I76" s="62">
        <f>Table_SiteMilestoneTracking[[#This Row],[c0_SiteDesignCostAC]]+Table_SiteMilestoneTracking[[#This Row],[c1_SiteSurveyCostAC]]+Table_SiteMilestoneTracking[[#This Row],[c2_SiteAcquisitionCostAC]]+Table_SiteMilestoneTracking[[#This Row],[c3_CivilWorksCostAC]]+Table_SiteMilestoneTracking[[#This Row],[c4_PowerInstallCostAC]]+Table_SiteMilestoneTracking[[#This Row],[c5_TxintegrationCostAC]]+Table_SiteMilestoneTracking[[#This Row],[c6_InstallationCostAC]]+Table_SiteMilestoneTracking[[#This Row],[c7_IntegrationCostAC]]+Table_SiteMilestoneTracking[[#This Row],[c8_AcceptanceCostAC]]+Table_SiteMilestoneTracking[[#This Row],[c9_HandoverCostAC]]</f>
        <v>1485</v>
      </c>
      <c r="J76" s="84">
        <v>44018</v>
      </c>
      <c r="K76" s="84">
        <v>44020</v>
      </c>
      <c r="L76" s="64">
        <f>IF(ISBLANK(Table_SiteMilestoneTracking[[#This Row],[SiteDesignStarted_AC]])=FALSE,Table_SiteMilestoneTracking[[#This Row],[SiteDesignStarted_AC]]-Table_SiteMilestoneTracking[[#This Row],[SiteDesignStarted_BL]],"")</f>
        <v>2</v>
      </c>
      <c r="M76" s="64">
        <f t="shared" si="11"/>
        <v>500</v>
      </c>
      <c r="N76" s="87">
        <v>400</v>
      </c>
      <c r="O76" s="63">
        <f>Table_SiteMilestoneTracking[[#This Row],[SiteDesignStarted_BL]]+t0_SiteDesignDelayBL</f>
        <v>44020</v>
      </c>
      <c r="P76" s="84">
        <v>44024</v>
      </c>
      <c r="Q76" s="64">
        <f>IF(ISBLANK(Table_SiteMilestoneTracking[[#This Row],[SiteDesignReady_AC]])=FALSE,Table_SiteMilestoneTracking[[#This Row],[SiteDesignReady_AC]]-Table_SiteMilestoneTracking[[#This Row],[SiteDesignReady_BL]],"-")</f>
        <v>4</v>
      </c>
      <c r="R76" s="64">
        <f t="shared" si="16"/>
        <v>500</v>
      </c>
      <c r="S76" s="82">
        <v>725</v>
      </c>
      <c r="T76" s="63">
        <f>Table_SiteMilestoneTracking[[#This Row],[SiteDesignReady_BL]]+t1_SiteSurveyBL</f>
        <v>44022</v>
      </c>
      <c r="U76" s="84">
        <v>44026</v>
      </c>
      <c r="V76" s="64">
        <f>IF(ISBLANK(Table_SiteMilestoneTracking[[#This Row],[SiteSurveyCompleted_AC]])=FALSE,Table_SiteMilestoneTracking[[#This Row],[SiteSurveyCompleted_AC]]-Table_SiteMilestoneTracking[[#This Row],[SiteDesignReady_AC]],"-")</f>
        <v>2</v>
      </c>
      <c r="W76" s="64">
        <f t="shared" si="12"/>
        <v>600</v>
      </c>
      <c r="X76" s="82">
        <v>360</v>
      </c>
      <c r="Y76" s="63">
        <f>Table_SiteMilestoneTracking[[#This Row],[SiteSurveyCompleted_BL]]+t2_SiteAcquisitionBL</f>
        <v>44033</v>
      </c>
      <c r="Z76" s="84">
        <v>44037</v>
      </c>
      <c r="AA76" s="65">
        <f>IF(ISBLANK(Table_SiteMilestoneTracking[[#This Row],[SiteAcquired_AC]])=FALSE,Table_SiteMilestoneTracking[[#This Row],[SiteAcquired_AC]]-Table_SiteMilestoneTracking[[#This Row],[SiteAcquired_BL]],"-")</f>
        <v>4</v>
      </c>
      <c r="AB76" s="65">
        <f>IF(ISBLANK(Table_SiteMilestoneTracking[[#This Row],[SiteAcquired_AC]])=FALSE,Table_SiteMilestoneTracking[[#This Row],[SiteAcquired_AC]]-Table_SiteMilestoneTracking[[#This Row],[SiteSurveyCompleted_AC]],"-")</f>
        <v>11</v>
      </c>
      <c r="AC76" s="64">
        <f t="shared" si="13"/>
        <v>150</v>
      </c>
      <c r="AD76" s="82">
        <v>165</v>
      </c>
      <c r="AE76" s="63">
        <f>Table_SiteMilestoneTracking[[#This Row],[SiteAcquired_BL]]+t2a_SiteCWReadinessBL</f>
        <v>44035</v>
      </c>
      <c r="AF76" s="85">
        <v>44040</v>
      </c>
      <c r="AG76" s="66">
        <f>IF(ISBLANK(Table_SiteMilestoneTracking[[#This Row],[SiteReadyForCW_AC]])=FALSE,Table_SiteMilestoneTracking[[#This Row],[SiteReadyForCW_AC]]-Table_SiteMilestoneTracking[[#This Row],[SiteReadyForCW_BL]],"-")</f>
        <v>5</v>
      </c>
      <c r="AH76" s="66">
        <f>IF(ISBLANK(Table_SiteMilestoneTracking[[#This Row],[SiteReadyForCW_AC]])=FALSE,Table_SiteMilestoneTracking[[#This Row],[SiteReadyForCW_AC]]-Table_SiteMilestoneTracking[[#This Row],[SiteDesignReady_AC]],"-")</f>
        <v>16</v>
      </c>
      <c r="AI76" s="64">
        <f t="shared" si="14"/>
        <v>1500</v>
      </c>
      <c r="AJ76" s="82"/>
      <c r="AK76" s="63">
        <f>Table_SiteMilestoneTracking[[#This Row],[SiteReadyForCW_BL]]+t3_CivilWorksBL</f>
        <v>44043</v>
      </c>
      <c r="AL76" s="84"/>
      <c r="AM76" s="64" t="str">
        <f>IF(ISBLANK(Table_SiteMilestoneTracking[[#This Row],[SiteReadyForPower_AC]])=FALSE,Table_SiteMilestoneTracking[[#This Row],[SiteReadyForPower_AC]]-Table_SiteMilestoneTracking[[#This Row],[SiteReadyForPower_BL]],"-")</f>
        <v>-</v>
      </c>
      <c r="AN76" s="64" t="str">
        <f>IF(ISBLANK(Table_SiteMilestoneTracking[[#This Row],[SiteReadyForPower_AC]])=FALSE,Table_SiteMilestoneTracking[[#This Row],[SiteReadyForPower_AC]]-Table_SiteMilestoneTracking[[#This Row],[SiteReadyForCW_AC]],"-")</f>
        <v>-</v>
      </c>
      <c r="AO76" s="64">
        <f t="shared" si="15"/>
        <v>500</v>
      </c>
      <c r="AP76" s="82"/>
      <c r="AQ76" s="63">
        <f>Table_SiteMilestoneTracking[[#This Row],[SiteReadyForPower_BL]]+t4_PowerInstallBL</f>
        <v>44048</v>
      </c>
      <c r="AR76" s="84"/>
      <c r="AS76" s="64" t="str">
        <f>IF(ISBLANK(Table_SiteMilestoneTracking[[#This Row],[TXReady_AC]])=FALSE,Table_SiteMilestoneTracking[[#This Row],[TXReady_AC]]-Table_SiteMilestoneTracking[[#This Row],[TXReady_BL]],"-")</f>
        <v>-</v>
      </c>
      <c r="AT76" s="64" t="str">
        <f>IF(ISBLANK(Table_SiteMilestoneTracking[[#This Row],[TXReady_AC]])=FALSE,Table_SiteMilestoneTracking[[#This Row],[TXReady_AC]]-Table_SiteMilestoneTracking[[#This Row],[SiteReadyForPower_AC]],"-")</f>
        <v>-</v>
      </c>
      <c r="AU76" s="64">
        <f>$AU$2</f>
        <v>500</v>
      </c>
      <c r="AV76" s="82"/>
      <c r="AW76" s="63">
        <f>Table_SiteMilestoneTracking[[#This Row],[TXReady_BL]]+t5_TxintegrationBL</f>
        <v>44055</v>
      </c>
      <c r="AX76" s="84"/>
      <c r="AY76" s="64" t="str">
        <f>IF(ISBLANK(Table_SiteMilestoneTracking[[#This Row],[SiteReadyForInstallation_AC]])=FALSE,Table_SiteMilestoneTracking[[#This Row],[SiteReadyForInstallation_AC]]-Table_SiteMilestoneTracking[[#This Row],[SiteReadyForInstallation_BL]],"-")</f>
        <v>-</v>
      </c>
      <c r="AZ76" s="64" t="str">
        <f>IF(ISBLANK(Table_SiteMilestoneTracking[[#This Row],[SiteReadyForInstallation_AC]])=FALSE,Table_SiteMilestoneTracking[[#This Row],[SiteReadyForInstallation_AC]]-Table_SiteMilestoneTracking[[#This Row],[TXReady_AC]],"-")</f>
        <v>-</v>
      </c>
      <c r="BA76" s="64">
        <f>$BA$2</f>
        <v>2500</v>
      </c>
      <c r="BB76" s="82"/>
      <c r="BC76" s="63">
        <f>Table_SiteMilestoneTracking[[#This Row],[SiteReadyForInstallation_BL]]+t6_InstallationBL</f>
        <v>44059</v>
      </c>
      <c r="BD76" s="84"/>
      <c r="BE76" s="64" t="str">
        <f>IF(ISBLANK(Table_SiteMilestoneTracking[[#This Row],[SiteReadyForIntegration_AC]])=FALSE,Table_SiteMilestoneTracking[[#This Row],[SiteReadyForIntegration_AC]]-Table_SiteMilestoneTracking[[#This Row],[SiteReadyForIntegration_BL]],"-")</f>
        <v>-</v>
      </c>
      <c r="BF76" s="64" t="str">
        <f>IF(ISBLANK(Table_SiteMilestoneTracking[[#This Row],[SiteReadyForIntegration_AC]])=FALSE,Table_SiteMilestoneTracking[[#This Row],[SiteReadyForIntegration_AC]]-Table_SiteMilestoneTracking[[#This Row],[SiteReadyForInstallation_AC]],"-")</f>
        <v>-</v>
      </c>
      <c r="BG76" s="64">
        <f>$BG$2</f>
        <v>500</v>
      </c>
      <c r="BH76" s="82"/>
      <c r="BI76" s="63">
        <f>Table_SiteMilestoneTracking[[#This Row],[SiteReadyForIntegration_BL]]+t7_IntegrationBL</f>
        <v>44063</v>
      </c>
      <c r="BJ76" s="84"/>
      <c r="BK76" s="64" t="str">
        <f>IF(ISBLANK(Table_SiteMilestoneTracking[[#This Row],[SiteOnAir_AC]])=FALSE,Table_SiteMilestoneTracking[[#This Row],[SiteOnAir_AC]]-Table_SiteMilestoneTracking[[#This Row],[SiteOnAir_BL]],"-")</f>
        <v>-</v>
      </c>
      <c r="BL76" s="64" t="str">
        <f>IF(ISBLANK(Table_SiteMilestoneTracking[[#This Row],[SiteOnAir_AC]])=FALSE,Table_SiteMilestoneTracking[[#This Row],[SiteOnAir_AC]]-Table_SiteMilestoneTracking[[#This Row],[SiteReadyForIntegration_AC]],"-")</f>
        <v>-</v>
      </c>
      <c r="BM76" s="64">
        <f>$BM$2</f>
        <v>250</v>
      </c>
      <c r="BN76" s="82"/>
      <c r="BO76" s="63">
        <f>Table_SiteMilestoneTracking[[#This Row],[SiteOnAir_BL]]+t8_AcceptanceBL</f>
        <v>44067</v>
      </c>
      <c r="BP76" s="84"/>
      <c r="BQ76" s="64" t="str">
        <f>IF(ISBLANK(Table_SiteMilestoneTracking[[#This Row],[SiteAccepted_AC]])=FALSE,Table_SiteMilestoneTracking[[#This Row],[SiteAccepted_AC]]-Table_SiteMilestoneTracking[[#This Row],[SiteAccepted_BL]],"-")</f>
        <v>-</v>
      </c>
      <c r="BR76" s="64" t="str">
        <f>IF(ISBLANK(Table_SiteMilestoneTracking[[#This Row],[SiteAccepted_AC]])=FALSE,Table_SiteMilestoneTracking[[#This Row],[SiteAccepted_AC]]-Table_SiteMilestoneTracking[[#This Row],[SiteOnAir_AC]],"-")</f>
        <v>-</v>
      </c>
      <c r="BS76" s="64">
        <f>$BS$2</f>
        <v>200</v>
      </c>
      <c r="BT76" s="82"/>
      <c r="BU76" s="63">
        <f>Table_SiteMilestoneTracking[[#This Row],[SiteAccepted_BL]]+t9_HandoverBL</f>
        <v>44075</v>
      </c>
      <c r="BV76" s="84"/>
      <c r="BW76" s="64" t="str">
        <f>IF(ISBLANK(Table_SiteMilestoneTracking[[#This Row],[SiteInOperations_AC]])=FALSE,Table_SiteMilestoneTracking[[#This Row],[SiteInOperations_AC]]-Table_SiteMilestoneTracking[[#This Row],[SiteInOperations_BL]],"-")</f>
        <v>-</v>
      </c>
      <c r="BX76" s="66">
        <f>Table_SiteMilestoneTracking[[#This Row],[SiteInOperations_BL]]-Table_SiteMilestoneTracking[[#This Row],[SiteDesignReady_BL]]</f>
        <v>55</v>
      </c>
      <c r="BY76" s="66" t="str">
        <f>IF(Table_SiteMilestoneTracking[[#This Row],[CurrentSiteMilestone]]="SiteInOperations",Table_SiteMilestoneTracking[[#This Row],[SiteInOperations_AC]]-Table_SiteMilestoneTracking[[#This Row],[SiteDesignReady_AC]],"")</f>
        <v/>
      </c>
      <c r="BZ76" s="66" t="str">
        <f>IFERROR(Table_SiteMilestoneTracking[[#This Row],[E2E_Site_AC]]-Table_SiteMilestoneTracking[[#This Row],[E2E_Site_BL]],"")</f>
        <v/>
      </c>
      <c r="CA76" s="66" t="str">
        <f>IF(Table_SiteMilestoneTracking[[#This Row],[CurrentSiteMilestone]]="SiteInOperations",Table_SiteMilestoneTracking[[#This Row],[SiteInOperations_AC]]-Table_SiteMilestoneTracking[[#This Row],[SiteAccepted_AC]],"")</f>
        <v/>
      </c>
      <c r="CB76" s="79"/>
      <c r="CC76" s="89"/>
      <c r="CD76" s="89"/>
      <c r="CE76" s="70"/>
      <c r="CF76" s="70"/>
      <c r="CG76" s="70"/>
      <c r="CH76" s="70"/>
      <c r="CI76" s="70"/>
      <c r="CJ76" s="70"/>
      <c r="CK76" s="70"/>
      <c r="CL76" s="70"/>
      <c r="CM76" s="70"/>
      <c r="CN76" s="70"/>
      <c r="CO76" s="70"/>
      <c r="CP76" s="70"/>
      <c r="CQ76" s="70"/>
      <c r="CR76" s="70"/>
      <c r="CS76" s="70"/>
      <c r="CT76" s="70"/>
      <c r="CU76" s="70"/>
      <c r="CV76" s="70"/>
      <c r="CW76" s="70"/>
      <c r="CX76" s="70"/>
      <c r="CY76" s="70"/>
      <c r="CZ76" s="70"/>
      <c r="DA76" s="70"/>
      <c r="DB76" s="70"/>
      <c r="DC76" s="70"/>
      <c r="DD76" s="70"/>
      <c r="DE76" s="70"/>
      <c r="DF76" s="70"/>
      <c r="DG76" s="70"/>
      <c r="DH76" s="70"/>
      <c r="DI76" s="70"/>
      <c r="DJ76" s="70"/>
      <c r="DK76" s="70"/>
      <c r="DL76" s="70"/>
      <c r="DM76" s="70"/>
      <c r="DN76" s="70"/>
      <c r="DO76" s="70"/>
      <c r="DP76" s="70"/>
      <c r="DQ76" s="70"/>
      <c r="DR76" s="70"/>
      <c r="DS76" s="70"/>
      <c r="DT76" s="70"/>
      <c r="DU76" s="70"/>
      <c r="DV76" s="70"/>
    </row>
    <row r="77" spans="1:126" x14ac:dyDescent="0.3">
      <c r="A77" s="79" t="str">
        <f>'4. Design Tracking Summary'!A78</f>
        <v>PI00189</v>
      </c>
      <c r="B77" s="79" t="str">
        <f>'4. Design Tracking Summary'!B78</f>
        <v>North</v>
      </c>
      <c r="C77" s="79" t="str">
        <f>'4. Design Tracking Summary'!C78</f>
        <v>VER</v>
      </c>
      <c r="D77" s="79" t="str">
        <f>'4. Design Tracking Summary'!D78</f>
        <v>MINI</v>
      </c>
      <c r="E77" s="79" t="s">
        <v>57</v>
      </c>
      <c r="F77" s="79"/>
      <c r="G77" s="60" t="str">
        <f>IFERROR(INDEX(Table_SiteMilestonesNames[SiteMilestoneName],COUNTA(Table_SiteMilestoneTracking[[#This Row],[SiteDesignStarted_AC]],Table_SiteMilestoneTracking[[#This Row],[SiteDesignReady_AC]],Table_SiteMilestoneTracking[[#This Row],[SiteSurveyCompleted_AC]],Table_SiteMilestoneTracking[[#This Row],[SiteAcquired_AC]],Table_SiteMilestoneTracking[[#This Row],[SiteReadyForCW_AC]],Table_SiteMilestoneTracking[[#This Row],[SiteReadyForPower_AC]],Table_SiteMilestoneTracking[[#This Row],[TXReady_AC]],Table_SiteMilestoneTracking[[#This Row],[SiteReadyForInstallation_AC]],Table_SiteMilestoneTracking[[#This Row],[SiteReadyForIntegration_AC]],Table_SiteMilestoneTracking[[#This Row],[SiteOnAir_AC]],Table_SiteMilestoneTracking[[#This Row],[SiteAccepted_AC]],Table_SiteMilestoneTracking[[#This Row],[SiteInOperations_AC]])+1),"Invalid Milestone")</f>
        <v>SiteReadyForCW</v>
      </c>
      <c r="H77" s="61">
        <f>Table_SiteMilestoneTracking[[#This Row],[c0_SiteDesignCostBL]]+Table_SiteMilestoneTracking[[#This Row],[c1_SiteSurveyCostBL]]+Table_SiteMilestoneTracking[[#This Row],[c2_SiteAcquisitionCostBL]]+Table_SiteMilestoneTracking[[#This Row],[c3_CivilWorksCostBL]]+Table_SiteMilestoneTracking[[#This Row],[c4_PowerInstallCostBL]]+Table_SiteMilestoneTracking[[#This Row],[c5_TxintegrationCostBL]]+Table_SiteMilestoneTracking[[#This Row],[c6_InstallationCostBL]]+Table_SiteMilestoneTracking[[#This Row],[c7_IntegrationCostBL]]+Table_SiteMilestoneTracking[[#This Row],[c8_AcceptanceCostBL]]+Table_SiteMilestoneTracking[[#This Row],[c9_HandoverCostBL]]</f>
        <v>7550</v>
      </c>
      <c r="I77" s="62">
        <f>Table_SiteMilestoneTracking[[#This Row],[c0_SiteDesignCostAC]]+Table_SiteMilestoneTracking[[#This Row],[c1_SiteSurveyCostAC]]+Table_SiteMilestoneTracking[[#This Row],[c2_SiteAcquisitionCostAC]]+Table_SiteMilestoneTracking[[#This Row],[c3_CivilWorksCostAC]]+Table_SiteMilestoneTracking[[#This Row],[c4_PowerInstallCostAC]]+Table_SiteMilestoneTracking[[#This Row],[c5_TxintegrationCostAC]]+Table_SiteMilestoneTracking[[#This Row],[c6_InstallationCostAC]]+Table_SiteMilestoneTracking[[#This Row],[c7_IntegrationCostAC]]+Table_SiteMilestoneTracking[[#This Row],[c8_AcceptanceCostAC]]+Table_SiteMilestoneTracking[[#This Row],[c9_HandoverCostAC]]</f>
        <v>1705</v>
      </c>
      <c r="J77" s="84">
        <v>44018</v>
      </c>
      <c r="K77" s="84">
        <v>44019</v>
      </c>
      <c r="L77" s="64">
        <f>IF(ISBLANK(Table_SiteMilestoneTracking[[#This Row],[SiteDesignStarted_AC]])=FALSE,Table_SiteMilestoneTracking[[#This Row],[SiteDesignStarted_AC]]-Table_SiteMilestoneTracking[[#This Row],[SiteDesignStarted_BL]],"")</f>
        <v>1</v>
      </c>
      <c r="M77" s="64">
        <f t="shared" si="11"/>
        <v>500</v>
      </c>
      <c r="N77" s="87">
        <v>420</v>
      </c>
      <c r="O77" s="63">
        <f>Table_SiteMilestoneTracking[[#This Row],[SiteDesignStarted_BL]]+t0_SiteDesignDelayBL</f>
        <v>44020</v>
      </c>
      <c r="P77" s="84">
        <v>44023</v>
      </c>
      <c r="Q77" s="64">
        <f>IF(ISBLANK(Table_SiteMilestoneTracking[[#This Row],[SiteDesignReady_AC]])=FALSE,Table_SiteMilestoneTracking[[#This Row],[SiteDesignReady_AC]]-Table_SiteMilestoneTracking[[#This Row],[SiteDesignReady_BL]],"-")</f>
        <v>3</v>
      </c>
      <c r="R77" s="64">
        <f t="shared" si="16"/>
        <v>500</v>
      </c>
      <c r="S77" s="82">
        <v>625</v>
      </c>
      <c r="T77" s="63">
        <f>Table_SiteMilestoneTracking[[#This Row],[SiteDesignReady_BL]]+t1_SiteSurveyBL</f>
        <v>44022</v>
      </c>
      <c r="U77" s="84">
        <v>44025</v>
      </c>
      <c r="V77" s="64">
        <f>IF(ISBLANK(Table_SiteMilestoneTracking[[#This Row],[SiteSurveyCompleted_AC]])=FALSE,Table_SiteMilestoneTracking[[#This Row],[SiteSurveyCompleted_AC]]-Table_SiteMilestoneTracking[[#This Row],[SiteDesignReady_AC]],"-")</f>
        <v>2</v>
      </c>
      <c r="W77" s="64">
        <f t="shared" si="12"/>
        <v>600</v>
      </c>
      <c r="X77" s="82">
        <v>660</v>
      </c>
      <c r="Y77" s="63">
        <f>Table_SiteMilestoneTracking[[#This Row],[SiteSurveyCompleted_BL]]+t2_SiteAcquisitionBL</f>
        <v>44033</v>
      </c>
      <c r="Z77" s="84">
        <v>44037</v>
      </c>
      <c r="AA77" s="65">
        <f>IF(ISBLANK(Table_SiteMilestoneTracking[[#This Row],[SiteAcquired_AC]])=FALSE,Table_SiteMilestoneTracking[[#This Row],[SiteAcquired_AC]]-Table_SiteMilestoneTracking[[#This Row],[SiteAcquired_BL]],"-")</f>
        <v>4</v>
      </c>
      <c r="AB77" s="65">
        <f>IF(ISBLANK(Table_SiteMilestoneTracking[[#This Row],[SiteAcquired_AC]])=FALSE,Table_SiteMilestoneTracking[[#This Row],[SiteAcquired_AC]]-Table_SiteMilestoneTracking[[#This Row],[SiteSurveyCompleted_AC]],"-")</f>
        <v>12</v>
      </c>
      <c r="AC77" s="64">
        <f t="shared" si="13"/>
        <v>150</v>
      </c>
      <c r="AD77" s="82">
        <v>165</v>
      </c>
      <c r="AE77" s="63">
        <f>Table_SiteMilestoneTracking[[#This Row],[SiteAcquired_BL]]+t2a_SiteCWReadinessBL</f>
        <v>44035</v>
      </c>
      <c r="AF77" s="85">
        <v>44039</v>
      </c>
      <c r="AG77" s="66">
        <f>IF(ISBLANK(Table_SiteMilestoneTracking[[#This Row],[SiteReadyForCW_AC]])=FALSE,Table_SiteMilestoneTracking[[#This Row],[SiteReadyForCW_AC]]-Table_SiteMilestoneTracking[[#This Row],[SiteReadyForCW_BL]],"-")</f>
        <v>4</v>
      </c>
      <c r="AH77" s="66">
        <f>IF(ISBLANK(Table_SiteMilestoneTracking[[#This Row],[SiteReadyForCW_AC]])=FALSE,Table_SiteMilestoneTracking[[#This Row],[SiteReadyForCW_AC]]-Table_SiteMilestoneTracking[[#This Row],[SiteDesignReady_AC]],"-")</f>
        <v>16</v>
      </c>
      <c r="AI77" s="64">
        <f t="shared" si="14"/>
        <v>1500</v>
      </c>
      <c r="AJ77" s="82"/>
      <c r="AK77" s="63">
        <f>Table_SiteMilestoneTracking[[#This Row],[SiteReadyForCW_BL]]+t3_CivilWorksBL</f>
        <v>44043</v>
      </c>
      <c r="AL77" s="84"/>
      <c r="AM77" s="64" t="str">
        <f>IF(ISBLANK(Table_SiteMilestoneTracking[[#This Row],[SiteReadyForPower_AC]])=FALSE,Table_SiteMilestoneTracking[[#This Row],[SiteReadyForPower_AC]]-Table_SiteMilestoneTracking[[#This Row],[SiteReadyForPower_BL]],"-")</f>
        <v>-</v>
      </c>
      <c r="AN77" s="64" t="str">
        <f>IF(ISBLANK(Table_SiteMilestoneTracking[[#This Row],[SiteReadyForPower_AC]])=FALSE,Table_SiteMilestoneTracking[[#This Row],[SiteReadyForPower_AC]]-Table_SiteMilestoneTracking[[#This Row],[SiteReadyForCW_AC]],"-")</f>
        <v>-</v>
      </c>
      <c r="AO77" s="64">
        <f t="shared" si="15"/>
        <v>500</v>
      </c>
      <c r="AP77" s="82"/>
      <c r="AQ77" s="63">
        <f>Table_SiteMilestoneTracking[[#This Row],[SiteReadyForPower_BL]]+t4_PowerInstallBL</f>
        <v>44048</v>
      </c>
      <c r="AR77" s="84"/>
      <c r="AS77" s="64" t="str">
        <f>IF(ISBLANK(Table_SiteMilestoneTracking[[#This Row],[TXReady_AC]])=FALSE,Table_SiteMilestoneTracking[[#This Row],[TXReady_AC]]-Table_SiteMilestoneTracking[[#This Row],[TXReady_BL]],"-")</f>
        <v>-</v>
      </c>
      <c r="AT77" s="64" t="str">
        <f>IF(ISBLANK(Table_SiteMilestoneTracking[[#This Row],[TXReady_AC]])=FALSE,Table_SiteMilestoneTracking[[#This Row],[TXReady_AC]]-Table_SiteMilestoneTracking[[#This Row],[SiteReadyForPower_AC]],"-")</f>
        <v>-</v>
      </c>
      <c r="AU77" s="64">
        <f>$AU$2</f>
        <v>500</v>
      </c>
      <c r="AV77" s="82"/>
      <c r="AW77" s="63">
        <f>Table_SiteMilestoneTracking[[#This Row],[TXReady_BL]]+t5_TxintegrationBL</f>
        <v>44055</v>
      </c>
      <c r="AX77" s="84"/>
      <c r="AY77" s="64" t="str">
        <f>IF(ISBLANK(Table_SiteMilestoneTracking[[#This Row],[SiteReadyForInstallation_AC]])=FALSE,Table_SiteMilestoneTracking[[#This Row],[SiteReadyForInstallation_AC]]-Table_SiteMilestoneTracking[[#This Row],[SiteReadyForInstallation_BL]],"-")</f>
        <v>-</v>
      </c>
      <c r="AZ77" s="64" t="str">
        <f>IF(ISBLANK(Table_SiteMilestoneTracking[[#This Row],[SiteReadyForInstallation_AC]])=FALSE,Table_SiteMilestoneTracking[[#This Row],[SiteReadyForInstallation_AC]]-Table_SiteMilestoneTracking[[#This Row],[TXReady_AC]],"-")</f>
        <v>-</v>
      </c>
      <c r="BA77" s="64">
        <f>$BA$2</f>
        <v>2500</v>
      </c>
      <c r="BB77" s="82"/>
      <c r="BC77" s="63">
        <f>Table_SiteMilestoneTracking[[#This Row],[SiteReadyForInstallation_BL]]+t6_InstallationBL</f>
        <v>44059</v>
      </c>
      <c r="BD77" s="84"/>
      <c r="BE77" s="64" t="str">
        <f>IF(ISBLANK(Table_SiteMilestoneTracking[[#This Row],[SiteReadyForIntegration_AC]])=FALSE,Table_SiteMilestoneTracking[[#This Row],[SiteReadyForIntegration_AC]]-Table_SiteMilestoneTracking[[#This Row],[SiteReadyForIntegration_BL]],"-")</f>
        <v>-</v>
      </c>
      <c r="BF77" s="64" t="str">
        <f>IF(ISBLANK(Table_SiteMilestoneTracking[[#This Row],[SiteReadyForIntegration_AC]])=FALSE,Table_SiteMilestoneTracking[[#This Row],[SiteReadyForIntegration_AC]]-Table_SiteMilestoneTracking[[#This Row],[SiteReadyForInstallation_AC]],"-")</f>
        <v>-</v>
      </c>
      <c r="BG77" s="64">
        <f>$BG$2</f>
        <v>500</v>
      </c>
      <c r="BH77" s="82"/>
      <c r="BI77" s="63">
        <f>Table_SiteMilestoneTracking[[#This Row],[SiteReadyForIntegration_BL]]+t7_IntegrationBL</f>
        <v>44063</v>
      </c>
      <c r="BJ77" s="84"/>
      <c r="BK77" s="64" t="str">
        <f>IF(ISBLANK(Table_SiteMilestoneTracking[[#This Row],[SiteOnAir_AC]])=FALSE,Table_SiteMilestoneTracking[[#This Row],[SiteOnAir_AC]]-Table_SiteMilestoneTracking[[#This Row],[SiteOnAir_BL]],"-")</f>
        <v>-</v>
      </c>
      <c r="BL77" s="64" t="str">
        <f>IF(ISBLANK(Table_SiteMilestoneTracking[[#This Row],[SiteOnAir_AC]])=FALSE,Table_SiteMilestoneTracking[[#This Row],[SiteOnAir_AC]]-Table_SiteMilestoneTracking[[#This Row],[SiteReadyForIntegration_AC]],"-")</f>
        <v>-</v>
      </c>
      <c r="BM77" s="64">
        <f>$BM$2</f>
        <v>250</v>
      </c>
      <c r="BN77" s="82"/>
      <c r="BO77" s="63">
        <f>Table_SiteMilestoneTracking[[#This Row],[SiteOnAir_BL]]+t8_AcceptanceBL</f>
        <v>44067</v>
      </c>
      <c r="BP77" s="84"/>
      <c r="BQ77" s="64" t="str">
        <f>IF(ISBLANK(Table_SiteMilestoneTracking[[#This Row],[SiteAccepted_AC]])=FALSE,Table_SiteMilestoneTracking[[#This Row],[SiteAccepted_AC]]-Table_SiteMilestoneTracking[[#This Row],[SiteAccepted_BL]],"-")</f>
        <v>-</v>
      </c>
      <c r="BR77" s="64" t="str">
        <f>IF(ISBLANK(Table_SiteMilestoneTracking[[#This Row],[SiteAccepted_AC]])=FALSE,Table_SiteMilestoneTracking[[#This Row],[SiteAccepted_AC]]-Table_SiteMilestoneTracking[[#This Row],[SiteOnAir_AC]],"-")</f>
        <v>-</v>
      </c>
      <c r="BS77" s="64">
        <f>$BS$2</f>
        <v>200</v>
      </c>
      <c r="BT77" s="82"/>
      <c r="BU77" s="63">
        <f>Table_SiteMilestoneTracking[[#This Row],[SiteAccepted_BL]]+t9_HandoverBL</f>
        <v>44075</v>
      </c>
      <c r="BV77" s="84"/>
      <c r="BW77" s="64" t="str">
        <f>IF(ISBLANK(Table_SiteMilestoneTracking[[#This Row],[SiteInOperations_AC]])=FALSE,Table_SiteMilestoneTracking[[#This Row],[SiteInOperations_AC]]-Table_SiteMilestoneTracking[[#This Row],[SiteInOperations_BL]],"-")</f>
        <v>-</v>
      </c>
      <c r="BX77" s="66">
        <f>Table_SiteMilestoneTracking[[#This Row],[SiteInOperations_BL]]-Table_SiteMilestoneTracking[[#This Row],[SiteDesignReady_BL]]</f>
        <v>55</v>
      </c>
      <c r="BY77" s="66" t="str">
        <f>IF(Table_SiteMilestoneTracking[[#This Row],[CurrentSiteMilestone]]="SiteInOperations",Table_SiteMilestoneTracking[[#This Row],[SiteInOperations_AC]]-Table_SiteMilestoneTracking[[#This Row],[SiteDesignReady_AC]],"")</f>
        <v/>
      </c>
      <c r="BZ77" s="66" t="str">
        <f>IFERROR(Table_SiteMilestoneTracking[[#This Row],[E2E_Site_AC]]-Table_SiteMilestoneTracking[[#This Row],[E2E_Site_BL]],"")</f>
        <v/>
      </c>
      <c r="CA77" s="66" t="str">
        <f>IF(Table_SiteMilestoneTracking[[#This Row],[CurrentSiteMilestone]]="SiteInOperations",Table_SiteMilestoneTracking[[#This Row],[SiteInOperations_AC]]-Table_SiteMilestoneTracking[[#This Row],[SiteAccepted_AC]],"")</f>
        <v/>
      </c>
      <c r="CB77" s="79"/>
      <c r="CC77" s="89"/>
      <c r="CD77" s="89"/>
      <c r="CE77" s="70"/>
      <c r="CF77" s="70"/>
      <c r="CG77" s="70"/>
      <c r="CH77" s="70"/>
      <c r="CI77" s="70"/>
      <c r="CJ77" s="70"/>
      <c r="CK77" s="70"/>
      <c r="CL77" s="70"/>
      <c r="CM77" s="70"/>
      <c r="CN77" s="70"/>
      <c r="CO77" s="70"/>
      <c r="CP77" s="70"/>
      <c r="CQ77" s="70"/>
      <c r="CR77" s="70"/>
      <c r="CS77" s="70"/>
      <c r="CT77" s="70"/>
      <c r="CU77" s="70"/>
      <c r="CV77" s="70"/>
      <c r="CW77" s="70"/>
      <c r="CX77" s="70"/>
      <c r="CY77" s="70"/>
      <c r="CZ77" s="70"/>
      <c r="DA77" s="70"/>
      <c r="DB77" s="70"/>
      <c r="DC77" s="70"/>
      <c r="DD77" s="70"/>
      <c r="DE77" s="70"/>
      <c r="DF77" s="70"/>
      <c r="DG77" s="70"/>
      <c r="DH77" s="70"/>
      <c r="DI77" s="70"/>
      <c r="DJ77" s="70"/>
      <c r="DK77" s="70"/>
      <c r="DL77" s="70"/>
      <c r="DM77" s="70"/>
      <c r="DN77" s="70"/>
      <c r="DO77" s="70"/>
      <c r="DP77" s="70"/>
      <c r="DQ77" s="70"/>
      <c r="DR77" s="70"/>
      <c r="DS77" s="70"/>
      <c r="DT77" s="70"/>
      <c r="DU77" s="70"/>
      <c r="DV77" s="70"/>
    </row>
    <row r="78" spans="1:126" x14ac:dyDescent="0.3">
      <c r="A78" s="79" t="str">
        <f>'4. Design Tracking Summary'!A79</f>
        <v>PI00282</v>
      </c>
      <c r="B78" s="79" t="str">
        <f>'4. Design Tracking Summary'!B79</f>
        <v>Center</v>
      </c>
      <c r="C78" s="79" t="str">
        <f>'4. Design Tracking Summary'!C79</f>
        <v>CHI</v>
      </c>
      <c r="D78" s="79" t="str">
        <f>'4. Design Tracking Summary'!D79</f>
        <v>SMALL</v>
      </c>
      <c r="E78" s="79" t="s">
        <v>58</v>
      </c>
      <c r="F78" s="79"/>
      <c r="G78" s="60" t="str">
        <f>IFERROR(INDEX(Table_SiteMilestonesNames[SiteMilestoneName],COUNTA(Table_SiteMilestoneTracking[[#This Row],[SiteDesignStarted_AC]],Table_SiteMilestoneTracking[[#This Row],[SiteDesignReady_AC]],Table_SiteMilestoneTracking[[#This Row],[SiteSurveyCompleted_AC]],Table_SiteMilestoneTracking[[#This Row],[SiteAcquired_AC]],Table_SiteMilestoneTracking[[#This Row],[SiteReadyForCW_AC]],Table_SiteMilestoneTracking[[#This Row],[SiteReadyForPower_AC]],Table_SiteMilestoneTracking[[#This Row],[TXReady_AC]],Table_SiteMilestoneTracking[[#This Row],[SiteReadyForInstallation_AC]],Table_SiteMilestoneTracking[[#This Row],[SiteReadyForIntegration_AC]],Table_SiteMilestoneTracking[[#This Row],[SiteOnAir_AC]],Table_SiteMilestoneTracking[[#This Row],[SiteAccepted_AC]],Table_SiteMilestoneTracking[[#This Row],[SiteInOperations_AC]])+1),"Invalid Milestone")</f>
        <v>SiteReadyForCW</v>
      </c>
      <c r="H78" s="61">
        <f>Table_SiteMilestoneTracking[[#This Row],[c0_SiteDesignCostBL]]+Table_SiteMilestoneTracking[[#This Row],[c1_SiteSurveyCostBL]]+Table_SiteMilestoneTracking[[#This Row],[c2_SiteAcquisitionCostBL]]+Table_SiteMilestoneTracking[[#This Row],[c3_CivilWorksCostBL]]+Table_SiteMilestoneTracking[[#This Row],[c4_PowerInstallCostBL]]+Table_SiteMilestoneTracking[[#This Row],[c5_TxintegrationCostBL]]+Table_SiteMilestoneTracking[[#This Row],[c6_InstallationCostBL]]+Table_SiteMilestoneTracking[[#This Row],[c7_IntegrationCostBL]]+Table_SiteMilestoneTracking[[#This Row],[c8_AcceptanceCostBL]]+Table_SiteMilestoneTracking[[#This Row],[c9_HandoverCostBL]]</f>
        <v>7550</v>
      </c>
      <c r="I78" s="62">
        <f>Table_SiteMilestoneTracking[[#This Row],[c0_SiteDesignCostAC]]+Table_SiteMilestoneTracking[[#This Row],[c1_SiteSurveyCostAC]]+Table_SiteMilestoneTracking[[#This Row],[c2_SiteAcquisitionCostAC]]+Table_SiteMilestoneTracking[[#This Row],[c3_CivilWorksCostAC]]+Table_SiteMilestoneTracking[[#This Row],[c4_PowerInstallCostAC]]+Table_SiteMilestoneTracking[[#This Row],[c5_TxintegrationCostAC]]+Table_SiteMilestoneTracking[[#This Row],[c6_InstallationCostAC]]+Table_SiteMilestoneTracking[[#This Row],[c7_IntegrationCostAC]]+Table_SiteMilestoneTracking[[#This Row],[c8_AcceptanceCostAC]]+Table_SiteMilestoneTracking[[#This Row],[c9_HandoverCostAC]]</f>
        <v>1615</v>
      </c>
      <c r="J78" s="84">
        <v>44018</v>
      </c>
      <c r="K78" s="84">
        <v>44019</v>
      </c>
      <c r="L78" s="64">
        <f>IF(ISBLANK(Table_SiteMilestoneTracking[[#This Row],[SiteDesignStarted_AC]])=FALSE,Table_SiteMilestoneTracking[[#This Row],[SiteDesignStarted_AC]]-Table_SiteMilestoneTracking[[#This Row],[SiteDesignStarted_BL]],"")</f>
        <v>1</v>
      </c>
      <c r="M78" s="64">
        <f t="shared" si="11"/>
        <v>500</v>
      </c>
      <c r="N78" s="87">
        <v>460</v>
      </c>
      <c r="O78" s="63">
        <f>Table_SiteMilestoneTracking[[#This Row],[SiteDesignStarted_BL]]+t0_SiteDesignDelayBL</f>
        <v>44020</v>
      </c>
      <c r="P78" s="84">
        <v>44021</v>
      </c>
      <c r="Q78" s="64">
        <f>IF(ISBLANK(Table_SiteMilestoneTracking[[#This Row],[SiteDesignReady_AC]])=FALSE,Table_SiteMilestoneTracking[[#This Row],[SiteDesignReady_AC]]-Table_SiteMilestoneTracking[[#This Row],[SiteDesignReady_BL]],"-")</f>
        <v>1</v>
      </c>
      <c r="R78" s="64">
        <f t="shared" si="16"/>
        <v>500</v>
      </c>
      <c r="S78" s="82">
        <v>675</v>
      </c>
      <c r="T78" s="63">
        <f>Table_SiteMilestoneTracking[[#This Row],[SiteDesignReady_BL]]+t1_SiteSurveyBL</f>
        <v>44022</v>
      </c>
      <c r="U78" s="84">
        <v>44023</v>
      </c>
      <c r="V78" s="64">
        <f>IF(ISBLANK(Table_SiteMilestoneTracking[[#This Row],[SiteSurveyCompleted_AC]])=FALSE,Table_SiteMilestoneTracking[[#This Row],[SiteSurveyCompleted_AC]]-Table_SiteMilestoneTracking[[#This Row],[SiteDesignReady_AC]],"-")</f>
        <v>2</v>
      </c>
      <c r="W78" s="64">
        <f t="shared" si="12"/>
        <v>600</v>
      </c>
      <c r="X78" s="82">
        <v>480</v>
      </c>
      <c r="Y78" s="63">
        <f>Table_SiteMilestoneTracking[[#This Row],[SiteSurveyCompleted_BL]]+t2_SiteAcquisitionBL</f>
        <v>44033</v>
      </c>
      <c r="Z78" s="84">
        <v>44035</v>
      </c>
      <c r="AA78" s="65">
        <f>IF(ISBLANK(Table_SiteMilestoneTracking[[#This Row],[SiteAcquired_AC]])=FALSE,Table_SiteMilestoneTracking[[#This Row],[SiteAcquired_AC]]-Table_SiteMilestoneTracking[[#This Row],[SiteAcquired_BL]],"-")</f>
        <v>2</v>
      </c>
      <c r="AB78" s="65">
        <f>IF(ISBLANK(Table_SiteMilestoneTracking[[#This Row],[SiteAcquired_AC]])=FALSE,Table_SiteMilestoneTracking[[#This Row],[SiteAcquired_AC]]-Table_SiteMilestoneTracking[[#This Row],[SiteSurveyCompleted_AC]],"-")</f>
        <v>12</v>
      </c>
      <c r="AC78" s="64">
        <f t="shared" si="13"/>
        <v>150</v>
      </c>
      <c r="AD78" s="82">
        <v>135</v>
      </c>
      <c r="AE78" s="63">
        <f>Table_SiteMilestoneTracking[[#This Row],[SiteAcquired_BL]]+t2a_SiteCWReadinessBL</f>
        <v>44035</v>
      </c>
      <c r="AF78" s="85">
        <v>44035</v>
      </c>
      <c r="AG78" s="66">
        <f>IF(ISBLANK(Table_SiteMilestoneTracking[[#This Row],[SiteReadyForCW_AC]])=FALSE,Table_SiteMilestoneTracking[[#This Row],[SiteReadyForCW_AC]]-Table_SiteMilestoneTracking[[#This Row],[SiteReadyForCW_BL]],"-")</f>
        <v>0</v>
      </c>
      <c r="AH78" s="66">
        <f>IF(ISBLANK(Table_SiteMilestoneTracking[[#This Row],[SiteReadyForCW_AC]])=FALSE,Table_SiteMilestoneTracking[[#This Row],[SiteReadyForCW_AC]]-Table_SiteMilestoneTracking[[#This Row],[SiteDesignReady_AC]],"-")</f>
        <v>14</v>
      </c>
      <c r="AI78" s="64">
        <f t="shared" si="14"/>
        <v>1500</v>
      </c>
      <c r="AJ78" s="82"/>
      <c r="AK78" s="63">
        <f>Table_SiteMilestoneTracking[[#This Row],[SiteReadyForCW_BL]]+t3_CivilWorksBL</f>
        <v>44043</v>
      </c>
      <c r="AL78" s="84"/>
      <c r="AM78" s="64" t="str">
        <f>IF(ISBLANK(Table_SiteMilestoneTracking[[#This Row],[SiteReadyForPower_AC]])=FALSE,Table_SiteMilestoneTracking[[#This Row],[SiteReadyForPower_AC]]-Table_SiteMilestoneTracking[[#This Row],[SiteReadyForPower_BL]],"-")</f>
        <v>-</v>
      </c>
      <c r="AN78" s="64" t="str">
        <f>IF(ISBLANK(Table_SiteMilestoneTracking[[#This Row],[SiteReadyForPower_AC]])=FALSE,Table_SiteMilestoneTracking[[#This Row],[SiteReadyForPower_AC]]-Table_SiteMilestoneTracking[[#This Row],[SiteReadyForCW_AC]],"-")</f>
        <v>-</v>
      </c>
      <c r="AO78" s="64">
        <f t="shared" si="15"/>
        <v>500</v>
      </c>
      <c r="AP78" s="82"/>
      <c r="AQ78" s="63">
        <f>Table_SiteMilestoneTracking[[#This Row],[SiteReadyForPower_BL]]+t4_PowerInstallBL</f>
        <v>44048</v>
      </c>
      <c r="AR78" s="84"/>
      <c r="AS78" s="64" t="str">
        <f>IF(ISBLANK(Table_SiteMilestoneTracking[[#This Row],[TXReady_AC]])=FALSE,Table_SiteMilestoneTracking[[#This Row],[TXReady_AC]]-Table_SiteMilestoneTracking[[#This Row],[TXReady_BL]],"-")</f>
        <v>-</v>
      </c>
      <c r="AT78" s="64" t="str">
        <f>IF(ISBLANK(Table_SiteMilestoneTracking[[#This Row],[TXReady_AC]])=FALSE,Table_SiteMilestoneTracking[[#This Row],[TXReady_AC]]-Table_SiteMilestoneTracking[[#This Row],[SiteReadyForPower_AC]],"-")</f>
        <v>-</v>
      </c>
      <c r="AU78" s="64">
        <f>$AU$2</f>
        <v>500</v>
      </c>
      <c r="AV78" s="82"/>
      <c r="AW78" s="63">
        <f>Table_SiteMilestoneTracking[[#This Row],[TXReady_BL]]+t5_TxintegrationBL</f>
        <v>44055</v>
      </c>
      <c r="AX78" s="84"/>
      <c r="AY78" s="64" t="str">
        <f>IF(ISBLANK(Table_SiteMilestoneTracking[[#This Row],[SiteReadyForInstallation_AC]])=FALSE,Table_SiteMilestoneTracking[[#This Row],[SiteReadyForInstallation_AC]]-Table_SiteMilestoneTracking[[#This Row],[SiteReadyForInstallation_BL]],"-")</f>
        <v>-</v>
      </c>
      <c r="AZ78" s="64" t="str">
        <f>IF(ISBLANK(Table_SiteMilestoneTracking[[#This Row],[SiteReadyForInstallation_AC]])=FALSE,Table_SiteMilestoneTracking[[#This Row],[SiteReadyForInstallation_AC]]-Table_SiteMilestoneTracking[[#This Row],[TXReady_AC]],"-")</f>
        <v>-</v>
      </c>
      <c r="BA78" s="64">
        <f>$BA$2</f>
        <v>2500</v>
      </c>
      <c r="BB78" s="82"/>
      <c r="BC78" s="63">
        <f>Table_SiteMilestoneTracking[[#This Row],[SiteReadyForInstallation_BL]]+t6_InstallationBL</f>
        <v>44059</v>
      </c>
      <c r="BD78" s="84"/>
      <c r="BE78" s="64" t="str">
        <f>IF(ISBLANK(Table_SiteMilestoneTracking[[#This Row],[SiteReadyForIntegration_AC]])=FALSE,Table_SiteMilestoneTracking[[#This Row],[SiteReadyForIntegration_AC]]-Table_SiteMilestoneTracking[[#This Row],[SiteReadyForIntegration_BL]],"-")</f>
        <v>-</v>
      </c>
      <c r="BF78" s="64" t="str">
        <f>IF(ISBLANK(Table_SiteMilestoneTracking[[#This Row],[SiteReadyForIntegration_AC]])=FALSE,Table_SiteMilestoneTracking[[#This Row],[SiteReadyForIntegration_AC]]-Table_SiteMilestoneTracking[[#This Row],[SiteReadyForInstallation_AC]],"-")</f>
        <v>-</v>
      </c>
      <c r="BG78" s="64">
        <f>$BG$2</f>
        <v>500</v>
      </c>
      <c r="BH78" s="82"/>
      <c r="BI78" s="63">
        <f>Table_SiteMilestoneTracking[[#This Row],[SiteReadyForIntegration_BL]]+t7_IntegrationBL</f>
        <v>44063</v>
      </c>
      <c r="BJ78" s="84"/>
      <c r="BK78" s="64" t="str">
        <f>IF(ISBLANK(Table_SiteMilestoneTracking[[#This Row],[SiteOnAir_AC]])=FALSE,Table_SiteMilestoneTracking[[#This Row],[SiteOnAir_AC]]-Table_SiteMilestoneTracking[[#This Row],[SiteOnAir_BL]],"-")</f>
        <v>-</v>
      </c>
      <c r="BL78" s="64" t="str">
        <f>IF(ISBLANK(Table_SiteMilestoneTracking[[#This Row],[SiteOnAir_AC]])=FALSE,Table_SiteMilestoneTracking[[#This Row],[SiteOnAir_AC]]-Table_SiteMilestoneTracking[[#This Row],[SiteReadyForIntegration_AC]],"-")</f>
        <v>-</v>
      </c>
      <c r="BM78" s="64">
        <f>$BM$2</f>
        <v>250</v>
      </c>
      <c r="BN78" s="82"/>
      <c r="BO78" s="63">
        <f>Table_SiteMilestoneTracking[[#This Row],[SiteOnAir_BL]]+t8_AcceptanceBL</f>
        <v>44067</v>
      </c>
      <c r="BP78" s="84"/>
      <c r="BQ78" s="64" t="str">
        <f>IF(ISBLANK(Table_SiteMilestoneTracking[[#This Row],[SiteAccepted_AC]])=FALSE,Table_SiteMilestoneTracking[[#This Row],[SiteAccepted_AC]]-Table_SiteMilestoneTracking[[#This Row],[SiteAccepted_BL]],"-")</f>
        <v>-</v>
      </c>
      <c r="BR78" s="64" t="str">
        <f>IF(ISBLANK(Table_SiteMilestoneTracking[[#This Row],[SiteAccepted_AC]])=FALSE,Table_SiteMilestoneTracking[[#This Row],[SiteAccepted_AC]]-Table_SiteMilestoneTracking[[#This Row],[SiteOnAir_AC]],"-")</f>
        <v>-</v>
      </c>
      <c r="BS78" s="64">
        <f>$BS$2</f>
        <v>200</v>
      </c>
      <c r="BT78" s="82"/>
      <c r="BU78" s="63">
        <f>Table_SiteMilestoneTracking[[#This Row],[SiteAccepted_BL]]+t9_HandoverBL</f>
        <v>44075</v>
      </c>
      <c r="BV78" s="84"/>
      <c r="BW78" s="64" t="str">
        <f>IF(ISBLANK(Table_SiteMilestoneTracking[[#This Row],[SiteInOperations_AC]])=FALSE,Table_SiteMilestoneTracking[[#This Row],[SiteInOperations_AC]]-Table_SiteMilestoneTracking[[#This Row],[SiteInOperations_BL]],"-")</f>
        <v>-</v>
      </c>
      <c r="BX78" s="66">
        <f>Table_SiteMilestoneTracking[[#This Row],[SiteInOperations_BL]]-Table_SiteMilestoneTracking[[#This Row],[SiteDesignReady_BL]]</f>
        <v>55</v>
      </c>
      <c r="BY78" s="66" t="str">
        <f>IF(Table_SiteMilestoneTracking[[#This Row],[CurrentSiteMilestone]]="SiteInOperations",Table_SiteMilestoneTracking[[#This Row],[SiteInOperations_AC]]-Table_SiteMilestoneTracking[[#This Row],[SiteDesignReady_AC]],"")</f>
        <v/>
      </c>
      <c r="BZ78" s="66" t="str">
        <f>IFERROR(Table_SiteMilestoneTracking[[#This Row],[E2E_Site_AC]]-Table_SiteMilestoneTracking[[#This Row],[E2E_Site_BL]],"")</f>
        <v/>
      </c>
      <c r="CA78" s="66" t="str">
        <f>IF(Table_SiteMilestoneTracking[[#This Row],[CurrentSiteMilestone]]="SiteInOperations",Table_SiteMilestoneTracking[[#This Row],[SiteInOperations_AC]]-Table_SiteMilestoneTracking[[#This Row],[SiteAccepted_AC]],"")</f>
        <v/>
      </c>
      <c r="CB78" s="79"/>
      <c r="CC78" s="89"/>
      <c r="CD78" s="89"/>
      <c r="CE78" s="70"/>
      <c r="CF78" s="70"/>
      <c r="CG78" s="70"/>
      <c r="CH78" s="70"/>
      <c r="CI78" s="70"/>
      <c r="CJ78" s="70"/>
      <c r="CK78" s="70"/>
      <c r="CL78" s="70"/>
      <c r="CM78" s="70"/>
      <c r="CN78" s="70"/>
      <c r="CO78" s="70"/>
      <c r="CP78" s="70"/>
      <c r="CQ78" s="70"/>
      <c r="CR78" s="70"/>
      <c r="CS78" s="70"/>
      <c r="CT78" s="70"/>
      <c r="CU78" s="70"/>
      <c r="CV78" s="70"/>
      <c r="CW78" s="70"/>
      <c r="CX78" s="70"/>
      <c r="CY78" s="70"/>
      <c r="CZ78" s="70"/>
      <c r="DA78" s="70"/>
      <c r="DB78" s="70"/>
      <c r="DC78" s="70"/>
      <c r="DD78" s="70"/>
      <c r="DE78" s="70"/>
      <c r="DF78" s="70"/>
      <c r="DG78" s="70"/>
      <c r="DH78" s="70"/>
      <c r="DI78" s="70"/>
      <c r="DJ78" s="70"/>
      <c r="DK78" s="70"/>
      <c r="DL78" s="70"/>
      <c r="DM78" s="70"/>
      <c r="DN78" s="70"/>
      <c r="DO78" s="70"/>
      <c r="DP78" s="70"/>
      <c r="DQ78" s="70"/>
      <c r="DR78" s="70"/>
      <c r="DS78" s="70"/>
      <c r="DT78" s="70"/>
      <c r="DU78" s="70"/>
      <c r="DV78" s="70"/>
    </row>
    <row r="79" spans="1:126" x14ac:dyDescent="0.3">
      <c r="A79" s="79" t="str">
        <f>'4. Design Tracking Summary'!A80</f>
        <v>PI00284</v>
      </c>
      <c r="B79" s="79" t="str">
        <f>'4. Design Tracking Summary'!B80</f>
        <v>Center</v>
      </c>
      <c r="C79" s="79" t="str">
        <f>'4. Design Tracking Summary'!C80</f>
        <v>MTY</v>
      </c>
      <c r="D79" s="79" t="str">
        <f>'4. Design Tracking Summary'!D80</f>
        <v>MACRO</v>
      </c>
      <c r="E79" s="79" t="s">
        <v>58</v>
      </c>
      <c r="F79" s="79"/>
      <c r="G79" s="60" t="str">
        <f>IFERROR(INDEX(Table_SiteMilestonesNames[SiteMilestoneName],COUNTA(Table_SiteMilestoneTracking[[#This Row],[SiteDesignStarted_AC]],Table_SiteMilestoneTracking[[#This Row],[SiteDesignReady_AC]],Table_SiteMilestoneTracking[[#This Row],[SiteSurveyCompleted_AC]],Table_SiteMilestoneTracking[[#This Row],[SiteAcquired_AC]],Table_SiteMilestoneTracking[[#This Row],[SiteReadyForCW_AC]],Table_SiteMilestoneTracking[[#This Row],[SiteReadyForPower_AC]],Table_SiteMilestoneTracking[[#This Row],[TXReady_AC]],Table_SiteMilestoneTracking[[#This Row],[SiteReadyForInstallation_AC]],Table_SiteMilestoneTracking[[#This Row],[SiteReadyForIntegration_AC]],Table_SiteMilestoneTracking[[#This Row],[SiteOnAir_AC]],Table_SiteMilestoneTracking[[#This Row],[SiteAccepted_AC]],Table_SiteMilestoneTracking[[#This Row],[SiteInOperations_AC]])+1),"Invalid Milestone")</f>
        <v>SiteReadyForCW</v>
      </c>
      <c r="H79" s="61">
        <f>Table_SiteMilestoneTracking[[#This Row],[c0_SiteDesignCostBL]]+Table_SiteMilestoneTracking[[#This Row],[c1_SiteSurveyCostBL]]+Table_SiteMilestoneTracking[[#This Row],[c2_SiteAcquisitionCostBL]]+Table_SiteMilestoneTracking[[#This Row],[c3_CivilWorksCostBL]]+Table_SiteMilestoneTracking[[#This Row],[c4_PowerInstallCostBL]]+Table_SiteMilestoneTracking[[#This Row],[c5_TxintegrationCostBL]]+Table_SiteMilestoneTracking[[#This Row],[c6_InstallationCostBL]]+Table_SiteMilestoneTracking[[#This Row],[c7_IntegrationCostBL]]+Table_SiteMilestoneTracking[[#This Row],[c8_AcceptanceCostBL]]+Table_SiteMilestoneTracking[[#This Row],[c9_HandoverCostBL]]</f>
        <v>7550</v>
      </c>
      <c r="I79" s="62">
        <f>Table_SiteMilestoneTracking[[#This Row],[c0_SiteDesignCostAC]]+Table_SiteMilestoneTracking[[#This Row],[c1_SiteSurveyCostAC]]+Table_SiteMilestoneTracking[[#This Row],[c2_SiteAcquisitionCostAC]]+Table_SiteMilestoneTracking[[#This Row],[c3_CivilWorksCostAC]]+Table_SiteMilestoneTracking[[#This Row],[c4_PowerInstallCostAC]]+Table_SiteMilestoneTracking[[#This Row],[c5_TxintegrationCostAC]]+Table_SiteMilestoneTracking[[#This Row],[c6_InstallationCostAC]]+Table_SiteMilestoneTracking[[#This Row],[c7_IntegrationCostAC]]+Table_SiteMilestoneTracking[[#This Row],[c8_AcceptanceCostAC]]+Table_SiteMilestoneTracking[[#This Row],[c9_HandoverCostAC]]</f>
        <v>2005</v>
      </c>
      <c r="J79" s="84">
        <v>44018</v>
      </c>
      <c r="K79" s="84">
        <v>44020</v>
      </c>
      <c r="L79" s="64">
        <f>IF(ISBLANK(Table_SiteMilestoneTracking[[#This Row],[SiteDesignStarted_AC]])=FALSE,Table_SiteMilestoneTracking[[#This Row],[SiteDesignStarted_AC]]-Table_SiteMilestoneTracking[[#This Row],[SiteDesignStarted_BL]],"")</f>
        <v>2</v>
      </c>
      <c r="M79" s="64">
        <f t="shared" si="11"/>
        <v>500</v>
      </c>
      <c r="N79" s="87">
        <v>520</v>
      </c>
      <c r="O79" s="63">
        <f>Table_SiteMilestoneTracking[[#This Row],[SiteDesignStarted_BL]]+t0_SiteDesignDelayBL</f>
        <v>44020</v>
      </c>
      <c r="P79" s="84">
        <v>44022</v>
      </c>
      <c r="Q79" s="64">
        <f>IF(ISBLANK(Table_SiteMilestoneTracking[[#This Row],[SiteDesignReady_AC]])=FALSE,Table_SiteMilestoneTracking[[#This Row],[SiteDesignReady_AC]]-Table_SiteMilestoneTracking[[#This Row],[SiteDesignReady_BL]],"-")</f>
        <v>2</v>
      </c>
      <c r="R79" s="64">
        <f t="shared" si="16"/>
        <v>500</v>
      </c>
      <c r="S79" s="82">
        <v>825</v>
      </c>
      <c r="T79" s="63">
        <f>Table_SiteMilestoneTracking[[#This Row],[SiteDesignReady_BL]]+t1_SiteSurveyBL</f>
        <v>44022</v>
      </c>
      <c r="U79" s="84">
        <v>44025</v>
      </c>
      <c r="V79" s="64">
        <f>IF(ISBLANK(Table_SiteMilestoneTracking[[#This Row],[SiteSurveyCompleted_AC]])=FALSE,Table_SiteMilestoneTracking[[#This Row],[SiteSurveyCompleted_AC]]-Table_SiteMilestoneTracking[[#This Row],[SiteDesignReady_AC]],"-")</f>
        <v>3</v>
      </c>
      <c r="W79" s="64">
        <f t="shared" si="12"/>
        <v>600</v>
      </c>
      <c r="X79" s="82">
        <v>660</v>
      </c>
      <c r="Y79" s="63">
        <f>Table_SiteMilestoneTracking[[#This Row],[SiteSurveyCompleted_BL]]+t2_SiteAcquisitionBL</f>
        <v>44033</v>
      </c>
      <c r="Z79" s="84">
        <v>44037</v>
      </c>
      <c r="AA79" s="65">
        <f>IF(ISBLANK(Table_SiteMilestoneTracking[[#This Row],[SiteAcquired_AC]])=FALSE,Table_SiteMilestoneTracking[[#This Row],[SiteAcquired_AC]]-Table_SiteMilestoneTracking[[#This Row],[SiteAcquired_BL]],"-")</f>
        <v>4</v>
      </c>
      <c r="AB79" s="65">
        <f>IF(ISBLANK(Table_SiteMilestoneTracking[[#This Row],[SiteAcquired_AC]])=FALSE,Table_SiteMilestoneTracking[[#This Row],[SiteAcquired_AC]]-Table_SiteMilestoneTracking[[#This Row],[SiteSurveyCompleted_AC]],"-")</f>
        <v>12</v>
      </c>
      <c r="AC79" s="64">
        <f t="shared" si="13"/>
        <v>150</v>
      </c>
      <c r="AD79" s="82">
        <v>150</v>
      </c>
      <c r="AE79" s="63">
        <f>Table_SiteMilestoneTracking[[#This Row],[SiteAcquired_BL]]+t2a_SiteCWReadinessBL</f>
        <v>44035</v>
      </c>
      <c r="AF79" s="85">
        <v>44039</v>
      </c>
      <c r="AG79" s="66">
        <f>IF(ISBLANK(Table_SiteMilestoneTracking[[#This Row],[SiteReadyForCW_AC]])=FALSE,Table_SiteMilestoneTracking[[#This Row],[SiteReadyForCW_AC]]-Table_SiteMilestoneTracking[[#This Row],[SiteReadyForCW_BL]],"-")</f>
        <v>4</v>
      </c>
      <c r="AH79" s="66">
        <f>IF(ISBLANK(Table_SiteMilestoneTracking[[#This Row],[SiteReadyForCW_AC]])=FALSE,Table_SiteMilestoneTracking[[#This Row],[SiteReadyForCW_AC]]-Table_SiteMilestoneTracking[[#This Row],[SiteDesignReady_AC]],"-")</f>
        <v>17</v>
      </c>
      <c r="AI79" s="64">
        <f t="shared" si="14"/>
        <v>1500</v>
      </c>
      <c r="AJ79" s="82"/>
      <c r="AK79" s="63">
        <f>Table_SiteMilestoneTracking[[#This Row],[SiteReadyForCW_BL]]+t3_CivilWorksBL</f>
        <v>44043</v>
      </c>
      <c r="AL79" s="84"/>
      <c r="AM79" s="64" t="str">
        <f>IF(ISBLANK(Table_SiteMilestoneTracking[[#This Row],[SiteReadyForPower_AC]])=FALSE,Table_SiteMilestoneTracking[[#This Row],[SiteReadyForPower_AC]]-Table_SiteMilestoneTracking[[#This Row],[SiteReadyForPower_BL]],"-")</f>
        <v>-</v>
      </c>
      <c r="AN79" s="64" t="str">
        <f>IF(ISBLANK(Table_SiteMilestoneTracking[[#This Row],[SiteReadyForPower_AC]])=FALSE,Table_SiteMilestoneTracking[[#This Row],[SiteReadyForPower_AC]]-Table_SiteMilestoneTracking[[#This Row],[SiteReadyForCW_AC]],"-")</f>
        <v>-</v>
      </c>
      <c r="AO79" s="64">
        <f t="shared" si="15"/>
        <v>500</v>
      </c>
      <c r="AP79" s="82"/>
      <c r="AQ79" s="63">
        <f>Table_SiteMilestoneTracking[[#This Row],[SiteReadyForPower_BL]]+t4_PowerInstallBL</f>
        <v>44048</v>
      </c>
      <c r="AR79" s="84"/>
      <c r="AS79" s="64" t="str">
        <f>IF(ISBLANK(Table_SiteMilestoneTracking[[#This Row],[TXReady_AC]])=FALSE,Table_SiteMilestoneTracking[[#This Row],[TXReady_AC]]-Table_SiteMilestoneTracking[[#This Row],[TXReady_BL]],"-")</f>
        <v>-</v>
      </c>
      <c r="AT79" s="64" t="str">
        <f>IF(ISBLANK(Table_SiteMilestoneTracking[[#This Row],[TXReady_AC]])=FALSE,Table_SiteMilestoneTracking[[#This Row],[TXReady_AC]]-Table_SiteMilestoneTracking[[#This Row],[SiteReadyForPower_AC]],"-")</f>
        <v>-</v>
      </c>
      <c r="AU79" s="64">
        <f>$AU$2</f>
        <v>500</v>
      </c>
      <c r="AV79" s="82"/>
      <c r="AW79" s="63">
        <f>Table_SiteMilestoneTracking[[#This Row],[TXReady_BL]]+t5_TxintegrationBL</f>
        <v>44055</v>
      </c>
      <c r="AX79" s="84"/>
      <c r="AY79" s="64" t="str">
        <f>IF(ISBLANK(Table_SiteMilestoneTracking[[#This Row],[SiteReadyForInstallation_AC]])=FALSE,Table_SiteMilestoneTracking[[#This Row],[SiteReadyForInstallation_AC]]-Table_SiteMilestoneTracking[[#This Row],[SiteReadyForInstallation_BL]],"-")</f>
        <v>-</v>
      </c>
      <c r="AZ79" s="64" t="str">
        <f>IF(ISBLANK(Table_SiteMilestoneTracking[[#This Row],[SiteReadyForInstallation_AC]])=FALSE,Table_SiteMilestoneTracking[[#This Row],[SiteReadyForInstallation_AC]]-Table_SiteMilestoneTracking[[#This Row],[TXReady_AC]],"-")</f>
        <v>-</v>
      </c>
      <c r="BA79" s="64">
        <f>$BA$2</f>
        <v>2500</v>
      </c>
      <c r="BB79" s="82"/>
      <c r="BC79" s="63">
        <f>Table_SiteMilestoneTracking[[#This Row],[SiteReadyForInstallation_BL]]+t6_InstallationBL</f>
        <v>44059</v>
      </c>
      <c r="BD79" s="84"/>
      <c r="BE79" s="64" t="str">
        <f>IF(ISBLANK(Table_SiteMilestoneTracking[[#This Row],[SiteReadyForIntegration_AC]])=FALSE,Table_SiteMilestoneTracking[[#This Row],[SiteReadyForIntegration_AC]]-Table_SiteMilestoneTracking[[#This Row],[SiteReadyForIntegration_BL]],"-")</f>
        <v>-</v>
      </c>
      <c r="BF79" s="64" t="str">
        <f>IF(ISBLANK(Table_SiteMilestoneTracking[[#This Row],[SiteReadyForIntegration_AC]])=FALSE,Table_SiteMilestoneTracking[[#This Row],[SiteReadyForIntegration_AC]]-Table_SiteMilestoneTracking[[#This Row],[SiteReadyForInstallation_AC]],"-")</f>
        <v>-</v>
      </c>
      <c r="BG79" s="64">
        <f>$BG$2</f>
        <v>500</v>
      </c>
      <c r="BH79" s="82"/>
      <c r="BI79" s="63">
        <f>Table_SiteMilestoneTracking[[#This Row],[SiteReadyForIntegration_BL]]+t7_IntegrationBL</f>
        <v>44063</v>
      </c>
      <c r="BJ79" s="84"/>
      <c r="BK79" s="64" t="str">
        <f>IF(ISBLANK(Table_SiteMilestoneTracking[[#This Row],[SiteOnAir_AC]])=FALSE,Table_SiteMilestoneTracking[[#This Row],[SiteOnAir_AC]]-Table_SiteMilestoneTracking[[#This Row],[SiteOnAir_BL]],"-")</f>
        <v>-</v>
      </c>
      <c r="BL79" s="64" t="str">
        <f>IF(ISBLANK(Table_SiteMilestoneTracking[[#This Row],[SiteOnAir_AC]])=FALSE,Table_SiteMilestoneTracking[[#This Row],[SiteOnAir_AC]]-Table_SiteMilestoneTracking[[#This Row],[SiteReadyForIntegration_AC]],"-")</f>
        <v>-</v>
      </c>
      <c r="BM79" s="64">
        <f>$BM$2</f>
        <v>250</v>
      </c>
      <c r="BN79" s="82"/>
      <c r="BO79" s="63">
        <f>Table_SiteMilestoneTracking[[#This Row],[SiteOnAir_BL]]+t8_AcceptanceBL</f>
        <v>44067</v>
      </c>
      <c r="BP79" s="84"/>
      <c r="BQ79" s="64" t="str">
        <f>IF(ISBLANK(Table_SiteMilestoneTracking[[#This Row],[SiteAccepted_AC]])=FALSE,Table_SiteMilestoneTracking[[#This Row],[SiteAccepted_AC]]-Table_SiteMilestoneTracking[[#This Row],[SiteAccepted_BL]],"-")</f>
        <v>-</v>
      </c>
      <c r="BR79" s="64" t="str">
        <f>IF(ISBLANK(Table_SiteMilestoneTracking[[#This Row],[SiteAccepted_AC]])=FALSE,Table_SiteMilestoneTracking[[#This Row],[SiteAccepted_AC]]-Table_SiteMilestoneTracking[[#This Row],[SiteOnAir_AC]],"-")</f>
        <v>-</v>
      </c>
      <c r="BS79" s="64">
        <f>$BS$2</f>
        <v>200</v>
      </c>
      <c r="BT79" s="82"/>
      <c r="BU79" s="63">
        <f>Table_SiteMilestoneTracking[[#This Row],[SiteAccepted_BL]]+t9_HandoverBL</f>
        <v>44075</v>
      </c>
      <c r="BV79" s="84"/>
      <c r="BW79" s="64" t="str">
        <f>IF(ISBLANK(Table_SiteMilestoneTracking[[#This Row],[SiteInOperations_AC]])=FALSE,Table_SiteMilestoneTracking[[#This Row],[SiteInOperations_AC]]-Table_SiteMilestoneTracking[[#This Row],[SiteInOperations_BL]],"-")</f>
        <v>-</v>
      </c>
      <c r="BX79" s="66">
        <f>Table_SiteMilestoneTracking[[#This Row],[SiteInOperations_BL]]-Table_SiteMilestoneTracking[[#This Row],[SiteDesignReady_BL]]</f>
        <v>55</v>
      </c>
      <c r="BY79" s="66" t="str">
        <f>IF(Table_SiteMilestoneTracking[[#This Row],[CurrentSiteMilestone]]="SiteInOperations",Table_SiteMilestoneTracking[[#This Row],[SiteInOperations_AC]]-Table_SiteMilestoneTracking[[#This Row],[SiteDesignReady_AC]],"")</f>
        <v/>
      </c>
      <c r="BZ79" s="66" t="str">
        <f>IFERROR(Table_SiteMilestoneTracking[[#This Row],[E2E_Site_AC]]-Table_SiteMilestoneTracking[[#This Row],[E2E_Site_BL]],"")</f>
        <v/>
      </c>
      <c r="CA79" s="66" t="str">
        <f>IF(Table_SiteMilestoneTracking[[#This Row],[CurrentSiteMilestone]]="SiteInOperations",Table_SiteMilestoneTracking[[#This Row],[SiteInOperations_AC]]-Table_SiteMilestoneTracking[[#This Row],[SiteAccepted_AC]],"")</f>
        <v/>
      </c>
      <c r="CB79" s="79"/>
      <c r="CC79" s="89"/>
      <c r="CD79" s="89"/>
      <c r="CE79" s="70"/>
      <c r="CF79" s="70"/>
      <c r="CG79" s="70"/>
      <c r="CH79" s="70"/>
      <c r="CI79" s="70"/>
      <c r="CJ79" s="70"/>
      <c r="CK79" s="70"/>
      <c r="CL79" s="70"/>
      <c r="CM79" s="70"/>
      <c r="CN79" s="70"/>
      <c r="CO79" s="70"/>
      <c r="CP79" s="70"/>
      <c r="CQ79" s="70"/>
      <c r="CR79" s="70"/>
      <c r="CS79" s="70"/>
      <c r="CT79" s="70"/>
      <c r="CU79" s="70"/>
      <c r="CV79" s="70"/>
      <c r="CW79" s="70"/>
      <c r="CX79" s="70"/>
      <c r="CY79" s="70"/>
      <c r="CZ79" s="70"/>
      <c r="DA79" s="70"/>
      <c r="DB79" s="70"/>
      <c r="DC79" s="70"/>
      <c r="DD79" s="70"/>
      <c r="DE79" s="70"/>
      <c r="DF79" s="70"/>
      <c r="DG79" s="70"/>
      <c r="DH79" s="70"/>
      <c r="DI79" s="70"/>
      <c r="DJ79" s="70"/>
      <c r="DK79" s="70"/>
      <c r="DL79" s="70"/>
      <c r="DM79" s="70"/>
      <c r="DN79" s="70"/>
      <c r="DO79" s="70"/>
      <c r="DP79" s="70"/>
      <c r="DQ79" s="70"/>
      <c r="DR79" s="70"/>
      <c r="DS79" s="70"/>
      <c r="DT79" s="70"/>
      <c r="DU79" s="70"/>
      <c r="DV79" s="70"/>
    </row>
    <row r="80" spans="1:126" x14ac:dyDescent="0.3">
      <c r="A80" s="79" t="str">
        <f>'4. Design Tracking Summary'!A81</f>
        <v>LO00158</v>
      </c>
      <c r="B80" s="79" t="str">
        <f>'4. Design Tracking Summary'!B81</f>
        <v>South</v>
      </c>
      <c r="C80" s="79" t="str">
        <f>'4. Design Tracking Summary'!C81</f>
        <v>ZAC</v>
      </c>
      <c r="D80" s="79" t="str">
        <f>'4. Design Tracking Summary'!D81</f>
        <v>MINI</v>
      </c>
      <c r="E80" s="79" t="s">
        <v>57</v>
      </c>
      <c r="F80" s="79"/>
      <c r="G80" s="60" t="str">
        <f>IFERROR(INDEX(Table_SiteMilestonesNames[SiteMilestoneName],COUNTA(Table_SiteMilestoneTracking[[#This Row],[SiteDesignStarted_AC]],Table_SiteMilestoneTracking[[#This Row],[SiteDesignReady_AC]],Table_SiteMilestoneTracking[[#This Row],[SiteSurveyCompleted_AC]],Table_SiteMilestoneTracking[[#This Row],[SiteAcquired_AC]],Table_SiteMilestoneTracking[[#This Row],[SiteReadyForCW_AC]],Table_SiteMilestoneTracking[[#This Row],[SiteReadyForPower_AC]],Table_SiteMilestoneTracking[[#This Row],[TXReady_AC]],Table_SiteMilestoneTracking[[#This Row],[SiteReadyForInstallation_AC]],Table_SiteMilestoneTracking[[#This Row],[SiteReadyForIntegration_AC]],Table_SiteMilestoneTracking[[#This Row],[SiteOnAir_AC]],Table_SiteMilestoneTracking[[#This Row],[SiteAccepted_AC]],Table_SiteMilestoneTracking[[#This Row],[SiteInOperations_AC]])+1),"Invalid Milestone")</f>
        <v>SiteReadyForCW</v>
      </c>
      <c r="H80" s="61">
        <f>Table_SiteMilestoneTracking[[#This Row],[c0_SiteDesignCostBL]]+Table_SiteMilestoneTracking[[#This Row],[c1_SiteSurveyCostBL]]+Table_SiteMilestoneTracking[[#This Row],[c2_SiteAcquisitionCostBL]]+Table_SiteMilestoneTracking[[#This Row],[c3_CivilWorksCostBL]]+Table_SiteMilestoneTracking[[#This Row],[c4_PowerInstallCostBL]]+Table_SiteMilestoneTracking[[#This Row],[c5_TxintegrationCostBL]]+Table_SiteMilestoneTracking[[#This Row],[c6_InstallationCostBL]]+Table_SiteMilestoneTracking[[#This Row],[c7_IntegrationCostBL]]+Table_SiteMilestoneTracking[[#This Row],[c8_AcceptanceCostBL]]+Table_SiteMilestoneTracking[[#This Row],[c9_HandoverCostBL]]</f>
        <v>7550</v>
      </c>
      <c r="I80" s="62">
        <f>Table_SiteMilestoneTracking[[#This Row],[c0_SiteDesignCostAC]]+Table_SiteMilestoneTracking[[#This Row],[c1_SiteSurveyCostAC]]+Table_SiteMilestoneTracking[[#This Row],[c2_SiteAcquisitionCostAC]]+Table_SiteMilestoneTracking[[#This Row],[c3_CivilWorksCostAC]]+Table_SiteMilestoneTracking[[#This Row],[c4_PowerInstallCostAC]]+Table_SiteMilestoneTracking[[#This Row],[c5_TxintegrationCostAC]]+Table_SiteMilestoneTracking[[#This Row],[c6_InstallationCostAC]]+Table_SiteMilestoneTracking[[#This Row],[c7_IntegrationCostAC]]+Table_SiteMilestoneTracking[[#This Row],[c8_AcceptanceCostAC]]+Table_SiteMilestoneTracking[[#This Row],[c9_HandoverCostAC]]</f>
        <v>1565</v>
      </c>
      <c r="J80" s="84">
        <v>44018</v>
      </c>
      <c r="K80" s="84">
        <v>44020</v>
      </c>
      <c r="L80" s="64">
        <f>IF(ISBLANK(Table_SiteMilestoneTracking[[#This Row],[SiteDesignStarted_AC]])=FALSE,Table_SiteMilestoneTracking[[#This Row],[SiteDesignStarted_AC]]-Table_SiteMilestoneTracking[[#This Row],[SiteDesignStarted_BL]],"")</f>
        <v>2</v>
      </c>
      <c r="M80" s="64">
        <f t="shared" si="11"/>
        <v>500</v>
      </c>
      <c r="N80" s="87">
        <v>440</v>
      </c>
      <c r="O80" s="63">
        <f>Table_SiteMilestoneTracking[[#This Row],[SiteDesignStarted_BL]]+t0_SiteDesignDelayBL</f>
        <v>44020</v>
      </c>
      <c r="P80" s="84">
        <v>44022</v>
      </c>
      <c r="Q80" s="64">
        <f>IF(ISBLANK(Table_SiteMilestoneTracking[[#This Row],[SiteDesignReady_AC]])=FALSE,Table_SiteMilestoneTracking[[#This Row],[SiteDesignReady_AC]]-Table_SiteMilestoneTracking[[#This Row],[SiteDesignReady_BL]],"-")</f>
        <v>2</v>
      </c>
      <c r="R80" s="64">
        <f t="shared" si="16"/>
        <v>500</v>
      </c>
      <c r="S80" s="82">
        <v>525</v>
      </c>
      <c r="T80" s="63">
        <f>Table_SiteMilestoneTracking[[#This Row],[SiteDesignReady_BL]]+t1_SiteSurveyBL</f>
        <v>44022</v>
      </c>
      <c r="U80" s="84">
        <v>44024</v>
      </c>
      <c r="V80" s="64">
        <f>IF(ISBLANK(Table_SiteMilestoneTracking[[#This Row],[SiteSurveyCompleted_AC]])=FALSE,Table_SiteMilestoneTracking[[#This Row],[SiteSurveyCompleted_AC]]-Table_SiteMilestoneTracking[[#This Row],[SiteDesignReady_AC]],"-")</f>
        <v>2</v>
      </c>
      <c r="W80" s="64">
        <f t="shared" si="12"/>
        <v>600</v>
      </c>
      <c r="X80" s="82">
        <v>600</v>
      </c>
      <c r="Y80" s="63">
        <f>Table_SiteMilestoneTracking[[#This Row],[SiteSurveyCompleted_BL]]+t2_SiteAcquisitionBL</f>
        <v>44033</v>
      </c>
      <c r="Z80" s="84">
        <v>44036</v>
      </c>
      <c r="AA80" s="65">
        <f>IF(ISBLANK(Table_SiteMilestoneTracking[[#This Row],[SiteAcquired_AC]])=FALSE,Table_SiteMilestoneTracking[[#This Row],[SiteAcquired_AC]]-Table_SiteMilestoneTracking[[#This Row],[SiteAcquired_BL]],"-")</f>
        <v>3</v>
      </c>
      <c r="AB80" s="65">
        <f>IF(ISBLANK(Table_SiteMilestoneTracking[[#This Row],[SiteAcquired_AC]])=FALSE,Table_SiteMilestoneTracking[[#This Row],[SiteAcquired_AC]]-Table_SiteMilestoneTracking[[#This Row],[SiteSurveyCompleted_AC]],"-")</f>
        <v>12</v>
      </c>
      <c r="AC80" s="64">
        <f t="shared" si="13"/>
        <v>150</v>
      </c>
      <c r="AD80" s="82">
        <v>150</v>
      </c>
      <c r="AE80" s="63">
        <f>Table_SiteMilestoneTracking[[#This Row],[SiteAcquired_BL]]+t2a_SiteCWReadinessBL</f>
        <v>44035</v>
      </c>
      <c r="AF80" s="85">
        <v>44039</v>
      </c>
      <c r="AG80" s="66">
        <f>IF(ISBLANK(Table_SiteMilestoneTracking[[#This Row],[SiteReadyForCW_AC]])=FALSE,Table_SiteMilestoneTracking[[#This Row],[SiteReadyForCW_AC]]-Table_SiteMilestoneTracking[[#This Row],[SiteReadyForCW_BL]],"-")</f>
        <v>4</v>
      </c>
      <c r="AH80" s="66">
        <f>IF(ISBLANK(Table_SiteMilestoneTracking[[#This Row],[SiteReadyForCW_AC]])=FALSE,Table_SiteMilestoneTracking[[#This Row],[SiteReadyForCW_AC]]-Table_SiteMilestoneTracking[[#This Row],[SiteDesignReady_AC]],"-")</f>
        <v>17</v>
      </c>
      <c r="AI80" s="64">
        <f t="shared" si="14"/>
        <v>1500</v>
      </c>
      <c r="AJ80" s="82"/>
      <c r="AK80" s="63">
        <f>Table_SiteMilestoneTracking[[#This Row],[SiteReadyForCW_BL]]+t3_CivilWorksBL</f>
        <v>44043</v>
      </c>
      <c r="AL80" s="84"/>
      <c r="AM80" s="64" t="str">
        <f>IF(ISBLANK(Table_SiteMilestoneTracking[[#This Row],[SiteReadyForPower_AC]])=FALSE,Table_SiteMilestoneTracking[[#This Row],[SiteReadyForPower_AC]]-Table_SiteMilestoneTracking[[#This Row],[SiteReadyForPower_BL]],"-")</f>
        <v>-</v>
      </c>
      <c r="AN80" s="64" t="str">
        <f>IF(ISBLANK(Table_SiteMilestoneTracking[[#This Row],[SiteReadyForPower_AC]])=FALSE,Table_SiteMilestoneTracking[[#This Row],[SiteReadyForPower_AC]]-Table_SiteMilestoneTracking[[#This Row],[SiteReadyForCW_AC]],"-")</f>
        <v>-</v>
      </c>
      <c r="AO80" s="64">
        <f t="shared" si="15"/>
        <v>500</v>
      </c>
      <c r="AP80" s="82"/>
      <c r="AQ80" s="63">
        <f>Table_SiteMilestoneTracking[[#This Row],[SiteReadyForPower_BL]]+t4_PowerInstallBL</f>
        <v>44048</v>
      </c>
      <c r="AR80" s="84"/>
      <c r="AS80" s="64" t="str">
        <f>IF(ISBLANK(Table_SiteMilestoneTracking[[#This Row],[TXReady_AC]])=FALSE,Table_SiteMilestoneTracking[[#This Row],[TXReady_AC]]-Table_SiteMilestoneTracking[[#This Row],[TXReady_BL]],"-")</f>
        <v>-</v>
      </c>
      <c r="AT80" s="64" t="str">
        <f>IF(ISBLANK(Table_SiteMilestoneTracking[[#This Row],[TXReady_AC]])=FALSE,Table_SiteMilestoneTracking[[#This Row],[TXReady_AC]]-Table_SiteMilestoneTracking[[#This Row],[SiteReadyForPower_AC]],"-")</f>
        <v>-</v>
      </c>
      <c r="AU80" s="64">
        <f>$AU$2</f>
        <v>500</v>
      </c>
      <c r="AV80" s="82"/>
      <c r="AW80" s="63">
        <f>Table_SiteMilestoneTracking[[#This Row],[TXReady_BL]]+t5_TxintegrationBL</f>
        <v>44055</v>
      </c>
      <c r="AX80" s="84"/>
      <c r="AY80" s="64" t="str">
        <f>IF(ISBLANK(Table_SiteMilestoneTracking[[#This Row],[SiteReadyForInstallation_AC]])=FALSE,Table_SiteMilestoneTracking[[#This Row],[SiteReadyForInstallation_AC]]-Table_SiteMilestoneTracking[[#This Row],[SiteReadyForInstallation_BL]],"-")</f>
        <v>-</v>
      </c>
      <c r="AZ80" s="64" t="str">
        <f>IF(ISBLANK(Table_SiteMilestoneTracking[[#This Row],[SiteReadyForInstallation_AC]])=FALSE,Table_SiteMilestoneTracking[[#This Row],[SiteReadyForInstallation_AC]]-Table_SiteMilestoneTracking[[#This Row],[TXReady_AC]],"-")</f>
        <v>-</v>
      </c>
      <c r="BA80" s="64">
        <f>$BA$2</f>
        <v>2500</v>
      </c>
      <c r="BB80" s="82"/>
      <c r="BC80" s="63">
        <f>Table_SiteMilestoneTracking[[#This Row],[SiteReadyForInstallation_BL]]+t6_InstallationBL</f>
        <v>44059</v>
      </c>
      <c r="BD80" s="84"/>
      <c r="BE80" s="64" t="str">
        <f>IF(ISBLANK(Table_SiteMilestoneTracking[[#This Row],[SiteReadyForIntegration_AC]])=FALSE,Table_SiteMilestoneTracking[[#This Row],[SiteReadyForIntegration_AC]]-Table_SiteMilestoneTracking[[#This Row],[SiteReadyForIntegration_BL]],"-")</f>
        <v>-</v>
      </c>
      <c r="BF80" s="64" t="str">
        <f>IF(ISBLANK(Table_SiteMilestoneTracking[[#This Row],[SiteReadyForIntegration_AC]])=FALSE,Table_SiteMilestoneTracking[[#This Row],[SiteReadyForIntegration_AC]]-Table_SiteMilestoneTracking[[#This Row],[SiteReadyForInstallation_AC]],"-")</f>
        <v>-</v>
      </c>
      <c r="BG80" s="64">
        <f>$BG$2</f>
        <v>500</v>
      </c>
      <c r="BH80" s="82"/>
      <c r="BI80" s="63">
        <f>Table_SiteMilestoneTracking[[#This Row],[SiteReadyForIntegration_BL]]+t7_IntegrationBL</f>
        <v>44063</v>
      </c>
      <c r="BJ80" s="84"/>
      <c r="BK80" s="64" t="str">
        <f>IF(ISBLANK(Table_SiteMilestoneTracking[[#This Row],[SiteOnAir_AC]])=FALSE,Table_SiteMilestoneTracking[[#This Row],[SiteOnAir_AC]]-Table_SiteMilestoneTracking[[#This Row],[SiteOnAir_BL]],"-")</f>
        <v>-</v>
      </c>
      <c r="BL80" s="64" t="str">
        <f>IF(ISBLANK(Table_SiteMilestoneTracking[[#This Row],[SiteOnAir_AC]])=FALSE,Table_SiteMilestoneTracking[[#This Row],[SiteOnAir_AC]]-Table_SiteMilestoneTracking[[#This Row],[SiteReadyForIntegration_AC]],"-")</f>
        <v>-</v>
      </c>
      <c r="BM80" s="64">
        <f>$BM$2</f>
        <v>250</v>
      </c>
      <c r="BN80" s="82"/>
      <c r="BO80" s="63">
        <f>Table_SiteMilestoneTracking[[#This Row],[SiteOnAir_BL]]+t8_AcceptanceBL</f>
        <v>44067</v>
      </c>
      <c r="BP80" s="84"/>
      <c r="BQ80" s="64" t="str">
        <f>IF(ISBLANK(Table_SiteMilestoneTracking[[#This Row],[SiteAccepted_AC]])=FALSE,Table_SiteMilestoneTracking[[#This Row],[SiteAccepted_AC]]-Table_SiteMilestoneTracking[[#This Row],[SiteAccepted_BL]],"-")</f>
        <v>-</v>
      </c>
      <c r="BR80" s="64" t="str">
        <f>IF(ISBLANK(Table_SiteMilestoneTracking[[#This Row],[SiteAccepted_AC]])=FALSE,Table_SiteMilestoneTracking[[#This Row],[SiteAccepted_AC]]-Table_SiteMilestoneTracking[[#This Row],[SiteOnAir_AC]],"-")</f>
        <v>-</v>
      </c>
      <c r="BS80" s="64">
        <f>$BS$2</f>
        <v>200</v>
      </c>
      <c r="BT80" s="82"/>
      <c r="BU80" s="63">
        <f>Table_SiteMilestoneTracking[[#This Row],[SiteAccepted_BL]]+t9_HandoverBL</f>
        <v>44075</v>
      </c>
      <c r="BV80" s="84"/>
      <c r="BW80" s="64" t="str">
        <f>IF(ISBLANK(Table_SiteMilestoneTracking[[#This Row],[SiteInOperations_AC]])=FALSE,Table_SiteMilestoneTracking[[#This Row],[SiteInOperations_AC]]-Table_SiteMilestoneTracking[[#This Row],[SiteInOperations_BL]],"-")</f>
        <v>-</v>
      </c>
      <c r="BX80" s="66">
        <f>Table_SiteMilestoneTracking[[#This Row],[SiteInOperations_BL]]-Table_SiteMilestoneTracking[[#This Row],[SiteDesignReady_BL]]</f>
        <v>55</v>
      </c>
      <c r="BY80" s="66" t="str">
        <f>IF(Table_SiteMilestoneTracking[[#This Row],[CurrentSiteMilestone]]="SiteInOperations",Table_SiteMilestoneTracking[[#This Row],[SiteInOperations_AC]]-Table_SiteMilestoneTracking[[#This Row],[SiteDesignReady_AC]],"")</f>
        <v/>
      </c>
      <c r="BZ80" s="66" t="str">
        <f>IFERROR(Table_SiteMilestoneTracking[[#This Row],[E2E_Site_AC]]-Table_SiteMilestoneTracking[[#This Row],[E2E_Site_BL]],"")</f>
        <v/>
      </c>
      <c r="CA80" s="66" t="str">
        <f>IF(Table_SiteMilestoneTracking[[#This Row],[CurrentSiteMilestone]]="SiteInOperations",Table_SiteMilestoneTracking[[#This Row],[SiteInOperations_AC]]-Table_SiteMilestoneTracking[[#This Row],[SiteAccepted_AC]],"")</f>
        <v/>
      </c>
      <c r="CB80" s="79"/>
      <c r="CC80" s="89"/>
      <c r="CD80" s="89"/>
      <c r="CE80" s="70"/>
      <c r="CF80" s="70"/>
      <c r="CG80" s="70"/>
      <c r="CH80" s="70"/>
      <c r="CI80" s="70"/>
      <c r="CJ80" s="70"/>
      <c r="CK80" s="70"/>
      <c r="CL80" s="70"/>
      <c r="CM80" s="70"/>
      <c r="CN80" s="70"/>
      <c r="CO80" s="70"/>
      <c r="CP80" s="70"/>
      <c r="CQ80" s="70"/>
      <c r="CR80" s="70"/>
      <c r="CS80" s="70"/>
      <c r="CT80" s="70"/>
      <c r="CU80" s="70"/>
      <c r="CV80" s="70"/>
      <c r="CW80" s="70"/>
      <c r="CX80" s="70"/>
      <c r="CY80" s="70"/>
      <c r="CZ80" s="70"/>
      <c r="DA80" s="70"/>
      <c r="DB80" s="70"/>
      <c r="DC80" s="70"/>
      <c r="DD80" s="70"/>
      <c r="DE80" s="70"/>
      <c r="DF80" s="70"/>
      <c r="DG80" s="70"/>
      <c r="DH80" s="70"/>
      <c r="DI80" s="70"/>
      <c r="DJ80" s="70"/>
      <c r="DK80" s="70"/>
      <c r="DL80" s="70"/>
      <c r="DM80" s="70"/>
      <c r="DN80" s="70"/>
      <c r="DO80" s="70"/>
      <c r="DP80" s="70"/>
      <c r="DQ80" s="70"/>
      <c r="DR80" s="70"/>
      <c r="DS80" s="70"/>
      <c r="DT80" s="70"/>
      <c r="DU80" s="70"/>
      <c r="DV80" s="70"/>
    </row>
    <row r="81" spans="1:126" x14ac:dyDescent="0.3">
      <c r="A81" s="79" t="str">
        <f>'4. Design Tracking Summary'!A82</f>
        <v>LO00159</v>
      </c>
      <c r="B81" s="79" t="str">
        <f>'4. Design Tracking Summary'!B82</f>
        <v>South</v>
      </c>
      <c r="C81" s="79" t="str">
        <f>'4. Design Tracking Summary'!C82</f>
        <v>GTO</v>
      </c>
      <c r="D81" s="79" t="str">
        <f>'4. Design Tracking Summary'!D82</f>
        <v>SMALL</v>
      </c>
      <c r="E81" s="79" t="s">
        <v>58</v>
      </c>
      <c r="F81" s="79"/>
      <c r="G81" s="60" t="str">
        <f>IFERROR(INDEX(Table_SiteMilestonesNames[SiteMilestoneName],COUNTA(Table_SiteMilestoneTracking[[#This Row],[SiteDesignStarted_AC]],Table_SiteMilestoneTracking[[#This Row],[SiteDesignReady_AC]],Table_SiteMilestoneTracking[[#This Row],[SiteSurveyCompleted_AC]],Table_SiteMilestoneTracking[[#This Row],[SiteAcquired_AC]],Table_SiteMilestoneTracking[[#This Row],[SiteReadyForCW_AC]],Table_SiteMilestoneTracking[[#This Row],[SiteReadyForPower_AC]],Table_SiteMilestoneTracking[[#This Row],[TXReady_AC]],Table_SiteMilestoneTracking[[#This Row],[SiteReadyForInstallation_AC]],Table_SiteMilestoneTracking[[#This Row],[SiteReadyForIntegration_AC]],Table_SiteMilestoneTracking[[#This Row],[SiteOnAir_AC]],Table_SiteMilestoneTracking[[#This Row],[SiteAccepted_AC]],Table_SiteMilestoneTracking[[#This Row],[SiteInOperations_AC]])+1),"Invalid Milestone")</f>
        <v>SiteReadyForCW</v>
      </c>
      <c r="H81" s="61">
        <f>Table_SiteMilestoneTracking[[#This Row],[c0_SiteDesignCostBL]]+Table_SiteMilestoneTracking[[#This Row],[c1_SiteSurveyCostBL]]+Table_SiteMilestoneTracking[[#This Row],[c2_SiteAcquisitionCostBL]]+Table_SiteMilestoneTracking[[#This Row],[c3_CivilWorksCostBL]]+Table_SiteMilestoneTracking[[#This Row],[c4_PowerInstallCostBL]]+Table_SiteMilestoneTracking[[#This Row],[c5_TxintegrationCostBL]]+Table_SiteMilestoneTracking[[#This Row],[c6_InstallationCostBL]]+Table_SiteMilestoneTracking[[#This Row],[c7_IntegrationCostBL]]+Table_SiteMilestoneTracking[[#This Row],[c8_AcceptanceCostBL]]+Table_SiteMilestoneTracking[[#This Row],[c9_HandoverCostBL]]</f>
        <v>7550</v>
      </c>
      <c r="I81" s="62">
        <f>Table_SiteMilestoneTracking[[#This Row],[c0_SiteDesignCostAC]]+Table_SiteMilestoneTracking[[#This Row],[c1_SiteSurveyCostAC]]+Table_SiteMilestoneTracking[[#This Row],[c2_SiteAcquisitionCostAC]]+Table_SiteMilestoneTracking[[#This Row],[c3_CivilWorksCostAC]]+Table_SiteMilestoneTracking[[#This Row],[c4_PowerInstallCostAC]]+Table_SiteMilestoneTracking[[#This Row],[c5_TxintegrationCostAC]]+Table_SiteMilestoneTracking[[#This Row],[c6_InstallationCostAC]]+Table_SiteMilestoneTracking[[#This Row],[c7_IntegrationCostAC]]+Table_SiteMilestoneTracking[[#This Row],[c8_AcceptanceCostAC]]+Table_SiteMilestoneTracking[[#This Row],[c9_HandoverCostAC]]</f>
        <v>1375</v>
      </c>
      <c r="J81" s="84">
        <v>44018</v>
      </c>
      <c r="K81" s="84">
        <v>44019</v>
      </c>
      <c r="L81" s="64">
        <f>IF(ISBLANK(Table_SiteMilestoneTracking[[#This Row],[SiteDesignStarted_AC]])=FALSE,Table_SiteMilestoneTracking[[#This Row],[SiteDesignStarted_AC]]-Table_SiteMilestoneTracking[[#This Row],[SiteDesignStarted_BL]],"")</f>
        <v>1</v>
      </c>
      <c r="M81" s="64">
        <f t="shared" si="11"/>
        <v>500</v>
      </c>
      <c r="N81" s="87">
        <v>400</v>
      </c>
      <c r="O81" s="63">
        <f>Table_SiteMilestoneTracking[[#This Row],[SiteDesignStarted_BL]]+t0_SiteDesignDelayBL</f>
        <v>44020</v>
      </c>
      <c r="P81" s="84">
        <v>44022</v>
      </c>
      <c r="Q81" s="64">
        <f>IF(ISBLANK(Table_SiteMilestoneTracking[[#This Row],[SiteDesignReady_AC]])=FALSE,Table_SiteMilestoneTracking[[#This Row],[SiteDesignReady_AC]]-Table_SiteMilestoneTracking[[#This Row],[SiteDesignReady_BL]],"-")</f>
        <v>2</v>
      </c>
      <c r="R81" s="64">
        <f t="shared" si="16"/>
        <v>500</v>
      </c>
      <c r="S81" s="82">
        <v>375</v>
      </c>
      <c r="T81" s="63">
        <f>Table_SiteMilestoneTracking[[#This Row],[SiteDesignReady_BL]]+t1_SiteSurveyBL</f>
        <v>44022</v>
      </c>
      <c r="U81" s="84">
        <v>44024</v>
      </c>
      <c r="V81" s="64">
        <f>IF(ISBLANK(Table_SiteMilestoneTracking[[#This Row],[SiteSurveyCompleted_AC]])=FALSE,Table_SiteMilestoneTracking[[#This Row],[SiteSurveyCompleted_AC]]-Table_SiteMilestoneTracking[[#This Row],[SiteDesignReady_AC]],"-")</f>
        <v>2</v>
      </c>
      <c r="W81" s="64">
        <f t="shared" si="12"/>
        <v>600</v>
      </c>
      <c r="X81" s="82">
        <v>600</v>
      </c>
      <c r="Y81" s="63">
        <f>Table_SiteMilestoneTracking[[#This Row],[SiteSurveyCompleted_BL]]+t2_SiteAcquisitionBL</f>
        <v>44033</v>
      </c>
      <c r="Z81" s="84">
        <v>44036</v>
      </c>
      <c r="AA81" s="65">
        <f>IF(ISBLANK(Table_SiteMilestoneTracking[[#This Row],[SiteAcquired_AC]])=FALSE,Table_SiteMilestoneTracking[[#This Row],[SiteAcquired_AC]]-Table_SiteMilestoneTracking[[#This Row],[SiteAcquired_BL]],"-")</f>
        <v>3</v>
      </c>
      <c r="AB81" s="65">
        <f>IF(ISBLANK(Table_SiteMilestoneTracking[[#This Row],[SiteAcquired_AC]])=FALSE,Table_SiteMilestoneTracking[[#This Row],[SiteAcquired_AC]]-Table_SiteMilestoneTracking[[#This Row],[SiteSurveyCompleted_AC]],"-")</f>
        <v>12</v>
      </c>
      <c r="AC81" s="64">
        <f t="shared" si="13"/>
        <v>150</v>
      </c>
      <c r="AD81" s="82">
        <v>135</v>
      </c>
      <c r="AE81" s="63">
        <f>Table_SiteMilestoneTracking[[#This Row],[SiteAcquired_BL]]+t2a_SiteCWReadinessBL</f>
        <v>44035</v>
      </c>
      <c r="AF81" s="85">
        <v>44039</v>
      </c>
      <c r="AG81" s="66">
        <f>IF(ISBLANK(Table_SiteMilestoneTracking[[#This Row],[SiteReadyForCW_AC]])=FALSE,Table_SiteMilestoneTracking[[#This Row],[SiteReadyForCW_AC]]-Table_SiteMilestoneTracking[[#This Row],[SiteReadyForCW_BL]],"-")</f>
        <v>4</v>
      </c>
      <c r="AH81" s="66">
        <f>IF(ISBLANK(Table_SiteMilestoneTracking[[#This Row],[SiteReadyForCW_AC]])=FALSE,Table_SiteMilestoneTracking[[#This Row],[SiteReadyForCW_AC]]-Table_SiteMilestoneTracking[[#This Row],[SiteDesignReady_AC]],"-")</f>
        <v>17</v>
      </c>
      <c r="AI81" s="64">
        <f t="shared" si="14"/>
        <v>1500</v>
      </c>
      <c r="AJ81" s="82"/>
      <c r="AK81" s="63">
        <f>Table_SiteMilestoneTracking[[#This Row],[SiteReadyForCW_BL]]+t3_CivilWorksBL</f>
        <v>44043</v>
      </c>
      <c r="AL81" s="84"/>
      <c r="AM81" s="64" t="str">
        <f>IF(ISBLANK(Table_SiteMilestoneTracking[[#This Row],[SiteReadyForPower_AC]])=FALSE,Table_SiteMilestoneTracking[[#This Row],[SiteReadyForPower_AC]]-Table_SiteMilestoneTracking[[#This Row],[SiteReadyForPower_BL]],"-")</f>
        <v>-</v>
      </c>
      <c r="AN81" s="64" t="str">
        <f>IF(ISBLANK(Table_SiteMilestoneTracking[[#This Row],[SiteReadyForPower_AC]])=FALSE,Table_SiteMilestoneTracking[[#This Row],[SiteReadyForPower_AC]]-Table_SiteMilestoneTracking[[#This Row],[SiteReadyForCW_AC]],"-")</f>
        <v>-</v>
      </c>
      <c r="AO81" s="64">
        <f t="shared" si="15"/>
        <v>500</v>
      </c>
      <c r="AP81" s="82"/>
      <c r="AQ81" s="63">
        <f>Table_SiteMilestoneTracking[[#This Row],[SiteReadyForPower_BL]]+t4_PowerInstallBL</f>
        <v>44048</v>
      </c>
      <c r="AR81" s="84"/>
      <c r="AS81" s="64" t="str">
        <f>IF(ISBLANK(Table_SiteMilestoneTracking[[#This Row],[TXReady_AC]])=FALSE,Table_SiteMilestoneTracking[[#This Row],[TXReady_AC]]-Table_SiteMilestoneTracking[[#This Row],[TXReady_BL]],"-")</f>
        <v>-</v>
      </c>
      <c r="AT81" s="64" t="str">
        <f>IF(ISBLANK(Table_SiteMilestoneTracking[[#This Row],[TXReady_AC]])=FALSE,Table_SiteMilestoneTracking[[#This Row],[TXReady_AC]]-Table_SiteMilestoneTracking[[#This Row],[SiteReadyForPower_AC]],"-")</f>
        <v>-</v>
      </c>
      <c r="AU81" s="64">
        <f>$AU$2</f>
        <v>500</v>
      </c>
      <c r="AV81" s="82"/>
      <c r="AW81" s="63">
        <f>Table_SiteMilestoneTracking[[#This Row],[TXReady_BL]]+t5_TxintegrationBL</f>
        <v>44055</v>
      </c>
      <c r="AX81" s="84"/>
      <c r="AY81" s="64" t="str">
        <f>IF(ISBLANK(Table_SiteMilestoneTracking[[#This Row],[SiteReadyForInstallation_AC]])=FALSE,Table_SiteMilestoneTracking[[#This Row],[SiteReadyForInstallation_AC]]-Table_SiteMilestoneTracking[[#This Row],[SiteReadyForInstallation_BL]],"-")</f>
        <v>-</v>
      </c>
      <c r="AZ81" s="64" t="str">
        <f>IF(ISBLANK(Table_SiteMilestoneTracking[[#This Row],[SiteReadyForInstallation_AC]])=FALSE,Table_SiteMilestoneTracking[[#This Row],[SiteReadyForInstallation_AC]]-Table_SiteMilestoneTracking[[#This Row],[TXReady_AC]],"-")</f>
        <v>-</v>
      </c>
      <c r="BA81" s="64">
        <f>$BA$2</f>
        <v>2500</v>
      </c>
      <c r="BB81" s="82"/>
      <c r="BC81" s="63">
        <f>Table_SiteMilestoneTracking[[#This Row],[SiteReadyForInstallation_BL]]+t6_InstallationBL</f>
        <v>44059</v>
      </c>
      <c r="BD81" s="84"/>
      <c r="BE81" s="64" t="str">
        <f>IF(ISBLANK(Table_SiteMilestoneTracking[[#This Row],[SiteReadyForIntegration_AC]])=FALSE,Table_SiteMilestoneTracking[[#This Row],[SiteReadyForIntegration_AC]]-Table_SiteMilestoneTracking[[#This Row],[SiteReadyForIntegration_BL]],"-")</f>
        <v>-</v>
      </c>
      <c r="BF81" s="64" t="str">
        <f>IF(ISBLANK(Table_SiteMilestoneTracking[[#This Row],[SiteReadyForIntegration_AC]])=FALSE,Table_SiteMilestoneTracking[[#This Row],[SiteReadyForIntegration_AC]]-Table_SiteMilestoneTracking[[#This Row],[SiteReadyForInstallation_AC]],"-")</f>
        <v>-</v>
      </c>
      <c r="BG81" s="64">
        <f>$BG$2</f>
        <v>500</v>
      </c>
      <c r="BH81" s="82"/>
      <c r="BI81" s="63">
        <f>Table_SiteMilestoneTracking[[#This Row],[SiteReadyForIntegration_BL]]+t7_IntegrationBL</f>
        <v>44063</v>
      </c>
      <c r="BJ81" s="84"/>
      <c r="BK81" s="64" t="str">
        <f>IF(ISBLANK(Table_SiteMilestoneTracking[[#This Row],[SiteOnAir_AC]])=FALSE,Table_SiteMilestoneTracking[[#This Row],[SiteOnAir_AC]]-Table_SiteMilestoneTracking[[#This Row],[SiteOnAir_BL]],"-")</f>
        <v>-</v>
      </c>
      <c r="BL81" s="64" t="str">
        <f>IF(ISBLANK(Table_SiteMilestoneTracking[[#This Row],[SiteOnAir_AC]])=FALSE,Table_SiteMilestoneTracking[[#This Row],[SiteOnAir_AC]]-Table_SiteMilestoneTracking[[#This Row],[SiteReadyForIntegration_AC]],"-")</f>
        <v>-</v>
      </c>
      <c r="BM81" s="64">
        <f>$BM$2</f>
        <v>250</v>
      </c>
      <c r="BN81" s="82"/>
      <c r="BO81" s="63">
        <f>Table_SiteMilestoneTracking[[#This Row],[SiteOnAir_BL]]+t8_AcceptanceBL</f>
        <v>44067</v>
      </c>
      <c r="BP81" s="84"/>
      <c r="BQ81" s="64" t="str">
        <f>IF(ISBLANK(Table_SiteMilestoneTracking[[#This Row],[SiteAccepted_AC]])=FALSE,Table_SiteMilestoneTracking[[#This Row],[SiteAccepted_AC]]-Table_SiteMilestoneTracking[[#This Row],[SiteAccepted_BL]],"-")</f>
        <v>-</v>
      </c>
      <c r="BR81" s="64" t="str">
        <f>IF(ISBLANK(Table_SiteMilestoneTracking[[#This Row],[SiteAccepted_AC]])=FALSE,Table_SiteMilestoneTracking[[#This Row],[SiteAccepted_AC]]-Table_SiteMilestoneTracking[[#This Row],[SiteOnAir_AC]],"-")</f>
        <v>-</v>
      </c>
      <c r="BS81" s="64">
        <f>$BS$2</f>
        <v>200</v>
      </c>
      <c r="BT81" s="82"/>
      <c r="BU81" s="63">
        <f>Table_SiteMilestoneTracking[[#This Row],[SiteAccepted_BL]]+t9_HandoverBL</f>
        <v>44075</v>
      </c>
      <c r="BV81" s="84"/>
      <c r="BW81" s="64" t="str">
        <f>IF(ISBLANK(Table_SiteMilestoneTracking[[#This Row],[SiteInOperations_AC]])=FALSE,Table_SiteMilestoneTracking[[#This Row],[SiteInOperations_AC]]-Table_SiteMilestoneTracking[[#This Row],[SiteInOperations_BL]],"-")</f>
        <v>-</v>
      </c>
      <c r="BX81" s="66">
        <f>Table_SiteMilestoneTracking[[#This Row],[SiteInOperations_BL]]-Table_SiteMilestoneTracking[[#This Row],[SiteDesignReady_BL]]</f>
        <v>55</v>
      </c>
      <c r="BY81" s="66" t="str">
        <f>IF(Table_SiteMilestoneTracking[[#This Row],[CurrentSiteMilestone]]="SiteInOperations",Table_SiteMilestoneTracking[[#This Row],[SiteInOperations_AC]]-Table_SiteMilestoneTracking[[#This Row],[SiteDesignReady_AC]],"")</f>
        <v/>
      </c>
      <c r="BZ81" s="66" t="str">
        <f>IFERROR(Table_SiteMilestoneTracking[[#This Row],[E2E_Site_AC]]-Table_SiteMilestoneTracking[[#This Row],[E2E_Site_BL]],"")</f>
        <v/>
      </c>
      <c r="CA81" s="66" t="str">
        <f>IF(Table_SiteMilestoneTracking[[#This Row],[CurrentSiteMilestone]]="SiteInOperations",Table_SiteMilestoneTracking[[#This Row],[SiteInOperations_AC]]-Table_SiteMilestoneTracking[[#This Row],[SiteAccepted_AC]],"")</f>
        <v/>
      </c>
      <c r="CB81" s="79"/>
      <c r="CC81" s="89"/>
      <c r="CD81" s="89"/>
      <c r="CE81" s="70"/>
      <c r="CF81" s="70"/>
      <c r="CG81" s="70"/>
      <c r="CH81" s="70"/>
      <c r="CI81" s="70"/>
      <c r="CJ81" s="70"/>
      <c r="CK81" s="70"/>
      <c r="CL81" s="70"/>
      <c r="CM81" s="70"/>
      <c r="CN81" s="70"/>
      <c r="CO81" s="70"/>
      <c r="CP81" s="70"/>
      <c r="CQ81" s="70"/>
      <c r="CR81" s="70"/>
      <c r="CS81" s="70"/>
      <c r="CT81" s="70"/>
      <c r="CU81" s="70"/>
      <c r="CV81" s="70"/>
      <c r="CW81" s="70"/>
      <c r="CX81" s="70"/>
      <c r="CY81" s="70"/>
      <c r="CZ81" s="70"/>
      <c r="DA81" s="70"/>
      <c r="DB81" s="70"/>
      <c r="DC81" s="70"/>
      <c r="DD81" s="70"/>
      <c r="DE81" s="70"/>
      <c r="DF81" s="70"/>
      <c r="DG81" s="70"/>
      <c r="DH81" s="70"/>
      <c r="DI81" s="70"/>
      <c r="DJ81" s="70"/>
      <c r="DK81" s="70"/>
      <c r="DL81" s="70"/>
      <c r="DM81" s="70"/>
      <c r="DN81" s="70"/>
      <c r="DO81" s="70"/>
      <c r="DP81" s="70"/>
      <c r="DQ81" s="70"/>
      <c r="DR81" s="70"/>
      <c r="DS81" s="70"/>
      <c r="DT81" s="70"/>
      <c r="DU81" s="70"/>
      <c r="DV81" s="70"/>
    </row>
    <row r="82" spans="1:126" x14ac:dyDescent="0.3">
      <c r="A82" s="79" t="str">
        <f>'4. Design Tracking Summary'!A83</f>
        <v>CA00351</v>
      </c>
      <c r="B82" s="79" t="str">
        <f>'4. Design Tracking Summary'!B83</f>
        <v>North</v>
      </c>
      <c r="C82" s="79" t="str">
        <f>'4. Design Tracking Summary'!C83</f>
        <v>QRO</v>
      </c>
      <c r="D82" s="79" t="str">
        <f>'4. Design Tracking Summary'!D83</f>
        <v>MACRO</v>
      </c>
      <c r="E82" s="79" t="s">
        <v>58</v>
      </c>
      <c r="F82" s="79"/>
      <c r="G82" s="60" t="str">
        <f>IFERROR(INDEX(Table_SiteMilestonesNames[SiteMilestoneName],COUNTA(Table_SiteMilestoneTracking[[#This Row],[SiteDesignStarted_AC]],Table_SiteMilestoneTracking[[#This Row],[SiteDesignReady_AC]],Table_SiteMilestoneTracking[[#This Row],[SiteSurveyCompleted_AC]],Table_SiteMilestoneTracking[[#This Row],[SiteAcquired_AC]],Table_SiteMilestoneTracking[[#This Row],[SiteReadyForCW_AC]],Table_SiteMilestoneTracking[[#This Row],[SiteReadyForPower_AC]],Table_SiteMilestoneTracking[[#This Row],[TXReady_AC]],Table_SiteMilestoneTracking[[#This Row],[SiteReadyForInstallation_AC]],Table_SiteMilestoneTracking[[#This Row],[SiteReadyForIntegration_AC]],Table_SiteMilestoneTracking[[#This Row],[SiteOnAir_AC]],Table_SiteMilestoneTracking[[#This Row],[SiteAccepted_AC]],Table_SiteMilestoneTracking[[#This Row],[SiteInOperations_AC]])+1),"Invalid Milestone")</f>
        <v>SiteReadyForCW</v>
      </c>
      <c r="H82" s="61">
        <f>Table_SiteMilestoneTracking[[#This Row],[c0_SiteDesignCostBL]]+Table_SiteMilestoneTracking[[#This Row],[c1_SiteSurveyCostBL]]+Table_SiteMilestoneTracking[[#This Row],[c2_SiteAcquisitionCostBL]]+Table_SiteMilestoneTracking[[#This Row],[c3_CivilWorksCostBL]]+Table_SiteMilestoneTracking[[#This Row],[c4_PowerInstallCostBL]]+Table_SiteMilestoneTracking[[#This Row],[c5_TxintegrationCostBL]]+Table_SiteMilestoneTracking[[#This Row],[c6_InstallationCostBL]]+Table_SiteMilestoneTracking[[#This Row],[c7_IntegrationCostBL]]+Table_SiteMilestoneTracking[[#This Row],[c8_AcceptanceCostBL]]+Table_SiteMilestoneTracking[[#This Row],[c9_HandoverCostBL]]</f>
        <v>7550</v>
      </c>
      <c r="I82" s="62">
        <f>Table_SiteMilestoneTracking[[#This Row],[c0_SiteDesignCostAC]]+Table_SiteMilestoneTracking[[#This Row],[c1_SiteSurveyCostAC]]+Table_SiteMilestoneTracking[[#This Row],[c2_SiteAcquisitionCostAC]]+Table_SiteMilestoneTracking[[#This Row],[c3_CivilWorksCostAC]]+Table_SiteMilestoneTracking[[#This Row],[c4_PowerInstallCostAC]]+Table_SiteMilestoneTracking[[#This Row],[c5_TxintegrationCostAC]]+Table_SiteMilestoneTracking[[#This Row],[c6_InstallationCostAC]]+Table_SiteMilestoneTracking[[#This Row],[c7_IntegrationCostAC]]+Table_SiteMilestoneTracking[[#This Row],[c8_AcceptanceCostAC]]+Table_SiteMilestoneTracking[[#This Row],[c9_HandoverCostAC]]</f>
        <v>1695</v>
      </c>
      <c r="J82" s="84">
        <v>44018</v>
      </c>
      <c r="K82" s="84">
        <v>44019</v>
      </c>
      <c r="L82" s="64">
        <f>IF(ISBLANK(Table_SiteMilestoneTracking[[#This Row],[SiteDesignStarted_AC]])=FALSE,Table_SiteMilestoneTracking[[#This Row],[SiteDesignStarted_AC]]-Table_SiteMilestoneTracking[[#This Row],[SiteDesignStarted_BL]],"")</f>
        <v>1</v>
      </c>
      <c r="M82" s="64">
        <f t="shared" si="11"/>
        <v>500</v>
      </c>
      <c r="N82" s="87">
        <v>420</v>
      </c>
      <c r="O82" s="63">
        <f>Table_SiteMilestoneTracking[[#This Row],[SiteDesignStarted_BL]]+t0_SiteDesignDelayBL</f>
        <v>44020</v>
      </c>
      <c r="P82" s="84">
        <v>44024</v>
      </c>
      <c r="Q82" s="64">
        <f>IF(ISBLANK(Table_SiteMilestoneTracking[[#This Row],[SiteDesignReady_AC]])=FALSE,Table_SiteMilestoneTracking[[#This Row],[SiteDesignReady_AC]]-Table_SiteMilestoneTracking[[#This Row],[SiteDesignReady_BL]],"-")</f>
        <v>4</v>
      </c>
      <c r="R82" s="64">
        <f t="shared" si="16"/>
        <v>500</v>
      </c>
      <c r="S82" s="82">
        <v>375</v>
      </c>
      <c r="T82" s="63">
        <f>Table_SiteMilestoneTracking[[#This Row],[SiteDesignReady_BL]]+t1_SiteSurveyBL</f>
        <v>44022</v>
      </c>
      <c r="U82" s="84">
        <v>44026</v>
      </c>
      <c r="V82" s="64">
        <f>IF(ISBLANK(Table_SiteMilestoneTracking[[#This Row],[SiteSurveyCompleted_AC]])=FALSE,Table_SiteMilestoneTracking[[#This Row],[SiteSurveyCompleted_AC]]-Table_SiteMilestoneTracking[[#This Row],[SiteDesignReady_AC]],"-")</f>
        <v>2</v>
      </c>
      <c r="W82" s="64">
        <f t="shared" si="12"/>
        <v>600</v>
      </c>
      <c r="X82" s="82">
        <v>900</v>
      </c>
      <c r="Y82" s="63">
        <f>Table_SiteMilestoneTracking[[#This Row],[SiteSurveyCompleted_BL]]+t2_SiteAcquisitionBL</f>
        <v>44033</v>
      </c>
      <c r="Z82" s="84">
        <v>44038</v>
      </c>
      <c r="AA82" s="65">
        <f>IF(ISBLANK(Table_SiteMilestoneTracking[[#This Row],[SiteAcquired_AC]])=FALSE,Table_SiteMilestoneTracking[[#This Row],[SiteAcquired_AC]]-Table_SiteMilestoneTracking[[#This Row],[SiteAcquired_BL]],"-")</f>
        <v>5</v>
      </c>
      <c r="AB82" s="65">
        <f>IF(ISBLANK(Table_SiteMilestoneTracking[[#This Row],[SiteAcquired_AC]])=FALSE,Table_SiteMilestoneTracking[[#This Row],[SiteAcquired_AC]]-Table_SiteMilestoneTracking[[#This Row],[SiteSurveyCompleted_AC]],"-")</f>
        <v>12</v>
      </c>
      <c r="AC82" s="64">
        <f t="shared" si="13"/>
        <v>150</v>
      </c>
      <c r="AD82" s="82">
        <v>180.00000000000003</v>
      </c>
      <c r="AE82" s="63">
        <f>Table_SiteMilestoneTracking[[#This Row],[SiteAcquired_BL]]+t2a_SiteCWReadinessBL</f>
        <v>44035</v>
      </c>
      <c r="AF82" s="85">
        <v>44040</v>
      </c>
      <c r="AG82" s="66">
        <f>IF(ISBLANK(Table_SiteMilestoneTracking[[#This Row],[SiteReadyForCW_AC]])=FALSE,Table_SiteMilestoneTracking[[#This Row],[SiteReadyForCW_AC]]-Table_SiteMilestoneTracking[[#This Row],[SiteReadyForCW_BL]],"-")</f>
        <v>5</v>
      </c>
      <c r="AH82" s="66">
        <f>IF(ISBLANK(Table_SiteMilestoneTracking[[#This Row],[SiteReadyForCW_AC]])=FALSE,Table_SiteMilestoneTracking[[#This Row],[SiteReadyForCW_AC]]-Table_SiteMilestoneTracking[[#This Row],[SiteDesignReady_AC]],"-")</f>
        <v>16</v>
      </c>
      <c r="AI82" s="64">
        <f t="shared" si="14"/>
        <v>1500</v>
      </c>
      <c r="AJ82" s="82"/>
      <c r="AK82" s="63">
        <f>Table_SiteMilestoneTracking[[#This Row],[SiteReadyForCW_BL]]+t3_CivilWorksBL</f>
        <v>44043</v>
      </c>
      <c r="AL82" s="84"/>
      <c r="AM82" s="64" t="str">
        <f>IF(ISBLANK(Table_SiteMilestoneTracking[[#This Row],[SiteReadyForPower_AC]])=FALSE,Table_SiteMilestoneTracking[[#This Row],[SiteReadyForPower_AC]]-Table_SiteMilestoneTracking[[#This Row],[SiteReadyForPower_BL]],"-")</f>
        <v>-</v>
      </c>
      <c r="AN82" s="64" t="str">
        <f>IF(ISBLANK(Table_SiteMilestoneTracking[[#This Row],[SiteReadyForPower_AC]])=FALSE,Table_SiteMilestoneTracking[[#This Row],[SiteReadyForPower_AC]]-Table_SiteMilestoneTracking[[#This Row],[SiteReadyForCW_AC]],"-")</f>
        <v>-</v>
      </c>
      <c r="AO82" s="64">
        <f t="shared" si="15"/>
        <v>500</v>
      </c>
      <c r="AP82" s="82"/>
      <c r="AQ82" s="63">
        <f>Table_SiteMilestoneTracking[[#This Row],[SiteReadyForPower_BL]]+t4_PowerInstallBL</f>
        <v>44048</v>
      </c>
      <c r="AR82" s="84"/>
      <c r="AS82" s="64" t="str">
        <f>IF(ISBLANK(Table_SiteMilestoneTracking[[#This Row],[TXReady_AC]])=FALSE,Table_SiteMilestoneTracking[[#This Row],[TXReady_AC]]-Table_SiteMilestoneTracking[[#This Row],[TXReady_BL]],"-")</f>
        <v>-</v>
      </c>
      <c r="AT82" s="64" t="str">
        <f>IF(ISBLANK(Table_SiteMilestoneTracking[[#This Row],[TXReady_AC]])=FALSE,Table_SiteMilestoneTracking[[#This Row],[TXReady_AC]]-Table_SiteMilestoneTracking[[#This Row],[SiteReadyForPower_AC]],"-")</f>
        <v>-</v>
      </c>
      <c r="AU82" s="64">
        <f>$AU$2</f>
        <v>500</v>
      </c>
      <c r="AV82" s="82"/>
      <c r="AW82" s="63">
        <f>Table_SiteMilestoneTracking[[#This Row],[TXReady_BL]]+t5_TxintegrationBL</f>
        <v>44055</v>
      </c>
      <c r="AX82" s="84"/>
      <c r="AY82" s="64" t="str">
        <f>IF(ISBLANK(Table_SiteMilestoneTracking[[#This Row],[SiteReadyForInstallation_AC]])=FALSE,Table_SiteMilestoneTracking[[#This Row],[SiteReadyForInstallation_AC]]-Table_SiteMilestoneTracking[[#This Row],[SiteReadyForInstallation_BL]],"-")</f>
        <v>-</v>
      </c>
      <c r="AZ82" s="64" t="str">
        <f>IF(ISBLANK(Table_SiteMilestoneTracking[[#This Row],[SiteReadyForInstallation_AC]])=FALSE,Table_SiteMilestoneTracking[[#This Row],[SiteReadyForInstallation_AC]]-Table_SiteMilestoneTracking[[#This Row],[TXReady_AC]],"-")</f>
        <v>-</v>
      </c>
      <c r="BA82" s="64">
        <f>$BA$2</f>
        <v>2500</v>
      </c>
      <c r="BB82" s="82"/>
      <c r="BC82" s="63">
        <f>Table_SiteMilestoneTracking[[#This Row],[SiteReadyForInstallation_BL]]+t6_InstallationBL</f>
        <v>44059</v>
      </c>
      <c r="BD82" s="84"/>
      <c r="BE82" s="64" t="str">
        <f>IF(ISBLANK(Table_SiteMilestoneTracking[[#This Row],[SiteReadyForIntegration_AC]])=FALSE,Table_SiteMilestoneTracking[[#This Row],[SiteReadyForIntegration_AC]]-Table_SiteMilestoneTracking[[#This Row],[SiteReadyForIntegration_BL]],"-")</f>
        <v>-</v>
      </c>
      <c r="BF82" s="64" t="str">
        <f>IF(ISBLANK(Table_SiteMilestoneTracking[[#This Row],[SiteReadyForIntegration_AC]])=FALSE,Table_SiteMilestoneTracking[[#This Row],[SiteReadyForIntegration_AC]]-Table_SiteMilestoneTracking[[#This Row],[SiteReadyForInstallation_AC]],"-")</f>
        <v>-</v>
      </c>
      <c r="BG82" s="64">
        <f>$BG$2</f>
        <v>500</v>
      </c>
      <c r="BH82" s="82"/>
      <c r="BI82" s="63">
        <f>Table_SiteMilestoneTracking[[#This Row],[SiteReadyForIntegration_BL]]+t7_IntegrationBL</f>
        <v>44063</v>
      </c>
      <c r="BJ82" s="84"/>
      <c r="BK82" s="64" t="str">
        <f>IF(ISBLANK(Table_SiteMilestoneTracking[[#This Row],[SiteOnAir_AC]])=FALSE,Table_SiteMilestoneTracking[[#This Row],[SiteOnAir_AC]]-Table_SiteMilestoneTracking[[#This Row],[SiteOnAir_BL]],"-")</f>
        <v>-</v>
      </c>
      <c r="BL82" s="64" t="str">
        <f>IF(ISBLANK(Table_SiteMilestoneTracking[[#This Row],[SiteOnAir_AC]])=FALSE,Table_SiteMilestoneTracking[[#This Row],[SiteOnAir_AC]]-Table_SiteMilestoneTracking[[#This Row],[SiteReadyForIntegration_AC]],"-")</f>
        <v>-</v>
      </c>
      <c r="BM82" s="64">
        <f>$BM$2</f>
        <v>250</v>
      </c>
      <c r="BN82" s="82"/>
      <c r="BO82" s="63">
        <f>Table_SiteMilestoneTracking[[#This Row],[SiteOnAir_BL]]+t8_AcceptanceBL</f>
        <v>44067</v>
      </c>
      <c r="BP82" s="84"/>
      <c r="BQ82" s="64" t="str">
        <f>IF(ISBLANK(Table_SiteMilestoneTracking[[#This Row],[SiteAccepted_AC]])=FALSE,Table_SiteMilestoneTracking[[#This Row],[SiteAccepted_AC]]-Table_SiteMilestoneTracking[[#This Row],[SiteAccepted_BL]],"-")</f>
        <v>-</v>
      </c>
      <c r="BR82" s="64" t="str">
        <f>IF(ISBLANK(Table_SiteMilestoneTracking[[#This Row],[SiteAccepted_AC]])=FALSE,Table_SiteMilestoneTracking[[#This Row],[SiteAccepted_AC]]-Table_SiteMilestoneTracking[[#This Row],[SiteOnAir_AC]],"-")</f>
        <v>-</v>
      </c>
      <c r="BS82" s="64">
        <f>$BS$2</f>
        <v>200</v>
      </c>
      <c r="BT82" s="82"/>
      <c r="BU82" s="63">
        <f>Table_SiteMilestoneTracking[[#This Row],[SiteAccepted_BL]]+t9_HandoverBL</f>
        <v>44075</v>
      </c>
      <c r="BV82" s="84"/>
      <c r="BW82" s="64" t="str">
        <f>IF(ISBLANK(Table_SiteMilestoneTracking[[#This Row],[SiteInOperations_AC]])=FALSE,Table_SiteMilestoneTracking[[#This Row],[SiteInOperations_AC]]-Table_SiteMilestoneTracking[[#This Row],[SiteInOperations_BL]],"-")</f>
        <v>-</v>
      </c>
      <c r="BX82" s="66">
        <f>Table_SiteMilestoneTracking[[#This Row],[SiteInOperations_BL]]-Table_SiteMilestoneTracking[[#This Row],[SiteDesignReady_BL]]</f>
        <v>55</v>
      </c>
      <c r="BY82" s="66" t="str">
        <f>IF(Table_SiteMilestoneTracking[[#This Row],[CurrentSiteMilestone]]="SiteInOperations",Table_SiteMilestoneTracking[[#This Row],[SiteInOperations_AC]]-Table_SiteMilestoneTracking[[#This Row],[SiteDesignReady_AC]],"")</f>
        <v/>
      </c>
      <c r="BZ82" s="66" t="str">
        <f>IFERROR(Table_SiteMilestoneTracking[[#This Row],[E2E_Site_AC]]-Table_SiteMilestoneTracking[[#This Row],[E2E_Site_BL]],"")</f>
        <v/>
      </c>
      <c r="CA82" s="66" t="str">
        <f>IF(Table_SiteMilestoneTracking[[#This Row],[CurrentSiteMilestone]]="SiteInOperations",Table_SiteMilestoneTracking[[#This Row],[SiteInOperations_AC]]-Table_SiteMilestoneTracking[[#This Row],[SiteAccepted_AC]],"")</f>
        <v/>
      </c>
      <c r="CB82" s="79"/>
      <c r="CC82" s="89"/>
      <c r="CD82" s="89"/>
      <c r="CE82" s="70"/>
      <c r="CF82" s="70"/>
      <c r="CG82" s="70"/>
      <c r="CH82" s="70"/>
      <c r="CI82" s="70"/>
      <c r="CJ82" s="70"/>
      <c r="CK82" s="70"/>
      <c r="CL82" s="70"/>
      <c r="CM82" s="70"/>
      <c r="CN82" s="70"/>
      <c r="CO82" s="70"/>
      <c r="CP82" s="70"/>
      <c r="CQ82" s="70"/>
      <c r="CR82" s="70"/>
      <c r="CS82" s="70"/>
      <c r="CT82" s="70"/>
      <c r="CU82" s="70"/>
      <c r="CV82" s="70"/>
      <c r="CW82" s="70"/>
      <c r="CX82" s="70"/>
      <c r="CY82" s="70"/>
      <c r="CZ82" s="70"/>
      <c r="DA82" s="70"/>
      <c r="DB82" s="70"/>
      <c r="DC82" s="70"/>
      <c r="DD82" s="70"/>
      <c r="DE82" s="70"/>
      <c r="DF82" s="70"/>
      <c r="DG82" s="70"/>
      <c r="DH82" s="70"/>
      <c r="DI82" s="70"/>
      <c r="DJ82" s="70"/>
      <c r="DK82" s="70"/>
      <c r="DL82" s="70"/>
      <c r="DM82" s="70"/>
      <c r="DN82" s="70"/>
      <c r="DO82" s="70"/>
      <c r="DP82" s="70"/>
      <c r="DQ82" s="70"/>
      <c r="DR82" s="70"/>
      <c r="DS82" s="70"/>
      <c r="DT82" s="70"/>
      <c r="DU82" s="70"/>
      <c r="DV82" s="70"/>
    </row>
    <row r="83" spans="1:126" x14ac:dyDescent="0.3">
      <c r="A83" s="79" t="str">
        <f>'4. Design Tracking Summary'!A84</f>
        <v>CA00514</v>
      </c>
      <c r="B83" s="79" t="str">
        <f>'4. Design Tracking Summary'!B84</f>
        <v>North</v>
      </c>
      <c r="C83" s="79" t="str">
        <f>'4. Design Tracking Summary'!C84</f>
        <v>VER</v>
      </c>
      <c r="D83" s="79" t="str">
        <f>'4. Design Tracking Summary'!D84</f>
        <v>MINI</v>
      </c>
      <c r="E83" s="79" t="s">
        <v>56</v>
      </c>
      <c r="F83" s="79"/>
      <c r="G83" s="60" t="str">
        <f>IFERROR(INDEX(Table_SiteMilestonesNames[SiteMilestoneName],COUNTA(Table_SiteMilestoneTracking[[#This Row],[SiteDesignStarted_AC]],Table_SiteMilestoneTracking[[#This Row],[SiteDesignReady_AC]],Table_SiteMilestoneTracking[[#This Row],[SiteSurveyCompleted_AC]],Table_SiteMilestoneTracking[[#This Row],[SiteAcquired_AC]],Table_SiteMilestoneTracking[[#This Row],[SiteReadyForCW_AC]],Table_SiteMilestoneTracking[[#This Row],[SiteReadyForPower_AC]],Table_SiteMilestoneTracking[[#This Row],[TXReady_AC]],Table_SiteMilestoneTracking[[#This Row],[SiteReadyForInstallation_AC]],Table_SiteMilestoneTracking[[#This Row],[SiteReadyForIntegration_AC]],Table_SiteMilestoneTracking[[#This Row],[SiteOnAir_AC]],Table_SiteMilestoneTracking[[#This Row],[SiteAccepted_AC]],Table_SiteMilestoneTracking[[#This Row],[SiteInOperations_AC]])+1),"Invalid Milestone")</f>
        <v>SiteReadyForCW</v>
      </c>
      <c r="H83" s="61">
        <f>Table_SiteMilestoneTracking[[#This Row],[c0_SiteDesignCostBL]]+Table_SiteMilestoneTracking[[#This Row],[c1_SiteSurveyCostBL]]+Table_SiteMilestoneTracking[[#This Row],[c2_SiteAcquisitionCostBL]]+Table_SiteMilestoneTracking[[#This Row],[c3_CivilWorksCostBL]]+Table_SiteMilestoneTracking[[#This Row],[c4_PowerInstallCostBL]]+Table_SiteMilestoneTracking[[#This Row],[c5_TxintegrationCostBL]]+Table_SiteMilestoneTracking[[#This Row],[c6_InstallationCostBL]]+Table_SiteMilestoneTracking[[#This Row],[c7_IntegrationCostBL]]+Table_SiteMilestoneTracking[[#This Row],[c8_AcceptanceCostBL]]+Table_SiteMilestoneTracking[[#This Row],[c9_HandoverCostBL]]</f>
        <v>7550</v>
      </c>
      <c r="I83" s="62">
        <f>Table_SiteMilestoneTracking[[#This Row],[c0_SiteDesignCostAC]]+Table_SiteMilestoneTracking[[#This Row],[c1_SiteSurveyCostAC]]+Table_SiteMilestoneTracking[[#This Row],[c2_SiteAcquisitionCostAC]]+Table_SiteMilestoneTracking[[#This Row],[c3_CivilWorksCostAC]]+Table_SiteMilestoneTracking[[#This Row],[c4_PowerInstallCostAC]]+Table_SiteMilestoneTracking[[#This Row],[c5_TxintegrationCostAC]]+Table_SiteMilestoneTracking[[#This Row],[c6_InstallationCostAC]]+Table_SiteMilestoneTracking[[#This Row],[c7_IntegrationCostAC]]+Table_SiteMilestoneTracking[[#This Row],[c8_AcceptanceCostAC]]+Table_SiteMilestoneTracking[[#This Row],[c9_HandoverCostAC]]</f>
        <v>1685</v>
      </c>
      <c r="J83" s="84">
        <v>44018</v>
      </c>
      <c r="K83" s="84">
        <v>44019</v>
      </c>
      <c r="L83" s="64">
        <f>IF(ISBLANK(Table_SiteMilestoneTracking[[#This Row],[SiteDesignStarted_AC]])=FALSE,Table_SiteMilestoneTracking[[#This Row],[SiteDesignStarted_AC]]-Table_SiteMilestoneTracking[[#This Row],[SiteDesignStarted_BL]],"")</f>
        <v>1</v>
      </c>
      <c r="M83" s="64">
        <f t="shared" si="11"/>
        <v>500</v>
      </c>
      <c r="N83" s="87">
        <v>420</v>
      </c>
      <c r="O83" s="63">
        <f>Table_SiteMilestoneTracking[[#This Row],[SiteDesignStarted_BL]]+t0_SiteDesignDelayBL</f>
        <v>44020</v>
      </c>
      <c r="P83" s="84">
        <v>44025</v>
      </c>
      <c r="Q83" s="64">
        <f>IF(ISBLANK(Table_SiteMilestoneTracking[[#This Row],[SiteDesignReady_AC]])=FALSE,Table_SiteMilestoneTracking[[#This Row],[SiteDesignReady_AC]]-Table_SiteMilestoneTracking[[#This Row],[SiteDesignReady_BL]],"-")</f>
        <v>5</v>
      </c>
      <c r="R83" s="64">
        <f t="shared" si="16"/>
        <v>500</v>
      </c>
      <c r="S83" s="82">
        <v>725</v>
      </c>
      <c r="T83" s="63">
        <f>Table_SiteMilestoneTracking[[#This Row],[SiteDesignReady_BL]]+t1_SiteSurveyBL</f>
        <v>44022</v>
      </c>
      <c r="U83" s="84">
        <v>44028</v>
      </c>
      <c r="V83" s="64">
        <f>IF(ISBLANK(Table_SiteMilestoneTracking[[#This Row],[SiteSurveyCompleted_AC]])=FALSE,Table_SiteMilestoneTracking[[#This Row],[SiteSurveyCompleted_AC]]-Table_SiteMilestoneTracking[[#This Row],[SiteDesignReady_AC]],"-")</f>
        <v>3</v>
      </c>
      <c r="W83" s="64">
        <f t="shared" si="12"/>
        <v>600</v>
      </c>
      <c r="X83" s="82">
        <v>540</v>
      </c>
      <c r="Y83" s="63">
        <f>Table_SiteMilestoneTracking[[#This Row],[SiteSurveyCompleted_BL]]+t2_SiteAcquisitionBL</f>
        <v>44033</v>
      </c>
      <c r="Z83" s="84">
        <v>44039</v>
      </c>
      <c r="AA83" s="65">
        <f>IF(ISBLANK(Table_SiteMilestoneTracking[[#This Row],[SiteAcquired_AC]])=FALSE,Table_SiteMilestoneTracking[[#This Row],[SiteAcquired_AC]]-Table_SiteMilestoneTracking[[#This Row],[SiteAcquired_BL]],"-")</f>
        <v>6</v>
      </c>
      <c r="AB83" s="65">
        <f>IF(ISBLANK(Table_SiteMilestoneTracking[[#This Row],[SiteAcquired_AC]])=FALSE,Table_SiteMilestoneTracking[[#This Row],[SiteAcquired_AC]]-Table_SiteMilestoneTracking[[#This Row],[SiteSurveyCompleted_AC]],"-")</f>
        <v>11</v>
      </c>
      <c r="AC83" s="64">
        <f t="shared" si="13"/>
        <v>150</v>
      </c>
      <c r="AD83" s="82">
        <v>150</v>
      </c>
      <c r="AE83" s="63">
        <f>Table_SiteMilestoneTracking[[#This Row],[SiteAcquired_BL]]+t2a_SiteCWReadinessBL</f>
        <v>44035</v>
      </c>
      <c r="AF83" s="85">
        <v>44041</v>
      </c>
      <c r="AG83" s="66">
        <f>IF(ISBLANK(Table_SiteMilestoneTracking[[#This Row],[SiteReadyForCW_AC]])=FALSE,Table_SiteMilestoneTracking[[#This Row],[SiteReadyForCW_AC]]-Table_SiteMilestoneTracking[[#This Row],[SiteReadyForCW_BL]],"-")</f>
        <v>6</v>
      </c>
      <c r="AH83" s="66">
        <f>IF(ISBLANK(Table_SiteMilestoneTracking[[#This Row],[SiteReadyForCW_AC]])=FALSE,Table_SiteMilestoneTracking[[#This Row],[SiteReadyForCW_AC]]-Table_SiteMilestoneTracking[[#This Row],[SiteDesignReady_AC]],"-")</f>
        <v>16</v>
      </c>
      <c r="AI83" s="64">
        <f t="shared" si="14"/>
        <v>1500</v>
      </c>
      <c r="AJ83" s="82"/>
      <c r="AK83" s="63">
        <f>Table_SiteMilestoneTracking[[#This Row],[SiteReadyForCW_BL]]+t3_CivilWorksBL</f>
        <v>44043</v>
      </c>
      <c r="AL83" s="84"/>
      <c r="AM83" s="64" t="str">
        <f>IF(ISBLANK(Table_SiteMilestoneTracking[[#This Row],[SiteReadyForPower_AC]])=FALSE,Table_SiteMilestoneTracking[[#This Row],[SiteReadyForPower_AC]]-Table_SiteMilestoneTracking[[#This Row],[SiteReadyForPower_BL]],"-")</f>
        <v>-</v>
      </c>
      <c r="AN83" s="64" t="str">
        <f>IF(ISBLANK(Table_SiteMilestoneTracking[[#This Row],[SiteReadyForPower_AC]])=FALSE,Table_SiteMilestoneTracking[[#This Row],[SiteReadyForPower_AC]]-Table_SiteMilestoneTracking[[#This Row],[SiteReadyForCW_AC]],"-")</f>
        <v>-</v>
      </c>
      <c r="AO83" s="64">
        <f t="shared" si="15"/>
        <v>500</v>
      </c>
      <c r="AP83" s="82"/>
      <c r="AQ83" s="63">
        <f>Table_SiteMilestoneTracking[[#This Row],[SiteReadyForPower_BL]]+t4_PowerInstallBL</f>
        <v>44048</v>
      </c>
      <c r="AR83" s="84"/>
      <c r="AS83" s="64" t="str">
        <f>IF(ISBLANK(Table_SiteMilestoneTracking[[#This Row],[TXReady_AC]])=FALSE,Table_SiteMilestoneTracking[[#This Row],[TXReady_AC]]-Table_SiteMilestoneTracking[[#This Row],[TXReady_BL]],"-")</f>
        <v>-</v>
      </c>
      <c r="AT83" s="64" t="str">
        <f>IF(ISBLANK(Table_SiteMilestoneTracking[[#This Row],[TXReady_AC]])=FALSE,Table_SiteMilestoneTracking[[#This Row],[TXReady_AC]]-Table_SiteMilestoneTracking[[#This Row],[SiteReadyForPower_AC]],"-")</f>
        <v>-</v>
      </c>
      <c r="AU83" s="64">
        <f>$AU$2</f>
        <v>500</v>
      </c>
      <c r="AV83" s="82"/>
      <c r="AW83" s="63">
        <f>Table_SiteMilestoneTracking[[#This Row],[TXReady_BL]]+t5_TxintegrationBL</f>
        <v>44055</v>
      </c>
      <c r="AX83" s="84"/>
      <c r="AY83" s="64" t="str">
        <f>IF(ISBLANK(Table_SiteMilestoneTracking[[#This Row],[SiteReadyForInstallation_AC]])=FALSE,Table_SiteMilestoneTracking[[#This Row],[SiteReadyForInstallation_AC]]-Table_SiteMilestoneTracking[[#This Row],[SiteReadyForInstallation_BL]],"-")</f>
        <v>-</v>
      </c>
      <c r="AZ83" s="64" t="str">
        <f>IF(ISBLANK(Table_SiteMilestoneTracking[[#This Row],[SiteReadyForInstallation_AC]])=FALSE,Table_SiteMilestoneTracking[[#This Row],[SiteReadyForInstallation_AC]]-Table_SiteMilestoneTracking[[#This Row],[TXReady_AC]],"-")</f>
        <v>-</v>
      </c>
      <c r="BA83" s="64">
        <f>$BA$2</f>
        <v>2500</v>
      </c>
      <c r="BB83" s="82"/>
      <c r="BC83" s="63">
        <f>Table_SiteMilestoneTracking[[#This Row],[SiteReadyForInstallation_BL]]+t6_InstallationBL</f>
        <v>44059</v>
      </c>
      <c r="BD83" s="84"/>
      <c r="BE83" s="64" t="str">
        <f>IF(ISBLANK(Table_SiteMilestoneTracking[[#This Row],[SiteReadyForIntegration_AC]])=FALSE,Table_SiteMilestoneTracking[[#This Row],[SiteReadyForIntegration_AC]]-Table_SiteMilestoneTracking[[#This Row],[SiteReadyForIntegration_BL]],"-")</f>
        <v>-</v>
      </c>
      <c r="BF83" s="64" t="str">
        <f>IF(ISBLANK(Table_SiteMilestoneTracking[[#This Row],[SiteReadyForIntegration_AC]])=FALSE,Table_SiteMilestoneTracking[[#This Row],[SiteReadyForIntegration_AC]]-Table_SiteMilestoneTracking[[#This Row],[SiteReadyForInstallation_AC]],"-")</f>
        <v>-</v>
      </c>
      <c r="BG83" s="64">
        <f>$BG$2</f>
        <v>500</v>
      </c>
      <c r="BH83" s="82"/>
      <c r="BI83" s="63">
        <f>Table_SiteMilestoneTracking[[#This Row],[SiteReadyForIntegration_BL]]+t7_IntegrationBL</f>
        <v>44063</v>
      </c>
      <c r="BJ83" s="84"/>
      <c r="BK83" s="64" t="str">
        <f>IF(ISBLANK(Table_SiteMilestoneTracking[[#This Row],[SiteOnAir_AC]])=FALSE,Table_SiteMilestoneTracking[[#This Row],[SiteOnAir_AC]]-Table_SiteMilestoneTracking[[#This Row],[SiteOnAir_BL]],"-")</f>
        <v>-</v>
      </c>
      <c r="BL83" s="64" t="str">
        <f>IF(ISBLANK(Table_SiteMilestoneTracking[[#This Row],[SiteOnAir_AC]])=FALSE,Table_SiteMilestoneTracking[[#This Row],[SiteOnAir_AC]]-Table_SiteMilestoneTracking[[#This Row],[SiteReadyForIntegration_AC]],"-")</f>
        <v>-</v>
      </c>
      <c r="BM83" s="64">
        <f>$BM$2</f>
        <v>250</v>
      </c>
      <c r="BN83" s="82"/>
      <c r="BO83" s="63">
        <f>Table_SiteMilestoneTracking[[#This Row],[SiteOnAir_BL]]+t8_AcceptanceBL</f>
        <v>44067</v>
      </c>
      <c r="BP83" s="84"/>
      <c r="BQ83" s="64" t="str">
        <f>IF(ISBLANK(Table_SiteMilestoneTracking[[#This Row],[SiteAccepted_AC]])=FALSE,Table_SiteMilestoneTracking[[#This Row],[SiteAccepted_AC]]-Table_SiteMilestoneTracking[[#This Row],[SiteAccepted_BL]],"-")</f>
        <v>-</v>
      </c>
      <c r="BR83" s="64" t="str">
        <f>IF(ISBLANK(Table_SiteMilestoneTracking[[#This Row],[SiteAccepted_AC]])=FALSE,Table_SiteMilestoneTracking[[#This Row],[SiteAccepted_AC]]-Table_SiteMilestoneTracking[[#This Row],[SiteOnAir_AC]],"-")</f>
        <v>-</v>
      </c>
      <c r="BS83" s="64">
        <f>$BS$2</f>
        <v>200</v>
      </c>
      <c r="BT83" s="82"/>
      <c r="BU83" s="63">
        <f>Table_SiteMilestoneTracking[[#This Row],[SiteAccepted_BL]]+t9_HandoverBL</f>
        <v>44075</v>
      </c>
      <c r="BV83" s="84"/>
      <c r="BW83" s="64" t="str">
        <f>IF(ISBLANK(Table_SiteMilestoneTracking[[#This Row],[SiteInOperations_AC]])=FALSE,Table_SiteMilestoneTracking[[#This Row],[SiteInOperations_AC]]-Table_SiteMilestoneTracking[[#This Row],[SiteInOperations_BL]],"-")</f>
        <v>-</v>
      </c>
      <c r="BX83" s="66">
        <f>Table_SiteMilestoneTracking[[#This Row],[SiteInOperations_BL]]-Table_SiteMilestoneTracking[[#This Row],[SiteDesignReady_BL]]</f>
        <v>55</v>
      </c>
      <c r="BY83" s="66" t="str">
        <f>IF(Table_SiteMilestoneTracking[[#This Row],[CurrentSiteMilestone]]="SiteInOperations",Table_SiteMilestoneTracking[[#This Row],[SiteInOperations_AC]]-Table_SiteMilestoneTracking[[#This Row],[SiteDesignReady_AC]],"")</f>
        <v/>
      </c>
      <c r="BZ83" s="66" t="str">
        <f>IFERROR(Table_SiteMilestoneTracking[[#This Row],[E2E_Site_AC]]-Table_SiteMilestoneTracking[[#This Row],[E2E_Site_BL]],"")</f>
        <v/>
      </c>
      <c r="CA83" s="66" t="str">
        <f>IF(Table_SiteMilestoneTracking[[#This Row],[CurrentSiteMilestone]]="SiteInOperations",Table_SiteMilestoneTracking[[#This Row],[SiteInOperations_AC]]-Table_SiteMilestoneTracking[[#This Row],[SiteAccepted_AC]],"")</f>
        <v/>
      </c>
      <c r="CB83" s="79"/>
      <c r="CC83" s="89"/>
      <c r="CD83" s="89"/>
      <c r="CE83" s="70"/>
      <c r="CF83" s="70"/>
      <c r="CG83" s="70"/>
      <c r="CH83" s="70"/>
      <c r="CI83" s="70"/>
      <c r="CJ83" s="70"/>
      <c r="CK83" s="70"/>
      <c r="CL83" s="70"/>
      <c r="CM83" s="70"/>
      <c r="CN83" s="70"/>
      <c r="CO83" s="70"/>
      <c r="CP83" s="70"/>
      <c r="CQ83" s="70"/>
      <c r="CR83" s="70"/>
      <c r="CS83" s="70"/>
      <c r="CT83" s="70"/>
      <c r="CU83" s="70"/>
      <c r="CV83" s="70"/>
      <c r="CW83" s="70"/>
      <c r="CX83" s="70"/>
      <c r="CY83" s="70"/>
      <c r="CZ83" s="70"/>
      <c r="DA83" s="70"/>
      <c r="DB83" s="70"/>
      <c r="DC83" s="70"/>
      <c r="DD83" s="70"/>
      <c r="DE83" s="70"/>
      <c r="DF83" s="70"/>
      <c r="DG83" s="70"/>
      <c r="DH83" s="70"/>
      <c r="DI83" s="70"/>
      <c r="DJ83" s="70"/>
      <c r="DK83" s="70"/>
      <c r="DL83" s="70"/>
      <c r="DM83" s="70"/>
      <c r="DN83" s="70"/>
      <c r="DO83" s="70"/>
      <c r="DP83" s="70"/>
      <c r="DQ83" s="70"/>
      <c r="DR83" s="70"/>
      <c r="DS83" s="70"/>
      <c r="DT83" s="70"/>
      <c r="DU83" s="70"/>
      <c r="DV83" s="70"/>
    </row>
    <row r="84" spans="1:126" x14ac:dyDescent="0.3">
      <c r="A84" s="79" t="str">
        <f>'4. Design Tracking Summary'!A85</f>
        <v>JU00157</v>
      </c>
      <c r="B84" s="79" t="str">
        <f>'4. Design Tracking Summary'!B85</f>
        <v>Center</v>
      </c>
      <c r="C84" s="79" t="str">
        <f>'4. Design Tracking Summary'!C85</f>
        <v>CHI</v>
      </c>
      <c r="D84" s="79" t="str">
        <f>'4. Design Tracking Summary'!D85</f>
        <v>SMALL</v>
      </c>
      <c r="E84" s="79" t="s">
        <v>57</v>
      </c>
      <c r="F84" s="79"/>
      <c r="G84" s="60" t="str">
        <f>IFERROR(INDEX(Table_SiteMilestonesNames[SiteMilestoneName],COUNTA(Table_SiteMilestoneTracking[[#This Row],[SiteDesignStarted_AC]],Table_SiteMilestoneTracking[[#This Row],[SiteDesignReady_AC]],Table_SiteMilestoneTracking[[#This Row],[SiteSurveyCompleted_AC]],Table_SiteMilestoneTracking[[#This Row],[SiteAcquired_AC]],Table_SiteMilestoneTracking[[#This Row],[SiteReadyForCW_AC]],Table_SiteMilestoneTracking[[#This Row],[SiteReadyForPower_AC]],Table_SiteMilestoneTracking[[#This Row],[TXReady_AC]],Table_SiteMilestoneTracking[[#This Row],[SiteReadyForInstallation_AC]],Table_SiteMilestoneTracking[[#This Row],[SiteReadyForIntegration_AC]],Table_SiteMilestoneTracking[[#This Row],[SiteOnAir_AC]],Table_SiteMilestoneTracking[[#This Row],[SiteAccepted_AC]],Table_SiteMilestoneTracking[[#This Row],[SiteInOperations_AC]])+1),"Invalid Milestone")</f>
        <v>SiteAcquired</v>
      </c>
      <c r="H84" s="61">
        <f>Table_SiteMilestoneTracking[[#This Row],[c0_SiteDesignCostBL]]+Table_SiteMilestoneTracking[[#This Row],[c1_SiteSurveyCostBL]]+Table_SiteMilestoneTracking[[#This Row],[c2_SiteAcquisitionCostBL]]+Table_SiteMilestoneTracking[[#This Row],[c3_CivilWorksCostBL]]+Table_SiteMilestoneTracking[[#This Row],[c4_PowerInstallCostBL]]+Table_SiteMilestoneTracking[[#This Row],[c5_TxintegrationCostBL]]+Table_SiteMilestoneTracking[[#This Row],[c6_InstallationCostBL]]+Table_SiteMilestoneTracking[[#This Row],[c7_IntegrationCostBL]]+Table_SiteMilestoneTracking[[#This Row],[c8_AcceptanceCostBL]]+Table_SiteMilestoneTracking[[#This Row],[c9_HandoverCostBL]]</f>
        <v>7550</v>
      </c>
      <c r="I84" s="62">
        <f>Table_SiteMilestoneTracking[[#This Row],[c0_SiteDesignCostAC]]+Table_SiteMilestoneTracking[[#This Row],[c1_SiteSurveyCostAC]]+Table_SiteMilestoneTracking[[#This Row],[c2_SiteAcquisitionCostAC]]+Table_SiteMilestoneTracking[[#This Row],[c3_CivilWorksCostAC]]+Table_SiteMilestoneTracking[[#This Row],[c4_PowerInstallCostAC]]+Table_SiteMilestoneTracking[[#This Row],[c5_TxintegrationCostAC]]+Table_SiteMilestoneTracking[[#This Row],[c6_InstallationCostAC]]+Table_SiteMilestoneTracking[[#This Row],[c7_IntegrationCostAC]]+Table_SiteMilestoneTracking[[#This Row],[c8_AcceptanceCostAC]]+Table_SiteMilestoneTracking[[#This Row],[c9_HandoverCostAC]]</f>
        <v>1425</v>
      </c>
      <c r="J84" s="84">
        <v>44018</v>
      </c>
      <c r="K84" s="84">
        <v>44020</v>
      </c>
      <c r="L84" s="64">
        <f>IF(ISBLANK(Table_SiteMilestoneTracking[[#This Row],[SiteDesignStarted_AC]])=FALSE,Table_SiteMilestoneTracking[[#This Row],[SiteDesignStarted_AC]]-Table_SiteMilestoneTracking[[#This Row],[SiteDesignStarted_BL]],"")</f>
        <v>2</v>
      </c>
      <c r="M84" s="64">
        <f t="shared" si="11"/>
        <v>500</v>
      </c>
      <c r="N84" s="87">
        <v>580</v>
      </c>
      <c r="O84" s="63">
        <f>Table_SiteMilestoneTracking[[#This Row],[SiteDesignStarted_BL]]+t0_SiteDesignDelayBL</f>
        <v>44020</v>
      </c>
      <c r="P84" s="84">
        <v>44021</v>
      </c>
      <c r="Q84" s="64">
        <f>IF(ISBLANK(Table_SiteMilestoneTracking[[#This Row],[SiteDesignReady_AC]])=FALSE,Table_SiteMilestoneTracking[[#This Row],[SiteDesignReady_AC]]-Table_SiteMilestoneTracking[[#This Row],[SiteDesignReady_BL]],"-")</f>
        <v>1</v>
      </c>
      <c r="R84" s="64">
        <f t="shared" si="16"/>
        <v>500</v>
      </c>
      <c r="S84" s="82">
        <v>425</v>
      </c>
      <c r="T84" s="63">
        <f>Table_SiteMilestoneTracking[[#This Row],[SiteDesignReady_BL]]+t1_SiteSurveyBL</f>
        <v>44022</v>
      </c>
      <c r="U84" s="84">
        <v>44024</v>
      </c>
      <c r="V84" s="64">
        <f>IF(ISBLANK(Table_SiteMilestoneTracking[[#This Row],[SiteSurveyCompleted_AC]])=FALSE,Table_SiteMilestoneTracking[[#This Row],[SiteSurveyCompleted_AC]]-Table_SiteMilestoneTracking[[#This Row],[SiteDesignReady_AC]],"-")</f>
        <v>3</v>
      </c>
      <c r="W84" s="64">
        <f t="shared" si="12"/>
        <v>600</v>
      </c>
      <c r="X84" s="82">
        <v>420</v>
      </c>
      <c r="Y84" s="63">
        <f>Table_SiteMilestoneTracking[[#This Row],[SiteSurveyCompleted_BL]]+t2_SiteAcquisitionBL</f>
        <v>44033</v>
      </c>
      <c r="Z84" s="84">
        <v>44036</v>
      </c>
      <c r="AA84" s="65">
        <f>IF(ISBLANK(Table_SiteMilestoneTracking[[#This Row],[SiteAcquired_AC]])=FALSE,Table_SiteMilestoneTracking[[#This Row],[SiteAcquired_AC]]-Table_SiteMilestoneTracking[[#This Row],[SiteAcquired_BL]],"-")</f>
        <v>3</v>
      </c>
      <c r="AB84" s="65">
        <f>IF(ISBLANK(Table_SiteMilestoneTracking[[#This Row],[SiteAcquired_AC]])=FALSE,Table_SiteMilestoneTracking[[#This Row],[SiteAcquired_AC]]-Table_SiteMilestoneTracking[[#This Row],[SiteSurveyCompleted_AC]],"-")</f>
        <v>12</v>
      </c>
      <c r="AC84" s="64">
        <f t="shared" si="13"/>
        <v>150</v>
      </c>
      <c r="AD84" s="82"/>
      <c r="AE84" s="63">
        <f>Table_SiteMilestoneTracking[[#This Row],[SiteAcquired_BL]]+t2a_SiteCWReadinessBL</f>
        <v>44035</v>
      </c>
      <c r="AF84" s="84"/>
      <c r="AG84" s="66" t="str">
        <f>IF(ISBLANK(Table_SiteMilestoneTracking[[#This Row],[SiteReadyForCW_AC]])=FALSE,Table_SiteMilestoneTracking[[#This Row],[SiteReadyForCW_AC]]-Table_SiteMilestoneTracking[[#This Row],[SiteReadyForCW_BL]],"-")</f>
        <v>-</v>
      </c>
      <c r="AH84" s="66" t="str">
        <f>IF(ISBLANK(Table_SiteMilestoneTracking[[#This Row],[SiteReadyForCW_AC]])=FALSE,Table_SiteMilestoneTracking[[#This Row],[SiteReadyForCW_AC]]-Table_SiteMilestoneTracking[[#This Row],[SiteDesignReady_AC]],"-")</f>
        <v>-</v>
      </c>
      <c r="AI84" s="64">
        <f t="shared" si="14"/>
        <v>1500</v>
      </c>
      <c r="AJ84" s="82"/>
      <c r="AK84" s="63">
        <f>Table_SiteMilestoneTracking[[#This Row],[SiteReadyForCW_BL]]+t3_CivilWorksBL</f>
        <v>44043</v>
      </c>
      <c r="AL84" s="84"/>
      <c r="AM84" s="64" t="str">
        <f>IF(ISBLANK(Table_SiteMilestoneTracking[[#This Row],[SiteReadyForPower_AC]])=FALSE,Table_SiteMilestoneTracking[[#This Row],[SiteReadyForPower_AC]]-Table_SiteMilestoneTracking[[#This Row],[SiteReadyForPower_BL]],"-")</f>
        <v>-</v>
      </c>
      <c r="AN84" s="64" t="str">
        <f>IF(ISBLANK(Table_SiteMilestoneTracking[[#This Row],[SiteReadyForPower_AC]])=FALSE,Table_SiteMilestoneTracking[[#This Row],[SiteReadyForPower_AC]]-Table_SiteMilestoneTracking[[#This Row],[SiteReadyForCW_AC]],"-")</f>
        <v>-</v>
      </c>
      <c r="AO84" s="64">
        <f t="shared" si="15"/>
        <v>500</v>
      </c>
      <c r="AP84" s="82"/>
      <c r="AQ84" s="63">
        <f>Table_SiteMilestoneTracking[[#This Row],[SiteReadyForPower_BL]]+t4_PowerInstallBL</f>
        <v>44048</v>
      </c>
      <c r="AR84" s="84"/>
      <c r="AS84" s="64" t="str">
        <f>IF(ISBLANK(Table_SiteMilestoneTracking[[#This Row],[TXReady_AC]])=FALSE,Table_SiteMilestoneTracking[[#This Row],[TXReady_AC]]-Table_SiteMilestoneTracking[[#This Row],[TXReady_BL]],"-")</f>
        <v>-</v>
      </c>
      <c r="AT84" s="64" t="str">
        <f>IF(ISBLANK(Table_SiteMilestoneTracking[[#This Row],[TXReady_AC]])=FALSE,Table_SiteMilestoneTracking[[#This Row],[TXReady_AC]]-Table_SiteMilestoneTracking[[#This Row],[SiteReadyForPower_AC]],"-")</f>
        <v>-</v>
      </c>
      <c r="AU84" s="64">
        <f>$AU$2</f>
        <v>500</v>
      </c>
      <c r="AV84" s="82"/>
      <c r="AW84" s="63">
        <f>Table_SiteMilestoneTracking[[#This Row],[TXReady_BL]]+t5_TxintegrationBL</f>
        <v>44055</v>
      </c>
      <c r="AX84" s="84"/>
      <c r="AY84" s="64" t="str">
        <f>IF(ISBLANK(Table_SiteMilestoneTracking[[#This Row],[SiteReadyForInstallation_AC]])=FALSE,Table_SiteMilestoneTracking[[#This Row],[SiteReadyForInstallation_AC]]-Table_SiteMilestoneTracking[[#This Row],[SiteReadyForInstallation_BL]],"-")</f>
        <v>-</v>
      </c>
      <c r="AZ84" s="64" t="str">
        <f>IF(ISBLANK(Table_SiteMilestoneTracking[[#This Row],[SiteReadyForInstallation_AC]])=FALSE,Table_SiteMilestoneTracking[[#This Row],[SiteReadyForInstallation_AC]]-Table_SiteMilestoneTracking[[#This Row],[TXReady_AC]],"-")</f>
        <v>-</v>
      </c>
      <c r="BA84" s="64">
        <f>$BA$2</f>
        <v>2500</v>
      </c>
      <c r="BB84" s="82"/>
      <c r="BC84" s="63">
        <f>Table_SiteMilestoneTracking[[#This Row],[SiteReadyForInstallation_BL]]+t6_InstallationBL</f>
        <v>44059</v>
      </c>
      <c r="BD84" s="84"/>
      <c r="BE84" s="64" t="str">
        <f>IF(ISBLANK(Table_SiteMilestoneTracking[[#This Row],[SiteReadyForIntegration_AC]])=FALSE,Table_SiteMilestoneTracking[[#This Row],[SiteReadyForIntegration_AC]]-Table_SiteMilestoneTracking[[#This Row],[SiteReadyForIntegration_BL]],"-")</f>
        <v>-</v>
      </c>
      <c r="BF84" s="64" t="str">
        <f>IF(ISBLANK(Table_SiteMilestoneTracking[[#This Row],[SiteReadyForIntegration_AC]])=FALSE,Table_SiteMilestoneTracking[[#This Row],[SiteReadyForIntegration_AC]]-Table_SiteMilestoneTracking[[#This Row],[SiteReadyForInstallation_AC]],"-")</f>
        <v>-</v>
      </c>
      <c r="BG84" s="64">
        <f>$BG$2</f>
        <v>500</v>
      </c>
      <c r="BH84" s="82"/>
      <c r="BI84" s="63">
        <f>Table_SiteMilestoneTracking[[#This Row],[SiteReadyForIntegration_BL]]+t7_IntegrationBL</f>
        <v>44063</v>
      </c>
      <c r="BJ84" s="84"/>
      <c r="BK84" s="64" t="str">
        <f>IF(ISBLANK(Table_SiteMilestoneTracking[[#This Row],[SiteOnAir_AC]])=FALSE,Table_SiteMilestoneTracking[[#This Row],[SiteOnAir_AC]]-Table_SiteMilestoneTracking[[#This Row],[SiteOnAir_BL]],"-")</f>
        <v>-</v>
      </c>
      <c r="BL84" s="64" t="str">
        <f>IF(ISBLANK(Table_SiteMilestoneTracking[[#This Row],[SiteOnAir_AC]])=FALSE,Table_SiteMilestoneTracking[[#This Row],[SiteOnAir_AC]]-Table_SiteMilestoneTracking[[#This Row],[SiteReadyForIntegration_AC]],"-")</f>
        <v>-</v>
      </c>
      <c r="BM84" s="64">
        <f>$BM$2</f>
        <v>250</v>
      </c>
      <c r="BN84" s="82"/>
      <c r="BO84" s="63">
        <f>Table_SiteMilestoneTracking[[#This Row],[SiteOnAir_BL]]+t8_AcceptanceBL</f>
        <v>44067</v>
      </c>
      <c r="BP84" s="84"/>
      <c r="BQ84" s="64" t="str">
        <f>IF(ISBLANK(Table_SiteMilestoneTracking[[#This Row],[SiteAccepted_AC]])=FALSE,Table_SiteMilestoneTracking[[#This Row],[SiteAccepted_AC]]-Table_SiteMilestoneTracking[[#This Row],[SiteAccepted_BL]],"-")</f>
        <v>-</v>
      </c>
      <c r="BR84" s="64" t="str">
        <f>IF(ISBLANK(Table_SiteMilestoneTracking[[#This Row],[SiteAccepted_AC]])=FALSE,Table_SiteMilestoneTracking[[#This Row],[SiteAccepted_AC]]-Table_SiteMilestoneTracking[[#This Row],[SiteOnAir_AC]],"-")</f>
        <v>-</v>
      </c>
      <c r="BS84" s="64">
        <f>$BS$2</f>
        <v>200</v>
      </c>
      <c r="BT84" s="82"/>
      <c r="BU84" s="63">
        <f>Table_SiteMilestoneTracking[[#This Row],[SiteAccepted_BL]]+t9_HandoverBL</f>
        <v>44075</v>
      </c>
      <c r="BV84" s="84"/>
      <c r="BW84" s="64" t="str">
        <f>IF(ISBLANK(Table_SiteMilestoneTracking[[#This Row],[SiteInOperations_AC]])=FALSE,Table_SiteMilestoneTracking[[#This Row],[SiteInOperations_AC]]-Table_SiteMilestoneTracking[[#This Row],[SiteInOperations_BL]],"-")</f>
        <v>-</v>
      </c>
      <c r="BX84" s="66">
        <f>Table_SiteMilestoneTracking[[#This Row],[SiteInOperations_BL]]-Table_SiteMilestoneTracking[[#This Row],[SiteDesignReady_BL]]</f>
        <v>55</v>
      </c>
      <c r="BY84" s="66" t="str">
        <f>IF(Table_SiteMilestoneTracking[[#This Row],[CurrentSiteMilestone]]="SiteInOperations",Table_SiteMilestoneTracking[[#This Row],[SiteInOperations_AC]]-Table_SiteMilestoneTracking[[#This Row],[SiteDesignReady_AC]],"")</f>
        <v/>
      </c>
      <c r="BZ84" s="66" t="str">
        <f>IFERROR(Table_SiteMilestoneTracking[[#This Row],[E2E_Site_AC]]-Table_SiteMilestoneTracking[[#This Row],[E2E_Site_BL]],"")</f>
        <v/>
      </c>
      <c r="CA84" s="66" t="str">
        <f>IF(Table_SiteMilestoneTracking[[#This Row],[CurrentSiteMilestone]]="SiteInOperations",Table_SiteMilestoneTracking[[#This Row],[SiteInOperations_AC]]-Table_SiteMilestoneTracking[[#This Row],[SiteAccepted_AC]],"")</f>
        <v/>
      </c>
      <c r="CB84" s="79"/>
      <c r="CC84" s="89"/>
      <c r="CD84" s="89"/>
      <c r="CE84" s="70"/>
      <c r="CF84" s="70"/>
      <c r="CG84" s="70"/>
      <c r="CH84" s="70"/>
      <c r="CI84" s="70"/>
      <c r="CJ84" s="70"/>
      <c r="CK84" s="70"/>
      <c r="CL84" s="70"/>
      <c r="CM84" s="70"/>
      <c r="CN84" s="70"/>
      <c r="CO84" s="70"/>
      <c r="CP84" s="70"/>
      <c r="CQ84" s="70"/>
      <c r="CR84" s="70"/>
      <c r="CS84" s="70"/>
      <c r="CT84" s="70"/>
      <c r="CU84" s="70"/>
      <c r="CV84" s="70"/>
      <c r="CW84" s="70"/>
      <c r="CX84" s="70"/>
      <c r="CY84" s="70"/>
      <c r="CZ84" s="70"/>
      <c r="DA84" s="70"/>
      <c r="DB84" s="70"/>
      <c r="DC84" s="70"/>
      <c r="DD84" s="70"/>
      <c r="DE84" s="70"/>
      <c r="DF84" s="70"/>
      <c r="DG84" s="70"/>
      <c r="DH84" s="70"/>
      <c r="DI84" s="70"/>
      <c r="DJ84" s="70"/>
      <c r="DK84" s="70"/>
      <c r="DL84" s="70"/>
      <c r="DM84" s="70"/>
      <c r="DN84" s="70"/>
      <c r="DO84" s="70"/>
      <c r="DP84" s="70"/>
      <c r="DQ84" s="70"/>
      <c r="DR84" s="70"/>
      <c r="DS84" s="70"/>
      <c r="DT84" s="70"/>
      <c r="DU84" s="70"/>
      <c r="DV84" s="70"/>
    </row>
    <row r="85" spans="1:126" x14ac:dyDescent="0.3">
      <c r="A85" s="79" t="str">
        <f>'4. Design Tracking Summary'!A86</f>
        <v>JU00247</v>
      </c>
      <c r="B85" s="79" t="str">
        <f>'4. Design Tracking Summary'!B86</f>
        <v>Center</v>
      </c>
      <c r="C85" s="79" t="str">
        <f>'4. Design Tracking Summary'!C86</f>
        <v>MTY</v>
      </c>
      <c r="D85" s="79" t="str">
        <f>'4. Design Tracking Summary'!D86</f>
        <v>MACRO</v>
      </c>
      <c r="E85" s="79" t="s">
        <v>58</v>
      </c>
      <c r="F85" s="79"/>
      <c r="G85" s="60" t="str">
        <f>IFERROR(INDEX(Table_SiteMilestonesNames[SiteMilestoneName],COUNTA(Table_SiteMilestoneTracking[[#This Row],[SiteDesignStarted_AC]],Table_SiteMilestoneTracking[[#This Row],[SiteDesignReady_AC]],Table_SiteMilestoneTracking[[#This Row],[SiteSurveyCompleted_AC]],Table_SiteMilestoneTracking[[#This Row],[SiteAcquired_AC]],Table_SiteMilestoneTracking[[#This Row],[SiteReadyForCW_AC]],Table_SiteMilestoneTracking[[#This Row],[SiteReadyForPower_AC]],Table_SiteMilestoneTracking[[#This Row],[TXReady_AC]],Table_SiteMilestoneTracking[[#This Row],[SiteReadyForInstallation_AC]],Table_SiteMilestoneTracking[[#This Row],[SiteReadyForIntegration_AC]],Table_SiteMilestoneTracking[[#This Row],[SiteOnAir_AC]],Table_SiteMilestoneTracking[[#This Row],[SiteAccepted_AC]],Table_SiteMilestoneTracking[[#This Row],[SiteInOperations_AC]])+1),"Invalid Milestone")</f>
        <v>SiteAcquired</v>
      </c>
      <c r="H85" s="61">
        <f>Table_SiteMilestoneTracking[[#This Row],[c0_SiteDesignCostBL]]+Table_SiteMilestoneTracking[[#This Row],[c1_SiteSurveyCostBL]]+Table_SiteMilestoneTracking[[#This Row],[c2_SiteAcquisitionCostBL]]+Table_SiteMilestoneTracking[[#This Row],[c3_CivilWorksCostBL]]+Table_SiteMilestoneTracking[[#This Row],[c4_PowerInstallCostBL]]+Table_SiteMilestoneTracking[[#This Row],[c5_TxintegrationCostBL]]+Table_SiteMilestoneTracking[[#This Row],[c6_InstallationCostBL]]+Table_SiteMilestoneTracking[[#This Row],[c7_IntegrationCostBL]]+Table_SiteMilestoneTracking[[#This Row],[c8_AcceptanceCostBL]]+Table_SiteMilestoneTracking[[#This Row],[c9_HandoverCostBL]]</f>
        <v>7550</v>
      </c>
      <c r="I85" s="62">
        <f>Table_SiteMilestoneTracking[[#This Row],[c0_SiteDesignCostAC]]+Table_SiteMilestoneTracking[[#This Row],[c1_SiteSurveyCostAC]]+Table_SiteMilestoneTracking[[#This Row],[c2_SiteAcquisitionCostAC]]+Table_SiteMilestoneTracking[[#This Row],[c3_CivilWorksCostAC]]+Table_SiteMilestoneTracking[[#This Row],[c4_PowerInstallCostAC]]+Table_SiteMilestoneTracking[[#This Row],[c5_TxintegrationCostAC]]+Table_SiteMilestoneTracking[[#This Row],[c6_InstallationCostAC]]+Table_SiteMilestoneTracking[[#This Row],[c7_IntegrationCostAC]]+Table_SiteMilestoneTracking[[#This Row],[c8_AcceptanceCostAC]]+Table_SiteMilestoneTracking[[#This Row],[c9_HandoverCostAC]]</f>
        <v>1655</v>
      </c>
      <c r="J85" s="84">
        <v>44018</v>
      </c>
      <c r="K85" s="84">
        <v>44019</v>
      </c>
      <c r="L85" s="64">
        <f>IF(ISBLANK(Table_SiteMilestoneTracking[[#This Row],[SiteDesignStarted_AC]])=FALSE,Table_SiteMilestoneTracking[[#This Row],[SiteDesignStarted_AC]]-Table_SiteMilestoneTracking[[#This Row],[SiteDesignStarted_BL]],"")</f>
        <v>1</v>
      </c>
      <c r="M85" s="64">
        <f t="shared" si="11"/>
        <v>500</v>
      </c>
      <c r="N85" s="87">
        <v>440</v>
      </c>
      <c r="O85" s="63">
        <f>Table_SiteMilestoneTracking[[#This Row],[SiteDesignStarted_BL]]+t0_SiteDesignDelayBL</f>
        <v>44020</v>
      </c>
      <c r="P85" s="84">
        <v>44020</v>
      </c>
      <c r="Q85" s="64">
        <f>IF(ISBLANK(Table_SiteMilestoneTracking[[#This Row],[SiteDesignReady_AC]])=FALSE,Table_SiteMilestoneTracking[[#This Row],[SiteDesignReady_AC]]-Table_SiteMilestoneTracking[[#This Row],[SiteDesignReady_BL]],"-")</f>
        <v>0</v>
      </c>
      <c r="R85" s="64">
        <f t="shared" si="16"/>
        <v>500</v>
      </c>
      <c r="S85" s="82">
        <v>675</v>
      </c>
      <c r="T85" s="63">
        <f>Table_SiteMilestoneTracking[[#This Row],[SiteDesignReady_BL]]+t1_SiteSurveyBL</f>
        <v>44022</v>
      </c>
      <c r="U85" s="84">
        <v>44022</v>
      </c>
      <c r="V85" s="64">
        <f>IF(ISBLANK(Table_SiteMilestoneTracking[[#This Row],[SiteSurveyCompleted_AC]])=FALSE,Table_SiteMilestoneTracking[[#This Row],[SiteSurveyCompleted_AC]]-Table_SiteMilestoneTracking[[#This Row],[SiteDesignReady_AC]],"-")</f>
        <v>2</v>
      </c>
      <c r="W85" s="64">
        <f t="shared" si="12"/>
        <v>600</v>
      </c>
      <c r="X85" s="82">
        <v>540</v>
      </c>
      <c r="Y85" s="63">
        <f>Table_SiteMilestoneTracking[[#This Row],[SiteSurveyCompleted_BL]]+t2_SiteAcquisitionBL</f>
        <v>44033</v>
      </c>
      <c r="Z85" s="84">
        <v>44034</v>
      </c>
      <c r="AA85" s="65">
        <f>IF(ISBLANK(Table_SiteMilestoneTracking[[#This Row],[SiteAcquired_AC]])=FALSE,Table_SiteMilestoneTracking[[#This Row],[SiteAcquired_AC]]-Table_SiteMilestoneTracking[[#This Row],[SiteAcquired_BL]],"-")</f>
        <v>1</v>
      </c>
      <c r="AB85" s="65">
        <f>IF(ISBLANK(Table_SiteMilestoneTracking[[#This Row],[SiteAcquired_AC]])=FALSE,Table_SiteMilestoneTracking[[#This Row],[SiteAcquired_AC]]-Table_SiteMilestoneTracking[[#This Row],[SiteSurveyCompleted_AC]],"-")</f>
        <v>12</v>
      </c>
      <c r="AC85" s="64">
        <f t="shared" si="13"/>
        <v>150</v>
      </c>
      <c r="AD85" s="82"/>
      <c r="AE85" s="63">
        <f>Table_SiteMilestoneTracking[[#This Row],[SiteAcquired_BL]]+t2a_SiteCWReadinessBL</f>
        <v>44035</v>
      </c>
      <c r="AF85" s="84"/>
      <c r="AG85" s="66" t="str">
        <f>IF(ISBLANK(Table_SiteMilestoneTracking[[#This Row],[SiteReadyForCW_AC]])=FALSE,Table_SiteMilestoneTracking[[#This Row],[SiteReadyForCW_AC]]-Table_SiteMilestoneTracking[[#This Row],[SiteReadyForCW_BL]],"-")</f>
        <v>-</v>
      </c>
      <c r="AH85" s="66" t="str">
        <f>IF(ISBLANK(Table_SiteMilestoneTracking[[#This Row],[SiteReadyForCW_AC]])=FALSE,Table_SiteMilestoneTracking[[#This Row],[SiteReadyForCW_AC]]-Table_SiteMilestoneTracking[[#This Row],[SiteDesignReady_AC]],"-")</f>
        <v>-</v>
      </c>
      <c r="AI85" s="64">
        <f t="shared" si="14"/>
        <v>1500</v>
      </c>
      <c r="AJ85" s="82"/>
      <c r="AK85" s="63">
        <f>Table_SiteMilestoneTracking[[#This Row],[SiteReadyForCW_BL]]+t3_CivilWorksBL</f>
        <v>44043</v>
      </c>
      <c r="AL85" s="84"/>
      <c r="AM85" s="64" t="str">
        <f>IF(ISBLANK(Table_SiteMilestoneTracking[[#This Row],[SiteReadyForPower_AC]])=FALSE,Table_SiteMilestoneTracking[[#This Row],[SiteReadyForPower_AC]]-Table_SiteMilestoneTracking[[#This Row],[SiteReadyForPower_BL]],"-")</f>
        <v>-</v>
      </c>
      <c r="AN85" s="64" t="str">
        <f>IF(ISBLANK(Table_SiteMilestoneTracking[[#This Row],[SiteReadyForPower_AC]])=FALSE,Table_SiteMilestoneTracking[[#This Row],[SiteReadyForPower_AC]]-Table_SiteMilestoneTracking[[#This Row],[SiteReadyForCW_AC]],"-")</f>
        <v>-</v>
      </c>
      <c r="AO85" s="64">
        <f t="shared" si="15"/>
        <v>500</v>
      </c>
      <c r="AP85" s="82"/>
      <c r="AQ85" s="63">
        <f>Table_SiteMilestoneTracking[[#This Row],[SiteReadyForPower_BL]]+t4_PowerInstallBL</f>
        <v>44048</v>
      </c>
      <c r="AR85" s="84"/>
      <c r="AS85" s="64" t="str">
        <f>IF(ISBLANK(Table_SiteMilestoneTracking[[#This Row],[TXReady_AC]])=FALSE,Table_SiteMilestoneTracking[[#This Row],[TXReady_AC]]-Table_SiteMilestoneTracking[[#This Row],[TXReady_BL]],"-")</f>
        <v>-</v>
      </c>
      <c r="AT85" s="64" t="str">
        <f>IF(ISBLANK(Table_SiteMilestoneTracking[[#This Row],[TXReady_AC]])=FALSE,Table_SiteMilestoneTracking[[#This Row],[TXReady_AC]]-Table_SiteMilestoneTracking[[#This Row],[SiteReadyForPower_AC]],"-")</f>
        <v>-</v>
      </c>
      <c r="AU85" s="64">
        <f>$AU$2</f>
        <v>500</v>
      </c>
      <c r="AV85" s="82"/>
      <c r="AW85" s="63">
        <f>Table_SiteMilestoneTracking[[#This Row],[TXReady_BL]]+t5_TxintegrationBL</f>
        <v>44055</v>
      </c>
      <c r="AX85" s="84"/>
      <c r="AY85" s="64" t="str">
        <f>IF(ISBLANK(Table_SiteMilestoneTracking[[#This Row],[SiteReadyForInstallation_AC]])=FALSE,Table_SiteMilestoneTracking[[#This Row],[SiteReadyForInstallation_AC]]-Table_SiteMilestoneTracking[[#This Row],[SiteReadyForInstallation_BL]],"-")</f>
        <v>-</v>
      </c>
      <c r="AZ85" s="64" t="str">
        <f>IF(ISBLANK(Table_SiteMilestoneTracking[[#This Row],[SiteReadyForInstallation_AC]])=FALSE,Table_SiteMilestoneTracking[[#This Row],[SiteReadyForInstallation_AC]]-Table_SiteMilestoneTracking[[#This Row],[TXReady_AC]],"-")</f>
        <v>-</v>
      </c>
      <c r="BA85" s="64">
        <f>$BA$2</f>
        <v>2500</v>
      </c>
      <c r="BB85" s="82"/>
      <c r="BC85" s="63">
        <f>Table_SiteMilestoneTracking[[#This Row],[SiteReadyForInstallation_BL]]+t6_InstallationBL</f>
        <v>44059</v>
      </c>
      <c r="BD85" s="84"/>
      <c r="BE85" s="64" t="str">
        <f>IF(ISBLANK(Table_SiteMilestoneTracking[[#This Row],[SiteReadyForIntegration_AC]])=FALSE,Table_SiteMilestoneTracking[[#This Row],[SiteReadyForIntegration_AC]]-Table_SiteMilestoneTracking[[#This Row],[SiteReadyForIntegration_BL]],"-")</f>
        <v>-</v>
      </c>
      <c r="BF85" s="64" t="str">
        <f>IF(ISBLANK(Table_SiteMilestoneTracking[[#This Row],[SiteReadyForIntegration_AC]])=FALSE,Table_SiteMilestoneTracking[[#This Row],[SiteReadyForIntegration_AC]]-Table_SiteMilestoneTracking[[#This Row],[SiteReadyForInstallation_AC]],"-")</f>
        <v>-</v>
      </c>
      <c r="BG85" s="64">
        <f>$BG$2</f>
        <v>500</v>
      </c>
      <c r="BH85" s="82"/>
      <c r="BI85" s="63">
        <f>Table_SiteMilestoneTracking[[#This Row],[SiteReadyForIntegration_BL]]+t7_IntegrationBL</f>
        <v>44063</v>
      </c>
      <c r="BJ85" s="84"/>
      <c r="BK85" s="64" t="str">
        <f>IF(ISBLANK(Table_SiteMilestoneTracking[[#This Row],[SiteOnAir_AC]])=FALSE,Table_SiteMilestoneTracking[[#This Row],[SiteOnAir_AC]]-Table_SiteMilestoneTracking[[#This Row],[SiteOnAir_BL]],"-")</f>
        <v>-</v>
      </c>
      <c r="BL85" s="64" t="str">
        <f>IF(ISBLANK(Table_SiteMilestoneTracking[[#This Row],[SiteOnAir_AC]])=FALSE,Table_SiteMilestoneTracking[[#This Row],[SiteOnAir_AC]]-Table_SiteMilestoneTracking[[#This Row],[SiteReadyForIntegration_AC]],"-")</f>
        <v>-</v>
      </c>
      <c r="BM85" s="64">
        <f>$BM$2</f>
        <v>250</v>
      </c>
      <c r="BN85" s="82"/>
      <c r="BO85" s="63">
        <f>Table_SiteMilestoneTracking[[#This Row],[SiteOnAir_BL]]+t8_AcceptanceBL</f>
        <v>44067</v>
      </c>
      <c r="BP85" s="84"/>
      <c r="BQ85" s="64" t="str">
        <f>IF(ISBLANK(Table_SiteMilestoneTracking[[#This Row],[SiteAccepted_AC]])=FALSE,Table_SiteMilestoneTracking[[#This Row],[SiteAccepted_AC]]-Table_SiteMilestoneTracking[[#This Row],[SiteAccepted_BL]],"-")</f>
        <v>-</v>
      </c>
      <c r="BR85" s="64" t="str">
        <f>IF(ISBLANK(Table_SiteMilestoneTracking[[#This Row],[SiteAccepted_AC]])=FALSE,Table_SiteMilestoneTracking[[#This Row],[SiteAccepted_AC]]-Table_SiteMilestoneTracking[[#This Row],[SiteOnAir_AC]],"-")</f>
        <v>-</v>
      </c>
      <c r="BS85" s="64">
        <f>$BS$2</f>
        <v>200</v>
      </c>
      <c r="BT85" s="82"/>
      <c r="BU85" s="63">
        <f>Table_SiteMilestoneTracking[[#This Row],[SiteAccepted_BL]]+t9_HandoverBL</f>
        <v>44075</v>
      </c>
      <c r="BV85" s="84"/>
      <c r="BW85" s="64" t="str">
        <f>IF(ISBLANK(Table_SiteMilestoneTracking[[#This Row],[SiteInOperations_AC]])=FALSE,Table_SiteMilestoneTracking[[#This Row],[SiteInOperations_AC]]-Table_SiteMilestoneTracking[[#This Row],[SiteInOperations_BL]],"-")</f>
        <v>-</v>
      </c>
      <c r="BX85" s="66">
        <f>Table_SiteMilestoneTracking[[#This Row],[SiteInOperations_BL]]-Table_SiteMilestoneTracking[[#This Row],[SiteDesignReady_BL]]</f>
        <v>55</v>
      </c>
      <c r="BY85" s="66" t="str">
        <f>IF(Table_SiteMilestoneTracking[[#This Row],[CurrentSiteMilestone]]="SiteInOperations",Table_SiteMilestoneTracking[[#This Row],[SiteInOperations_AC]]-Table_SiteMilestoneTracking[[#This Row],[SiteDesignReady_AC]],"")</f>
        <v/>
      </c>
      <c r="BZ85" s="66" t="str">
        <f>IFERROR(Table_SiteMilestoneTracking[[#This Row],[E2E_Site_AC]]-Table_SiteMilestoneTracking[[#This Row],[E2E_Site_BL]],"")</f>
        <v/>
      </c>
      <c r="CA85" s="66" t="str">
        <f>IF(Table_SiteMilestoneTracking[[#This Row],[CurrentSiteMilestone]]="SiteInOperations",Table_SiteMilestoneTracking[[#This Row],[SiteInOperations_AC]]-Table_SiteMilestoneTracking[[#This Row],[SiteAccepted_AC]],"")</f>
        <v/>
      </c>
      <c r="CB85" s="79"/>
      <c r="CC85" s="89"/>
      <c r="CD85" s="89"/>
      <c r="CE85" s="70"/>
      <c r="CF85" s="70"/>
      <c r="CG85" s="70"/>
      <c r="CH85" s="70"/>
      <c r="CI85" s="70"/>
      <c r="CJ85" s="70"/>
      <c r="CK85" s="70"/>
      <c r="CL85" s="70"/>
      <c r="CM85" s="70"/>
      <c r="CN85" s="70"/>
      <c r="CO85" s="70"/>
      <c r="CP85" s="70"/>
      <c r="CQ85" s="70"/>
      <c r="CR85" s="70"/>
      <c r="CS85" s="70"/>
      <c r="CT85" s="70"/>
      <c r="CU85" s="70"/>
      <c r="CV85" s="70"/>
      <c r="CW85" s="70"/>
      <c r="CX85" s="70"/>
      <c r="CY85" s="70"/>
      <c r="CZ85" s="70"/>
      <c r="DA85" s="70"/>
      <c r="DB85" s="70"/>
      <c r="DC85" s="70"/>
      <c r="DD85" s="70"/>
      <c r="DE85" s="70"/>
      <c r="DF85" s="70"/>
      <c r="DG85" s="70"/>
      <c r="DH85" s="70"/>
      <c r="DI85" s="70"/>
      <c r="DJ85" s="70"/>
      <c r="DK85" s="70"/>
      <c r="DL85" s="70"/>
      <c r="DM85" s="70"/>
      <c r="DN85" s="70"/>
      <c r="DO85" s="70"/>
      <c r="DP85" s="70"/>
      <c r="DQ85" s="70"/>
      <c r="DR85" s="70"/>
      <c r="DS85" s="70"/>
      <c r="DT85" s="70"/>
      <c r="DU85" s="70"/>
      <c r="DV85" s="70"/>
    </row>
    <row r="86" spans="1:126" x14ac:dyDescent="0.3">
      <c r="A86" s="79" t="str">
        <f>'4. Design Tracking Summary'!A87</f>
        <v>JU00229</v>
      </c>
      <c r="B86" s="79" t="str">
        <f>'4. Design Tracking Summary'!B87</f>
        <v>South</v>
      </c>
      <c r="C86" s="79" t="str">
        <f>'4. Design Tracking Summary'!C87</f>
        <v>ZAC</v>
      </c>
      <c r="D86" s="79" t="str">
        <f>'4. Design Tracking Summary'!D87</f>
        <v>MINI</v>
      </c>
      <c r="E86" s="79" t="s">
        <v>58</v>
      </c>
      <c r="F86" s="79"/>
      <c r="G86" s="60" t="str">
        <f>IFERROR(INDEX(Table_SiteMilestonesNames[SiteMilestoneName],COUNTA(Table_SiteMilestoneTracking[[#This Row],[SiteDesignStarted_AC]],Table_SiteMilestoneTracking[[#This Row],[SiteDesignReady_AC]],Table_SiteMilestoneTracking[[#This Row],[SiteSurveyCompleted_AC]],Table_SiteMilestoneTracking[[#This Row],[SiteAcquired_AC]],Table_SiteMilestoneTracking[[#This Row],[SiteReadyForCW_AC]],Table_SiteMilestoneTracking[[#This Row],[SiteReadyForPower_AC]],Table_SiteMilestoneTracking[[#This Row],[TXReady_AC]],Table_SiteMilestoneTracking[[#This Row],[SiteReadyForInstallation_AC]],Table_SiteMilestoneTracking[[#This Row],[SiteReadyForIntegration_AC]],Table_SiteMilestoneTracking[[#This Row],[SiteOnAir_AC]],Table_SiteMilestoneTracking[[#This Row],[SiteAccepted_AC]],Table_SiteMilestoneTracking[[#This Row],[SiteInOperations_AC]])+1),"Invalid Milestone")</f>
        <v>SiteAcquired</v>
      </c>
      <c r="H86" s="61">
        <f>Table_SiteMilestoneTracking[[#This Row],[c0_SiteDesignCostBL]]+Table_SiteMilestoneTracking[[#This Row],[c1_SiteSurveyCostBL]]+Table_SiteMilestoneTracking[[#This Row],[c2_SiteAcquisitionCostBL]]+Table_SiteMilestoneTracking[[#This Row],[c3_CivilWorksCostBL]]+Table_SiteMilestoneTracking[[#This Row],[c4_PowerInstallCostBL]]+Table_SiteMilestoneTracking[[#This Row],[c5_TxintegrationCostBL]]+Table_SiteMilestoneTracking[[#This Row],[c6_InstallationCostBL]]+Table_SiteMilestoneTracking[[#This Row],[c7_IntegrationCostBL]]+Table_SiteMilestoneTracking[[#This Row],[c8_AcceptanceCostBL]]+Table_SiteMilestoneTracking[[#This Row],[c9_HandoverCostBL]]</f>
        <v>7550</v>
      </c>
      <c r="I86" s="62">
        <f>Table_SiteMilestoneTracking[[#This Row],[c0_SiteDesignCostAC]]+Table_SiteMilestoneTracking[[#This Row],[c1_SiteSurveyCostAC]]+Table_SiteMilestoneTracking[[#This Row],[c2_SiteAcquisitionCostAC]]+Table_SiteMilestoneTracking[[#This Row],[c3_CivilWorksCostAC]]+Table_SiteMilestoneTracking[[#This Row],[c4_PowerInstallCostAC]]+Table_SiteMilestoneTracking[[#This Row],[c5_TxintegrationCostAC]]+Table_SiteMilestoneTracking[[#This Row],[c6_InstallationCostAC]]+Table_SiteMilestoneTracking[[#This Row],[c7_IntegrationCostAC]]+Table_SiteMilestoneTracking[[#This Row],[c8_AcceptanceCostAC]]+Table_SiteMilestoneTracking[[#This Row],[c9_HandoverCostAC]]</f>
        <v>1505</v>
      </c>
      <c r="J86" s="84">
        <v>44018</v>
      </c>
      <c r="K86" s="84">
        <v>44020</v>
      </c>
      <c r="L86" s="64">
        <f>IF(ISBLANK(Table_SiteMilestoneTracking[[#This Row],[SiteDesignStarted_AC]])=FALSE,Table_SiteMilestoneTracking[[#This Row],[SiteDesignStarted_AC]]-Table_SiteMilestoneTracking[[#This Row],[SiteDesignStarted_BL]],"")</f>
        <v>2</v>
      </c>
      <c r="M86" s="64">
        <f t="shared" si="11"/>
        <v>500</v>
      </c>
      <c r="N86" s="87">
        <v>420</v>
      </c>
      <c r="O86" s="63">
        <f>Table_SiteMilestoneTracking[[#This Row],[SiteDesignStarted_BL]]+t0_SiteDesignDelayBL</f>
        <v>44020</v>
      </c>
      <c r="P86" s="84">
        <v>44021</v>
      </c>
      <c r="Q86" s="64">
        <f>IF(ISBLANK(Table_SiteMilestoneTracking[[#This Row],[SiteDesignReady_AC]])=FALSE,Table_SiteMilestoneTracking[[#This Row],[SiteDesignReady_AC]]-Table_SiteMilestoneTracking[[#This Row],[SiteDesignReady_BL]],"-")</f>
        <v>1</v>
      </c>
      <c r="R86" s="64">
        <f t="shared" si="16"/>
        <v>500</v>
      </c>
      <c r="S86" s="82">
        <v>725</v>
      </c>
      <c r="T86" s="63">
        <f>Table_SiteMilestoneTracking[[#This Row],[SiteDesignReady_BL]]+t1_SiteSurveyBL</f>
        <v>44022</v>
      </c>
      <c r="U86" s="84">
        <v>44023</v>
      </c>
      <c r="V86" s="64">
        <f>IF(ISBLANK(Table_SiteMilestoneTracking[[#This Row],[SiteSurveyCompleted_AC]])=FALSE,Table_SiteMilestoneTracking[[#This Row],[SiteSurveyCompleted_AC]]-Table_SiteMilestoneTracking[[#This Row],[SiteDesignReady_AC]],"-")</f>
        <v>2</v>
      </c>
      <c r="W86" s="64">
        <f t="shared" si="12"/>
        <v>600</v>
      </c>
      <c r="X86" s="82">
        <v>360</v>
      </c>
      <c r="Y86" s="63">
        <f>Table_SiteMilestoneTracking[[#This Row],[SiteSurveyCompleted_BL]]+t2_SiteAcquisitionBL</f>
        <v>44033</v>
      </c>
      <c r="Z86" s="104">
        <v>44033</v>
      </c>
      <c r="AA86" s="65">
        <f>IF(ISBLANK(Table_SiteMilestoneTracking[[#This Row],[SiteAcquired_AC]])=FALSE,Table_SiteMilestoneTracking[[#This Row],[SiteAcquired_AC]]-Table_SiteMilestoneTracking[[#This Row],[SiteAcquired_BL]],"-")</f>
        <v>0</v>
      </c>
      <c r="AB86" s="65">
        <f>IF(ISBLANK(Table_SiteMilestoneTracking[[#This Row],[SiteAcquired_AC]])=FALSE,Table_SiteMilestoneTracking[[#This Row],[SiteAcquired_AC]]-Table_SiteMilestoneTracking[[#This Row],[SiteSurveyCompleted_AC]],"-")</f>
        <v>10</v>
      </c>
      <c r="AC86" s="64">
        <f t="shared" si="13"/>
        <v>150</v>
      </c>
      <c r="AD86" s="82"/>
      <c r="AE86" s="63">
        <f>Table_SiteMilestoneTracking[[#This Row],[SiteAcquired_BL]]+t2a_SiteCWReadinessBL</f>
        <v>44035</v>
      </c>
      <c r="AF86" s="84"/>
      <c r="AG86" s="66" t="str">
        <f>IF(ISBLANK(Table_SiteMilestoneTracking[[#This Row],[SiteReadyForCW_AC]])=FALSE,Table_SiteMilestoneTracking[[#This Row],[SiteReadyForCW_AC]]-Table_SiteMilestoneTracking[[#This Row],[SiteReadyForCW_BL]],"-")</f>
        <v>-</v>
      </c>
      <c r="AH86" s="66" t="str">
        <f>IF(ISBLANK(Table_SiteMilestoneTracking[[#This Row],[SiteReadyForCW_AC]])=FALSE,Table_SiteMilestoneTracking[[#This Row],[SiteReadyForCW_AC]]-Table_SiteMilestoneTracking[[#This Row],[SiteDesignReady_AC]],"-")</f>
        <v>-</v>
      </c>
      <c r="AI86" s="64">
        <f t="shared" si="14"/>
        <v>1500</v>
      </c>
      <c r="AJ86" s="82"/>
      <c r="AK86" s="63">
        <f>Table_SiteMilestoneTracking[[#This Row],[SiteReadyForCW_BL]]+t3_CivilWorksBL</f>
        <v>44043</v>
      </c>
      <c r="AL86" s="84"/>
      <c r="AM86" s="64" t="str">
        <f>IF(ISBLANK(Table_SiteMilestoneTracking[[#This Row],[SiteReadyForPower_AC]])=FALSE,Table_SiteMilestoneTracking[[#This Row],[SiteReadyForPower_AC]]-Table_SiteMilestoneTracking[[#This Row],[SiteReadyForPower_BL]],"-")</f>
        <v>-</v>
      </c>
      <c r="AN86" s="64" t="str">
        <f>IF(ISBLANK(Table_SiteMilestoneTracking[[#This Row],[SiteReadyForPower_AC]])=FALSE,Table_SiteMilestoneTracking[[#This Row],[SiteReadyForPower_AC]]-Table_SiteMilestoneTracking[[#This Row],[SiteReadyForCW_AC]],"-")</f>
        <v>-</v>
      </c>
      <c r="AO86" s="64">
        <f t="shared" si="15"/>
        <v>500</v>
      </c>
      <c r="AP86" s="82"/>
      <c r="AQ86" s="63">
        <f>Table_SiteMilestoneTracking[[#This Row],[SiteReadyForPower_BL]]+t4_PowerInstallBL</f>
        <v>44048</v>
      </c>
      <c r="AR86" s="84"/>
      <c r="AS86" s="64" t="str">
        <f>IF(ISBLANK(Table_SiteMilestoneTracking[[#This Row],[TXReady_AC]])=FALSE,Table_SiteMilestoneTracking[[#This Row],[TXReady_AC]]-Table_SiteMilestoneTracking[[#This Row],[TXReady_BL]],"-")</f>
        <v>-</v>
      </c>
      <c r="AT86" s="64" t="str">
        <f>IF(ISBLANK(Table_SiteMilestoneTracking[[#This Row],[TXReady_AC]])=FALSE,Table_SiteMilestoneTracking[[#This Row],[TXReady_AC]]-Table_SiteMilestoneTracking[[#This Row],[SiteReadyForPower_AC]],"-")</f>
        <v>-</v>
      </c>
      <c r="AU86" s="64">
        <f>$AU$2</f>
        <v>500</v>
      </c>
      <c r="AV86" s="82"/>
      <c r="AW86" s="63">
        <f>Table_SiteMilestoneTracking[[#This Row],[TXReady_BL]]+t5_TxintegrationBL</f>
        <v>44055</v>
      </c>
      <c r="AX86" s="84"/>
      <c r="AY86" s="64" t="str">
        <f>IF(ISBLANK(Table_SiteMilestoneTracking[[#This Row],[SiteReadyForInstallation_AC]])=FALSE,Table_SiteMilestoneTracking[[#This Row],[SiteReadyForInstallation_AC]]-Table_SiteMilestoneTracking[[#This Row],[SiteReadyForInstallation_BL]],"-")</f>
        <v>-</v>
      </c>
      <c r="AZ86" s="64" t="str">
        <f>IF(ISBLANK(Table_SiteMilestoneTracking[[#This Row],[SiteReadyForInstallation_AC]])=FALSE,Table_SiteMilestoneTracking[[#This Row],[SiteReadyForInstallation_AC]]-Table_SiteMilestoneTracking[[#This Row],[TXReady_AC]],"-")</f>
        <v>-</v>
      </c>
      <c r="BA86" s="64">
        <f>$BA$2</f>
        <v>2500</v>
      </c>
      <c r="BB86" s="82"/>
      <c r="BC86" s="63">
        <f>Table_SiteMilestoneTracking[[#This Row],[SiteReadyForInstallation_BL]]+t6_InstallationBL</f>
        <v>44059</v>
      </c>
      <c r="BD86" s="84"/>
      <c r="BE86" s="64" t="str">
        <f>IF(ISBLANK(Table_SiteMilestoneTracking[[#This Row],[SiteReadyForIntegration_AC]])=FALSE,Table_SiteMilestoneTracking[[#This Row],[SiteReadyForIntegration_AC]]-Table_SiteMilestoneTracking[[#This Row],[SiteReadyForIntegration_BL]],"-")</f>
        <v>-</v>
      </c>
      <c r="BF86" s="64" t="str">
        <f>IF(ISBLANK(Table_SiteMilestoneTracking[[#This Row],[SiteReadyForIntegration_AC]])=FALSE,Table_SiteMilestoneTracking[[#This Row],[SiteReadyForIntegration_AC]]-Table_SiteMilestoneTracking[[#This Row],[SiteReadyForInstallation_AC]],"-")</f>
        <v>-</v>
      </c>
      <c r="BG86" s="64">
        <f>$BG$2</f>
        <v>500</v>
      </c>
      <c r="BH86" s="82"/>
      <c r="BI86" s="63">
        <f>Table_SiteMilestoneTracking[[#This Row],[SiteReadyForIntegration_BL]]+t7_IntegrationBL</f>
        <v>44063</v>
      </c>
      <c r="BJ86" s="84"/>
      <c r="BK86" s="64" t="str">
        <f>IF(ISBLANK(Table_SiteMilestoneTracking[[#This Row],[SiteOnAir_AC]])=FALSE,Table_SiteMilestoneTracking[[#This Row],[SiteOnAir_AC]]-Table_SiteMilestoneTracking[[#This Row],[SiteOnAir_BL]],"-")</f>
        <v>-</v>
      </c>
      <c r="BL86" s="64" t="str">
        <f>IF(ISBLANK(Table_SiteMilestoneTracking[[#This Row],[SiteOnAir_AC]])=FALSE,Table_SiteMilestoneTracking[[#This Row],[SiteOnAir_AC]]-Table_SiteMilestoneTracking[[#This Row],[SiteReadyForIntegration_AC]],"-")</f>
        <v>-</v>
      </c>
      <c r="BM86" s="64">
        <f>$BM$2</f>
        <v>250</v>
      </c>
      <c r="BN86" s="82"/>
      <c r="BO86" s="63">
        <f>Table_SiteMilestoneTracking[[#This Row],[SiteOnAir_BL]]+t8_AcceptanceBL</f>
        <v>44067</v>
      </c>
      <c r="BP86" s="84"/>
      <c r="BQ86" s="64" t="str">
        <f>IF(ISBLANK(Table_SiteMilestoneTracking[[#This Row],[SiteAccepted_AC]])=FALSE,Table_SiteMilestoneTracking[[#This Row],[SiteAccepted_AC]]-Table_SiteMilestoneTracking[[#This Row],[SiteAccepted_BL]],"-")</f>
        <v>-</v>
      </c>
      <c r="BR86" s="64" t="str">
        <f>IF(ISBLANK(Table_SiteMilestoneTracking[[#This Row],[SiteAccepted_AC]])=FALSE,Table_SiteMilestoneTracking[[#This Row],[SiteAccepted_AC]]-Table_SiteMilestoneTracking[[#This Row],[SiteOnAir_AC]],"-")</f>
        <v>-</v>
      </c>
      <c r="BS86" s="64">
        <f>$BS$2</f>
        <v>200</v>
      </c>
      <c r="BT86" s="82"/>
      <c r="BU86" s="63">
        <f>Table_SiteMilestoneTracking[[#This Row],[SiteAccepted_BL]]+t9_HandoverBL</f>
        <v>44075</v>
      </c>
      <c r="BV86" s="84"/>
      <c r="BW86" s="64" t="str">
        <f>IF(ISBLANK(Table_SiteMilestoneTracking[[#This Row],[SiteInOperations_AC]])=FALSE,Table_SiteMilestoneTracking[[#This Row],[SiteInOperations_AC]]-Table_SiteMilestoneTracking[[#This Row],[SiteInOperations_BL]],"-")</f>
        <v>-</v>
      </c>
      <c r="BX86" s="66">
        <f>Table_SiteMilestoneTracking[[#This Row],[SiteInOperations_BL]]-Table_SiteMilestoneTracking[[#This Row],[SiteDesignReady_BL]]</f>
        <v>55</v>
      </c>
      <c r="BY86" s="66" t="str">
        <f>IF(Table_SiteMilestoneTracking[[#This Row],[CurrentSiteMilestone]]="SiteInOperations",Table_SiteMilestoneTracking[[#This Row],[SiteInOperations_AC]]-Table_SiteMilestoneTracking[[#This Row],[SiteDesignReady_AC]],"")</f>
        <v/>
      </c>
      <c r="BZ86" s="66" t="str">
        <f>IFERROR(Table_SiteMilestoneTracking[[#This Row],[E2E_Site_AC]]-Table_SiteMilestoneTracking[[#This Row],[E2E_Site_BL]],"")</f>
        <v/>
      </c>
      <c r="CA86" s="66" t="str">
        <f>IF(Table_SiteMilestoneTracking[[#This Row],[CurrentSiteMilestone]]="SiteInOperations",Table_SiteMilestoneTracking[[#This Row],[SiteInOperations_AC]]-Table_SiteMilestoneTracking[[#This Row],[SiteAccepted_AC]],"")</f>
        <v/>
      </c>
      <c r="CB86" s="79"/>
      <c r="CC86" s="89"/>
      <c r="CD86" s="89"/>
      <c r="CE86" s="70"/>
      <c r="CF86" s="70"/>
      <c r="CG86" s="70"/>
      <c r="CH86" s="70"/>
      <c r="CI86" s="70"/>
      <c r="CJ86" s="70"/>
      <c r="CK86" s="70"/>
      <c r="CL86" s="70"/>
      <c r="CM86" s="70"/>
      <c r="CN86" s="70"/>
      <c r="CO86" s="70"/>
      <c r="CP86" s="70"/>
      <c r="CQ86" s="70"/>
      <c r="CR86" s="70"/>
      <c r="CS86" s="70"/>
      <c r="CT86" s="70"/>
      <c r="CU86" s="70"/>
      <c r="CV86" s="70"/>
      <c r="CW86" s="70"/>
      <c r="CX86" s="70"/>
      <c r="CY86" s="70"/>
      <c r="CZ86" s="70"/>
      <c r="DA86" s="70"/>
      <c r="DB86" s="70"/>
      <c r="DC86" s="70"/>
      <c r="DD86" s="70"/>
      <c r="DE86" s="70"/>
      <c r="DF86" s="70"/>
      <c r="DG86" s="70"/>
      <c r="DH86" s="70"/>
      <c r="DI86" s="70"/>
      <c r="DJ86" s="70"/>
      <c r="DK86" s="70"/>
      <c r="DL86" s="70"/>
      <c r="DM86" s="70"/>
      <c r="DN86" s="70"/>
      <c r="DO86" s="70"/>
      <c r="DP86" s="70"/>
      <c r="DQ86" s="70"/>
      <c r="DR86" s="70"/>
      <c r="DS86" s="70"/>
      <c r="DT86" s="70"/>
      <c r="DU86" s="70"/>
      <c r="DV86" s="70"/>
    </row>
    <row r="87" spans="1:126" x14ac:dyDescent="0.3">
      <c r="A87" s="79" t="str">
        <f>'4. Design Tracking Summary'!A88</f>
        <v>JU00415</v>
      </c>
      <c r="B87" s="79" t="str">
        <f>'4. Design Tracking Summary'!B88</f>
        <v>South</v>
      </c>
      <c r="C87" s="79" t="str">
        <f>'4. Design Tracking Summary'!C88</f>
        <v>GTO</v>
      </c>
      <c r="D87" s="79" t="str">
        <f>'4. Design Tracking Summary'!D88</f>
        <v>SMALL</v>
      </c>
      <c r="E87" s="79" t="s">
        <v>59</v>
      </c>
      <c r="F87" s="79"/>
      <c r="G87" s="60" t="str">
        <f>IFERROR(INDEX(Table_SiteMilestonesNames[SiteMilestoneName],COUNTA(Table_SiteMilestoneTracking[[#This Row],[SiteDesignStarted_AC]],Table_SiteMilestoneTracking[[#This Row],[SiteDesignReady_AC]],Table_SiteMilestoneTracking[[#This Row],[SiteSurveyCompleted_AC]],Table_SiteMilestoneTracking[[#This Row],[SiteAcquired_AC]],Table_SiteMilestoneTracking[[#This Row],[SiteReadyForCW_AC]],Table_SiteMilestoneTracking[[#This Row],[SiteReadyForPower_AC]],Table_SiteMilestoneTracking[[#This Row],[TXReady_AC]],Table_SiteMilestoneTracking[[#This Row],[SiteReadyForInstallation_AC]],Table_SiteMilestoneTracking[[#This Row],[SiteReadyForIntegration_AC]],Table_SiteMilestoneTracking[[#This Row],[SiteOnAir_AC]],Table_SiteMilestoneTracking[[#This Row],[SiteAccepted_AC]],Table_SiteMilestoneTracking[[#This Row],[SiteInOperations_AC]])+1),"Invalid Milestone")</f>
        <v>SiteAcquired</v>
      </c>
      <c r="H87" s="61">
        <f>Table_SiteMilestoneTracking[[#This Row],[c0_SiteDesignCostBL]]+Table_SiteMilestoneTracking[[#This Row],[c1_SiteSurveyCostBL]]+Table_SiteMilestoneTracking[[#This Row],[c2_SiteAcquisitionCostBL]]+Table_SiteMilestoneTracking[[#This Row],[c3_CivilWorksCostBL]]+Table_SiteMilestoneTracking[[#This Row],[c4_PowerInstallCostBL]]+Table_SiteMilestoneTracking[[#This Row],[c5_TxintegrationCostBL]]+Table_SiteMilestoneTracking[[#This Row],[c6_InstallationCostBL]]+Table_SiteMilestoneTracking[[#This Row],[c7_IntegrationCostBL]]+Table_SiteMilestoneTracking[[#This Row],[c8_AcceptanceCostBL]]+Table_SiteMilestoneTracking[[#This Row],[c9_HandoverCostBL]]</f>
        <v>7550</v>
      </c>
      <c r="I87" s="62">
        <f>Table_SiteMilestoneTracking[[#This Row],[c0_SiteDesignCostAC]]+Table_SiteMilestoneTracking[[#This Row],[c1_SiteSurveyCostAC]]+Table_SiteMilestoneTracking[[#This Row],[c2_SiteAcquisitionCostAC]]+Table_SiteMilestoneTracking[[#This Row],[c3_CivilWorksCostAC]]+Table_SiteMilestoneTracking[[#This Row],[c4_PowerInstallCostAC]]+Table_SiteMilestoneTracking[[#This Row],[c5_TxintegrationCostAC]]+Table_SiteMilestoneTracking[[#This Row],[c6_InstallationCostAC]]+Table_SiteMilestoneTracking[[#This Row],[c7_IntegrationCostAC]]+Table_SiteMilestoneTracking[[#This Row],[c8_AcceptanceCostAC]]+Table_SiteMilestoneTracking[[#This Row],[c9_HandoverCostAC]]</f>
        <v>1855</v>
      </c>
      <c r="J87" s="84">
        <v>44018</v>
      </c>
      <c r="K87" s="84">
        <v>44020</v>
      </c>
      <c r="L87" s="64">
        <f>IF(ISBLANK(Table_SiteMilestoneTracking[[#This Row],[SiteDesignStarted_AC]])=FALSE,Table_SiteMilestoneTracking[[#This Row],[SiteDesignStarted_AC]]-Table_SiteMilestoneTracking[[#This Row],[SiteDesignStarted_BL]],"")</f>
        <v>2</v>
      </c>
      <c r="M87" s="64">
        <f t="shared" si="11"/>
        <v>500</v>
      </c>
      <c r="N87" s="87">
        <v>460</v>
      </c>
      <c r="O87" s="63">
        <f>Table_SiteMilestoneTracking[[#This Row],[SiteDesignStarted_BL]]+t0_SiteDesignDelayBL</f>
        <v>44020</v>
      </c>
      <c r="P87" s="84">
        <v>44023</v>
      </c>
      <c r="Q87" s="64">
        <f>IF(ISBLANK(Table_SiteMilestoneTracking[[#This Row],[SiteDesignReady_AC]])=FALSE,Table_SiteMilestoneTracking[[#This Row],[SiteDesignReady_AC]]-Table_SiteMilestoneTracking[[#This Row],[SiteDesignReady_BL]],"-")</f>
        <v>3</v>
      </c>
      <c r="R87" s="64">
        <f t="shared" si="16"/>
        <v>500</v>
      </c>
      <c r="S87" s="82">
        <v>675</v>
      </c>
      <c r="T87" s="63">
        <f>Table_SiteMilestoneTracking[[#This Row],[SiteDesignReady_BL]]+t1_SiteSurveyBL</f>
        <v>44022</v>
      </c>
      <c r="U87" s="84">
        <v>44022</v>
      </c>
      <c r="V87" s="64">
        <f>IF(ISBLANK(Table_SiteMilestoneTracking[[#This Row],[SiteSurveyCompleted_AC]])=FALSE,Table_SiteMilestoneTracking[[#This Row],[SiteSurveyCompleted_AC]]-Table_SiteMilestoneTracking[[#This Row],[SiteDesignReady_AC]],"-")</f>
        <v>-1</v>
      </c>
      <c r="W87" s="64">
        <f t="shared" si="12"/>
        <v>600</v>
      </c>
      <c r="X87" s="82">
        <v>720</v>
      </c>
      <c r="Y87" s="63">
        <f>Table_SiteMilestoneTracking[[#This Row],[SiteSurveyCompleted_BL]]+t2_SiteAcquisitionBL</f>
        <v>44033</v>
      </c>
      <c r="Z87" s="84">
        <v>44037</v>
      </c>
      <c r="AA87" s="65">
        <f>IF(ISBLANK(Table_SiteMilestoneTracking[[#This Row],[SiteAcquired_AC]])=FALSE,Table_SiteMilestoneTracking[[#This Row],[SiteAcquired_AC]]-Table_SiteMilestoneTracking[[#This Row],[SiteAcquired_BL]],"-")</f>
        <v>4</v>
      </c>
      <c r="AB87" s="65">
        <f>IF(ISBLANK(Table_SiteMilestoneTracking[[#This Row],[SiteAcquired_AC]])=FALSE,Table_SiteMilestoneTracking[[#This Row],[SiteAcquired_AC]]-Table_SiteMilestoneTracking[[#This Row],[SiteSurveyCompleted_AC]],"-")</f>
        <v>15</v>
      </c>
      <c r="AC87" s="64">
        <f t="shared" si="13"/>
        <v>150</v>
      </c>
      <c r="AD87" s="82"/>
      <c r="AE87" s="63">
        <f>Table_SiteMilestoneTracking[[#This Row],[SiteAcquired_BL]]+t2a_SiteCWReadinessBL</f>
        <v>44035</v>
      </c>
      <c r="AF87" s="84"/>
      <c r="AG87" s="66" t="str">
        <f>IF(ISBLANK(Table_SiteMilestoneTracking[[#This Row],[SiteReadyForCW_AC]])=FALSE,Table_SiteMilestoneTracking[[#This Row],[SiteReadyForCW_AC]]-Table_SiteMilestoneTracking[[#This Row],[SiteReadyForCW_BL]],"-")</f>
        <v>-</v>
      </c>
      <c r="AH87" s="66" t="str">
        <f>IF(ISBLANK(Table_SiteMilestoneTracking[[#This Row],[SiteReadyForCW_AC]])=FALSE,Table_SiteMilestoneTracking[[#This Row],[SiteReadyForCW_AC]]-Table_SiteMilestoneTracking[[#This Row],[SiteDesignReady_AC]],"-")</f>
        <v>-</v>
      </c>
      <c r="AI87" s="64">
        <f t="shared" si="14"/>
        <v>1500</v>
      </c>
      <c r="AJ87" s="82"/>
      <c r="AK87" s="63">
        <f>Table_SiteMilestoneTracking[[#This Row],[SiteReadyForCW_BL]]+t3_CivilWorksBL</f>
        <v>44043</v>
      </c>
      <c r="AL87" s="84"/>
      <c r="AM87" s="64" t="str">
        <f>IF(ISBLANK(Table_SiteMilestoneTracking[[#This Row],[SiteReadyForPower_AC]])=FALSE,Table_SiteMilestoneTracking[[#This Row],[SiteReadyForPower_AC]]-Table_SiteMilestoneTracking[[#This Row],[SiteReadyForPower_BL]],"-")</f>
        <v>-</v>
      </c>
      <c r="AN87" s="64" t="str">
        <f>IF(ISBLANK(Table_SiteMilestoneTracking[[#This Row],[SiteReadyForPower_AC]])=FALSE,Table_SiteMilestoneTracking[[#This Row],[SiteReadyForPower_AC]]-Table_SiteMilestoneTracking[[#This Row],[SiteReadyForCW_AC]],"-")</f>
        <v>-</v>
      </c>
      <c r="AO87" s="64">
        <f t="shared" si="15"/>
        <v>500</v>
      </c>
      <c r="AP87" s="82"/>
      <c r="AQ87" s="63">
        <f>Table_SiteMilestoneTracking[[#This Row],[SiteReadyForPower_BL]]+t4_PowerInstallBL</f>
        <v>44048</v>
      </c>
      <c r="AR87" s="84"/>
      <c r="AS87" s="64" t="str">
        <f>IF(ISBLANK(Table_SiteMilestoneTracking[[#This Row],[TXReady_AC]])=FALSE,Table_SiteMilestoneTracking[[#This Row],[TXReady_AC]]-Table_SiteMilestoneTracking[[#This Row],[TXReady_BL]],"-")</f>
        <v>-</v>
      </c>
      <c r="AT87" s="64" t="str">
        <f>IF(ISBLANK(Table_SiteMilestoneTracking[[#This Row],[TXReady_AC]])=FALSE,Table_SiteMilestoneTracking[[#This Row],[TXReady_AC]]-Table_SiteMilestoneTracking[[#This Row],[SiteReadyForPower_AC]],"-")</f>
        <v>-</v>
      </c>
      <c r="AU87" s="64">
        <f>$AU$2</f>
        <v>500</v>
      </c>
      <c r="AV87" s="82"/>
      <c r="AW87" s="63">
        <f>Table_SiteMilestoneTracking[[#This Row],[TXReady_BL]]+t5_TxintegrationBL</f>
        <v>44055</v>
      </c>
      <c r="AX87" s="84"/>
      <c r="AY87" s="64" t="str">
        <f>IF(ISBLANK(Table_SiteMilestoneTracking[[#This Row],[SiteReadyForInstallation_AC]])=FALSE,Table_SiteMilestoneTracking[[#This Row],[SiteReadyForInstallation_AC]]-Table_SiteMilestoneTracking[[#This Row],[SiteReadyForInstallation_BL]],"-")</f>
        <v>-</v>
      </c>
      <c r="AZ87" s="64" t="str">
        <f>IF(ISBLANK(Table_SiteMilestoneTracking[[#This Row],[SiteReadyForInstallation_AC]])=FALSE,Table_SiteMilestoneTracking[[#This Row],[SiteReadyForInstallation_AC]]-Table_SiteMilestoneTracking[[#This Row],[TXReady_AC]],"-")</f>
        <v>-</v>
      </c>
      <c r="BA87" s="64">
        <f>$BA$2</f>
        <v>2500</v>
      </c>
      <c r="BB87" s="82"/>
      <c r="BC87" s="63">
        <f>Table_SiteMilestoneTracking[[#This Row],[SiteReadyForInstallation_BL]]+t6_InstallationBL</f>
        <v>44059</v>
      </c>
      <c r="BD87" s="84"/>
      <c r="BE87" s="64" t="str">
        <f>IF(ISBLANK(Table_SiteMilestoneTracking[[#This Row],[SiteReadyForIntegration_AC]])=FALSE,Table_SiteMilestoneTracking[[#This Row],[SiteReadyForIntegration_AC]]-Table_SiteMilestoneTracking[[#This Row],[SiteReadyForIntegration_BL]],"-")</f>
        <v>-</v>
      </c>
      <c r="BF87" s="64" t="str">
        <f>IF(ISBLANK(Table_SiteMilestoneTracking[[#This Row],[SiteReadyForIntegration_AC]])=FALSE,Table_SiteMilestoneTracking[[#This Row],[SiteReadyForIntegration_AC]]-Table_SiteMilestoneTracking[[#This Row],[SiteReadyForInstallation_AC]],"-")</f>
        <v>-</v>
      </c>
      <c r="BG87" s="64">
        <f>$BG$2</f>
        <v>500</v>
      </c>
      <c r="BH87" s="82"/>
      <c r="BI87" s="63">
        <f>Table_SiteMilestoneTracking[[#This Row],[SiteReadyForIntegration_BL]]+t7_IntegrationBL</f>
        <v>44063</v>
      </c>
      <c r="BJ87" s="84"/>
      <c r="BK87" s="64" t="str">
        <f>IF(ISBLANK(Table_SiteMilestoneTracking[[#This Row],[SiteOnAir_AC]])=FALSE,Table_SiteMilestoneTracking[[#This Row],[SiteOnAir_AC]]-Table_SiteMilestoneTracking[[#This Row],[SiteOnAir_BL]],"-")</f>
        <v>-</v>
      </c>
      <c r="BL87" s="64" t="str">
        <f>IF(ISBLANK(Table_SiteMilestoneTracking[[#This Row],[SiteOnAir_AC]])=FALSE,Table_SiteMilestoneTracking[[#This Row],[SiteOnAir_AC]]-Table_SiteMilestoneTracking[[#This Row],[SiteReadyForIntegration_AC]],"-")</f>
        <v>-</v>
      </c>
      <c r="BM87" s="64">
        <f>$BM$2</f>
        <v>250</v>
      </c>
      <c r="BN87" s="82"/>
      <c r="BO87" s="63">
        <f>Table_SiteMilestoneTracking[[#This Row],[SiteOnAir_BL]]+t8_AcceptanceBL</f>
        <v>44067</v>
      </c>
      <c r="BP87" s="84"/>
      <c r="BQ87" s="64" t="str">
        <f>IF(ISBLANK(Table_SiteMilestoneTracking[[#This Row],[SiteAccepted_AC]])=FALSE,Table_SiteMilestoneTracking[[#This Row],[SiteAccepted_AC]]-Table_SiteMilestoneTracking[[#This Row],[SiteAccepted_BL]],"-")</f>
        <v>-</v>
      </c>
      <c r="BR87" s="64" t="str">
        <f>IF(ISBLANK(Table_SiteMilestoneTracking[[#This Row],[SiteAccepted_AC]])=FALSE,Table_SiteMilestoneTracking[[#This Row],[SiteAccepted_AC]]-Table_SiteMilestoneTracking[[#This Row],[SiteOnAir_AC]],"-")</f>
        <v>-</v>
      </c>
      <c r="BS87" s="64">
        <f>$BS$2</f>
        <v>200</v>
      </c>
      <c r="BT87" s="82"/>
      <c r="BU87" s="63">
        <f>Table_SiteMilestoneTracking[[#This Row],[SiteAccepted_BL]]+t9_HandoverBL</f>
        <v>44075</v>
      </c>
      <c r="BV87" s="84"/>
      <c r="BW87" s="64" t="str">
        <f>IF(ISBLANK(Table_SiteMilestoneTracking[[#This Row],[SiteInOperations_AC]])=FALSE,Table_SiteMilestoneTracking[[#This Row],[SiteInOperations_AC]]-Table_SiteMilestoneTracking[[#This Row],[SiteInOperations_BL]],"-")</f>
        <v>-</v>
      </c>
      <c r="BX87" s="66">
        <f>Table_SiteMilestoneTracking[[#This Row],[SiteInOperations_BL]]-Table_SiteMilestoneTracking[[#This Row],[SiteDesignReady_BL]]</f>
        <v>55</v>
      </c>
      <c r="BY87" s="66" t="str">
        <f>IF(Table_SiteMilestoneTracking[[#This Row],[CurrentSiteMilestone]]="SiteInOperations",Table_SiteMilestoneTracking[[#This Row],[SiteInOperations_AC]]-Table_SiteMilestoneTracking[[#This Row],[SiteDesignReady_AC]],"")</f>
        <v/>
      </c>
      <c r="BZ87" s="66" t="str">
        <f>IFERROR(Table_SiteMilestoneTracking[[#This Row],[E2E_Site_AC]]-Table_SiteMilestoneTracking[[#This Row],[E2E_Site_BL]],"")</f>
        <v/>
      </c>
      <c r="CA87" s="66" t="str">
        <f>IF(Table_SiteMilestoneTracking[[#This Row],[CurrentSiteMilestone]]="SiteInOperations",Table_SiteMilestoneTracking[[#This Row],[SiteInOperations_AC]]-Table_SiteMilestoneTracking[[#This Row],[SiteAccepted_AC]],"")</f>
        <v/>
      </c>
      <c r="CB87" s="79"/>
      <c r="CC87" s="89"/>
      <c r="CD87" s="89"/>
      <c r="CE87" s="70"/>
      <c r="CF87" s="70"/>
      <c r="CG87" s="70"/>
      <c r="CH87" s="70"/>
      <c r="CI87" s="70"/>
      <c r="CJ87" s="70"/>
      <c r="CK87" s="70"/>
      <c r="CL87" s="70"/>
      <c r="CM87" s="70"/>
      <c r="CN87" s="70"/>
      <c r="CO87" s="70"/>
      <c r="CP87" s="70"/>
      <c r="CQ87" s="70"/>
      <c r="CR87" s="70"/>
      <c r="CS87" s="70"/>
      <c r="CT87" s="70"/>
      <c r="CU87" s="70"/>
      <c r="CV87" s="70"/>
      <c r="CW87" s="70"/>
      <c r="CX87" s="70"/>
      <c r="CY87" s="70"/>
      <c r="CZ87" s="70"/>
      <c r="DA87" s="70"/>
      <c r="DB87" s="70"/>
      <c r="DC87" s="70"/>
      <c r="DD87" s="70"/>
      <c r="DE87" s="70"/>
      <c r="DF87" s="70"/>
      <c r="DG87" s="70"/>
      <c r="DH87" s="70"/>
      <c r="DI87" s="70"/>
      <c r="DJ87" s="70"/>
      <c r="DK87" s="70"/>
      <c r="DL87" s="70"/>
      <c r="DM87" s="70"/>
      <c r="DN87" s="70"/>
      <c r="DO87" s="70"/>
      <c r="DP87" s="70"/>
      <c r="DQ87" s="70"/>
      <c r="DR87" s="70"/>
      <c r="DS87" s="70"/>
      <c r="DT87" s="70"/>
      <c r="DU87" s="70"/>
      <c r="DV87" s="70"/>
    </row>
    <row r="88" spans="1:126" x14ac:dyDescent="0.3">
      <c r="A88" s="79" t="str">
        <f>'4. Design Tracking Summary'!A89</f>
        <v>LA00134</v>
      </c>
      <c r="B88" s="79" t="str">
        <f>'4. Design Tracking Summary'!B89</f>
        <v>North</v>
      </c>
      <c r="C88" s="79" t="str">
        <f>'4. Design Tracking Summary'!C89</f>
        <v>QRO</v>
      </c>
      <c r="D88" s="79" t="str">
        <f>'4. Design Tracking Summary'!D89</f>
        <v>MACRO</v>
      </c>
      <c r="E88" s="79" t="s">
        <v>56</v>
      </c>
      <c r="F88" s="79"/>
      <c r="G88" s="60" t="str">
        <f>IFERROR(INDEX(Table_SiteMilestonesNames[SiteMilestoneName],COUNTA(Table_SiteMilestoneTracking[[#This Row],[SiteDesignStarted_AC]],Table_SiteMilestoneTracking[[#This Row],[SiteDesignReady_AC]],Table_SiteMilestoneTracking[[#This Row],[SiteSurveyCompleted_AC]],Table_SiteMilestoneTracking[[#This Row],[SiteAcquired_AC]],Table_SiteMilestoneTracking[[#This Row],[SiteReadyForCW_AC]],Table_SiteMilestoneTracking[[#This Row],[SiteReadyForPower_AC]],Table_SiteMilestoneTracking[[#This Row],[TXReady_AC]],Table_SiteMilestoneTracking[[#This Row],[SiteReadyForInstallation_AC]],Table_SiteMilestoneTracking[[#This Row],[SiteReadyForIntegration_AC]],Table_SiteMilestoneTracking[[#This Row],[SiteOnAir_AC]],Table_SiteMilestoneTracking[[#This Row],[SiteAccepted_AC]],Table_SiteMilestoneTracking[[#This Row],[SiteInOperations_AC]])+1),"Invalid Milestone")</f>
        <v>SiteSurveyCompleted</v>
      </c>
      <c r="H88" s="61">
        <f>Table_SiteMilestoneTracking[[#This Row],[c0_SiteDesignCostBL]]+Table_SiteMilestoneTracking[[#This Row],[c1_SiteSurveyCostBL]]+Table_SiteMilestoneTracking[[#This Row],[c2_SiteAcquisitionCostBL]]+Table_SiteMilestoneTracking[[#This Row],[c3_CivilWorksCostBL]]+Table_SiteMilestoneTracking[[#This Row],[c4_PowerInstallCostBL]]+Table_SiteMilestoneTracking[[#This Row],[c5_TxintegrationCostBL]]+Table_SiteMilestoneTracking[[#This Row],[c6_InstallationCostBL]]+Table_SiteMilestoneTracking[[#This Row],[c7_IntegrationCostBL]]+Table_SiteMilestoneTracking[[#This Row],[c8_AcceptanceCostBL]]+Table_SiteMilestoneTracking[[#This Row],[c9_HandoverCostBL]]</f>
        <v>7550</v>
      </c>
      <c r="I88" s="62">
        <f>Table_SiteMilestoneTracking[[#This Row],[c0_SiteDesignCostAC]]+Table_SiteMilestoneTracking[[#This Row],[c1_SiteSurveyCostAC]]+Table_SiteMilestoneTracking[[#This Row],[c2_SiteAcquisitionCostAC]]+Table_SiteMilestoneTracking[[#This Row],[c3_CivilWorksCostAC]]+Table_SiteMilestoneTracking[[#This Row],[c4_PowerInstallCostAC]]+Table_SiteMilestoneTracking[[#This Row],[c5_TxintegrationCostAC]]+Table_SiteMilestoneTracking[[#This Row],[c6_InstallationCostAC]]+Table_SiteMilestoneTracking[[#This Row],[c7_IntegrationCostAC]]+Table_SiteMilestoneTracking[[#This Row],[c8_AcceptanceCostAC]]+Table_SiteMilestoneTracking[[#This Row],[c9_HandoverCostAC]]</f>
        <v>1125</v>
      </c>
      <c r="J88" s="84">
        <v>44018</v>
      </c>
      <c r="K88" s="84">
        <v>44020</v>
      </c>
      <c r="L88" s="64">
        <f>IF(ISBLANK(Table_SiteMilestoneTracking[[#This Row],[SiteDesignStarted_AC]])=FALSE,Table_SiteMilestoneTracking[[#This Row],[SiteDesignStarted_AC]]-Table_SiteMilestoneTracking[[#This Row],[SiteDesignStarted_BL]],"")</f>
        <v>2</v>
      </c>
      <c r="M88" s="64">
        <f t="shared" si="11"/>
        <v>500</v>
      </c>
      <c r="N88" s="87">
        <v>400</v>
      </c>
      <c r="O88" s="63">
        <f>Table_SiteMilestoneTracking[[#This Row],[SiteDesignStarted_BL]]+t0_SiteDesignDelayBL</f>
        <v>44020</v>
      </c>
      <c r="P88" s="84">
        <v>44023</v>
      </c>
      <c r="Q88" s="64">
        <f>IF(ISBLANK(Table_SiteMilestoneTracking[[#This Row],[SiteDesignReady_AC]])=FALSE,Table_SiteMilestoneTracking[[#This Row],[SiteDesignReady_AC]]-Table_SiteMilestoneTracking[[#This Row],[SiteDesignReady_BL]],"-")</f>
        <v>3</v>
      </c>
      <c r="R88" s="64">
        <f t="shared" si="16"/>
        <v>500</v>
      </c>
      <c r="S88" s="82">
        <v>725</v>
      </c>
      <c r="T88" s="63">
        <f>Table_SiteMilestoneTracking[[#This Row],[SiteDesignReady_BL]]+t1_SiteSurveyBL</f>
        <v>44022</v>
      </c>
      <c r="U88" s="84">
        <v>44023</v>
      </c>
      <c r="V88" s="64">
        <f>IF(ISBLANK(Table_SiteMilestoneTracking[[#This Row],[SiteSurveyCompleted_AC]])=FALSE,Table_SiteMilestoneTracking[[#This Row],[SiteSurveyCompleted_AC]]-Table_SiteMilestoneTracking[[#This Row],[SiteDesignReady_AC]],"-")</f>
        <v>0</v>
      </c>
      <c r="W88" s="64">
        <f t="shared" si="12"/>
        <v>600</v>
      </c>
      <c r="X88" s="82"/>
      <c r="Y88" s="63">
        <f>Table_SiteMilestoneTracking[[#This Row],[SiteSurveyCompleted_BL]]+t2_SiteAcquisitionBL</f>
        <v>44033</v>
      </c>
      <c r="Z88" s="84"/>
      <c r="AA88" s="65" t="str">
        <f>IF(ISBLANK(Table_SiteMilestoneTracking[[#This Row],[SiteAcquired_AC]])=FALSE,Table_SiteMilestoneTracking[[#This Row],[SiteAcquired_AC]]-Table_SiteMilestoneTracking[[#This Row],[SiteAcquired_BL]],"-")</f>
        <v>-</v>
      </c>
      <c r="AB88" s="65" t="str">
        <f>IF(ISBLANK(Table_SiteMilestoneTracking[[#This Row],[SiteAcquired_AC]])=FALSE,Table_SiteMilestoneTracking[[#This Row],[SiteAcquired_AC]]-Table_SiteMilestoneTracking[[#This Row],[SiteSurveyCompleted_AC]],"-")</f>
        <v>-</v>
      </c>
      <c r="AC88" s="64">
        <f t="shared" si="13"/>
        <v>150</v>
      </c>
      <c r="AD88" s="82"/>
      <c r="AE88" s="63">
        <f>Table_SiteMilestoneTracking[[#This Row],[SiteAcquired_BL]]+t2a_SiteCWReadinessBL</f>
        <v>44035</v>
      </c>
      <c r="AF88" s="84"/>
      <c r="AG88" s="66" t="str">
        <f>IF(ISBLANK(Table_SiteMilestoneTracking[[#This Row],[SiteReadyForCW_AC]])=FALSE,Table_SiteMilestoneTracking[[#This Row],[SiteReadyForCW_AC]]-Table_SiteMilestoneTracking[[#This Row],[SiteReadyForCW_BL]],"-")</f>
        <v>-</v>
      </c>
      <c r="AH88" s="66" t="str">
        <f>IF(ISBLANK(Table_SiteMilestoneTracking[[#This Row],[SiteReadyForCW_AC]])=FALSE,Table_SiteMilestoneTracking[[#This Row],[SiteReadyForCW_AC]]-Table_SiteMilestoneTracking[[#This Row],[SiteDesignReady_AC]],"-")</f>
        <v>-</v>
      </c>
      <c r="AI88" s="64">
        <f t="shared" si="14"/>
        <v>1500</v>
      </c>
      <c r="AJ88" s="82"/>
      <c r="AK88" s="63">
        <f>Table_SiteMilestoneTracking[[#This Row],[SiteReadyForCW_BL]]+t3_CivilWorksBL</f>
        <v>44043</v>
      </c>
      <c r="AL88" s="84"/>
      <c r="AM88" s="64" t="str">
        <f>IF(ISBLANK(Table_SiteMilestoneTracking[[#This Row],[SiteReadyForPower_AC]])=FALSE,Table_SiteMilestoneTracking[[#This Row],[SiteReadyForPower_AC]]-Table_SiteMilestoneTracking[[#This Row],[SiteReadyForPower_BL]],"-")</f>
        <v>-</v>
      </c>
      <c r="AN88" s="64" t="str">
        <f>IF(ISBLANK(Table_SiteMilestoneTracking[[#This Row],[SiteReadyForPower_AC]])=FALSE,Table_SiteMilestoneTracking[[#This Row],[SiteReadyForPower_AC]]-Table_SiteMilestoneTracking[[#This Row],[SiteReadyForCW_AC]],"-")</f>
        <v>-</v>
      </c>
      <c r="AO88" s="64">
        <f t="shared" si="15"/>
        <v>500</v>
      </c>
      <c r="AP88" s="82"/>
      <c r="AQ88" s="63">
        <f>Table_SiteMilestoneTracking[[#This Row],[SiteReadyForPower_BL]]+t4_PowerInstallBL</f>
        <v>44048</v>
      </c>
      <c r="AR88" s="84"/>
      <c r="AS88" s="64" t="str">
        <f>IF(ISBLANK(Table_SiteMilestoneTracking[[#This Row],[TXReady_AC]])=FALSE,Table_SiteMilestoneTracking[[#This Row],[TXReady_AC]]-Table_SiteMilestoneTracking[[#This Row],[TXReady_BL]],"-")</f>
        <v>-</v>
      </c>
      <c r="AT88" s="64" t="str">
        <f>IF(ISBLANK(Table_SiteMilestoneTracking[[#This Row],[TXReady_AC]])=FALSE,Table_SiteMilestoneTracking[[#This Row],[TXReady_AC]]-Table_SiteMilestoneTracking[[#This Row],[SiteReadyForPower_AC]],"-")</f>
        <v>-</v>
      </c>
      <c r="AU88" s="64">
        <f>$AU$2</f>
        <v>500</v>
      </c>
      <c r="AV88" s="82"/>
      <c r="AW88" s="63">
        <f>Table_SiteMilestoneTracking[[#This Row],[TXReady_BL]]+t5_TxintegrationBL</f>
        <v>44055</v>
      </c>
      <c r="AX88" s="84"/>
      <c r="AY88" s="64" t="str">
        <f>IF(ISBLANK(Table_SiteMilestoneTracking[[#This Row],[SiteReadyForInstallation_AC]])=FALSE,Table_SiteMilestoneTracking[[#This Row],[SiteReadyForInstallation_AC]]-Table_SiteMilestoneTracking[[#This Row],[SiteReadyForInstallation_BL]],"-")</f>
        <v>-</v>
      </c>
      <c r="AZ88" s="64" t="str">
        <f>IF(ISBLANK(Table_SiteMilestoneTracking[[#This Row],[SiteReadyForInstallation_AC]])=FALSE,Table_SiteMilestoneTracking[[#This Row],[SiteReadyForInstallation_AC]]-Table_SiteMilestoneTracking[[#This Row],[TXReady_AC]],"-")</f>
        <v>-</v>
      </c>
      <c r="BA88" s="64">
        <f>$BA$2</f>
        <v>2500</v>
      </c>
      <c r="BB88" s="82"/>
      <c r="BC88" s="63">
        <f>Table_SiteMilestoneTracking[[#This Row],[SiteReadyForInstallation_BL]]+t6_InstallationBL</f>
        <v>44059</v>
      </c>
      <c r="BD88" s="84"/>
      <c r="BE88" s="64" t="str">
        <f>IF(ISBLANK(Table_SiteMilestoneTracking[[#This Row],[SiteReadyForIntegration_AC]])=FALSE,Table_SiteMilestoneTracking[[#This Row],[SiteReadyForIntegration_AC]]-Table_SiteMilestoneTracking[[#This Row],[SiteReadyForIntegration_BL]],"-")</f>
        <v>-</v>
      </c>
      <c r="BF88" s="64" t="str">
        <f>IF(ISBLANK(Table_SiteMilestoneTracking[[#This Row],[SiteReadyForIntegration_AC]])=FALSE,Table_SiteMilestoneTracking[[#This Row],[SiteReadyForIntegration_AC]]-Table_SiteMilestoneTracking[[#This Row],[SiteReadyForInstallation_AC]],"-")</f>
        <v>-</v>
      </c>
      <c r="BG88" s="64">
        <f>$BG$2</f>
        <v>500</v>
      </c>
      <c r="BH88" s="82"/>
      <c r="BI88" s="63">
        <f>Table_SiteMilestoneTracking[[#This Row],[SiteReadyForIntegration_BL]]+t7_IntegrationBL</f>
        <v>44063</v>
      </c>
      <c r="BJ88" s="84"/>
      <c r="BK88" s="64" t="str">
        <f>IF(ISBLANK(Table_SiteMilestoneTracking[[#This Row],[SiteOnAir_AC]])=FALSE,Table_SiteMilestoneTracking[[#This Row],[SiteOnAir_AC]]-Table_SiteMilestoneTracking[[#This Row],[SiteOnAir_BL]],"-")</f>
        <v>-</v>
      </c>
      <c r="BL88" s="64" t="str">
        <f>IF(ISBLANK(Table_SiteMilestoneTracking[[#This Row],[SiteOnAir_AC]])=FALSE,Table_SiteMilestoneTracking[[#This Row],[SiteOnAir_AC]]-Table_SiteMilestoneTracking[[#This Row],[SiteReadyForIntegration_AC]],"-")</f>
        <v>-</v>
      </c>
      <c r="BM88" s="64">
        <f>$BM$2</f>
        <v>250</v>
      </c>
      <c r="BN88" s="82"/>
      <c r="BO88" s="63">
        <f>Table_SiteMilestoneTracking[[#This Row],[SiteOnAir_BL]]+t8_AcceptanceBL</f>
        <v>44067</v>
      </c>
      <c r="BP88" s="84"/>
      <c r="BQ88" s="64" t="str">
        <f>IF(ISBLANK(Table_SiteMilestoneTracking[[#This Row],[SiteAccepted_AC]])=FALSE,Table_SiteMilestoneTracking[[#This Row],[SiteAccepted_AC]]-Table_SiteMilestoneTracking[[#This Row],[SiteAccepted_BL]],"-")</f>
        <v>-</v>
      </c>
      <c r="BR88" s="64" t="str">
        <f>IF(ISBLANK(Table_SiteMilestoneTracking[[#This Row],[SiteAccepted_AC]])=FALSE,Table_SiteMilestoneTracking[[#This Row],[SiteAccepted_AC]]-Table_SiteMilestoneTracking[[#This Row],[SiteOnAir_AC]],"-")</f>
        <v>-</v>
      </c>
      <c r="BS88" s="64">
        <f>$BS$2</f>
        <v>200</v>
      </c>
      <c r="BT88" s="82"/>
      <c r="BU88" s="63">
        <f>Table_SiteMilestoneTracking[[#This Row],[SiteAccepted_BL]]+t9_HandoverBL</f>
        <v>44075</v>
      </c>
      <c r="BV88" s="84"/>
      <c r="BW88" s="64" t="str">
        <f>IF(ISBLANK(Table_SiteMilestoneTracking[[#This Row],[SiteInOperations_AC]])=FALSE,Table_SiteMilestoneTracking[[#This Row],[SiteInOperations_AC]]-Table_SiteMilestoneTracking[[#This Row],[SiteInOperations_BL]],"-")</f>
        <v>-</v>
      </c>
      <c r="BX88" s="66">
        <f>Table_SiteMilestoneTracking[[#This Row],[SiteInOperations_BL]]-Table_SiteMilestoneTracking[[#This Row],[SiteDesignReady_BL]]</f>
        <v>55</v>
      </c>
      <c r="BY88" s="66" t="str">
        <f>IF(Table_SiteMilestoneTracking[[#This Row],[CurrentSiteMilestone]]="SiteInOperations",Table_SiteMilestoneTracking[[#This Row],[SiteInOperations_AC]]-Table_SiteMilestoneTracking[[#This Row],[SiteDesignReady_AC]],"")</f>
        <v/>
      </c>
      <c r="BZ88" s="66" t="str">
        <f>IFERROR(Table_SiteMilestoneTracking[[#This Row],[E2E_Site_AC]]-Table_SiteMilestoneTracking[[#This Row],[E2E_Site_BL]],"")</f>
        <v/>
      </c>
      <c r="CA88" s="66" t="str">
        <f>IF(Table_SiteMilestoneTracking[[#This Row],[CurrentSiteMilestone]]="SiteInOperations",Table_SiteMilestoneTracking[[#This Row],[SiteInOperations_AC]]-Table_SiteMilestoneTracking[[#This Row],[SiteAccepted_AC]],"")</f>
        <v/>
      </c>
      <c r="CB88" s="79"/>
      <c r="CC88" s="89"/>
      <c r="CD88" s="89"/>
      <c r="CE88" s="70"/>
      <c r="CF88" s="70"/>
      <c r="CG88" s="70"/>
      <c r="CH88" s="70"/>
      <c r="CI88" s="70"/>
      <c r="CJ88" s="70"/>
      <c r="CK88" s="70"/>
      <c r="CL88" s="70"/>
      <c r="CM88" s="70"/>
      <c r="CN88" s="70"/>
      <c r="CO88" s="70"/>
      <c r="CP88" s="70"/>
      <c r="CQ88" s="70"/>
      <c r="CR88" s="70"/>
      <c r="CS88" s="70"/>
      <c r="CT88" s="70"/>
      <c r="CU88" s="70"/>
      <c r="CV88" s="70"/>
      <c r="CW88" s="70"/>
      <c r="CX88" s="70"/>
      <c r="CY88" s="70"/>
      <c r="CZ88" s="70"/>
      <c r="DA88" s="70"/>
      <c r="DB88" s="70"/>
      <c r="DC88" s="70"/>
      <c r="DD88" s="70"/>
      <c r="DE88" s="70"/>
      <c r="DF88" s="70"/>
      <c r="DG88" s="70"/>
      <c r="DH88" s="70"/>
      <c r="DI88" s="70"/>
      <c r="DJ88" s="70"/>
      <c r="DK88" s="70"/>
      <c r="DL88" s="70"/>
      <c r="DM88" s="70"/>
      <c r="DN88" s="70"/>
      <c r="DO88" s="70"/>
      <c r="DP88" s="70"/>
      <c r="DQ88" s="70"/>
      <c r="DR88" s="70"/>
      <c r="DS88" s="70"/>
      <c r="DT88" s="70"/>
      <c r="DU88" s="70"/>
      <c r="DV88" s="70"/>
    </row>
    <row r="89" spans="1:126" x14ac:dyDescent="0.3">
      <c r="A89" s="79" t="str">
        <f>'4. Design Tracking Summary'!A90</f>
        <v>LA00613</v>
      </c>
      <c r="B89" s="79" t="str">
        <f>'4. Design Tracking Summary'!B90</f>
        <v>North</v>
      </c>
      <c r="C89" s="79" t="str">
        <f>'4. Design Tracking Summary'!C90</f>
        <v>VER</v>
      </c>
      <c r="D89" s="79" t="str">
        <f>'4. Design Tracking Summary'!D90</f>
        <v>MINI</v>
      </c>
      <c r="E89" s="79" t="s">
        <v>57</v>
      </c>
      <c r="F89" s="79"/>
      <c r="G89" s="60" t="str">
        <f>IFERROR(INDEX(Table_SiteMilestonesNames[SiteMilestoneName],COUNTA(Table_SiteMilestoneTracking[[#This Row],[SiteDesignStarted_AC]],Table_SiteMilestoneTracking[[#This Row],[SiteDesignReady_AC]],Table_SiteMilestoneTracking[[#This Row],[SiteSurveyCompleted_AC]],Table_SiteMilestoneTracking[[#This Row],[SiteAcquired_AC]],Table_SiteMilestoneTracking[[#This Row],[SiteReadyForCW_AC]],Table_SiteMilestoneTracking[[#This Row],[SiteReadyForPower_AC]],Table_SiteMilestoneTracking[[#This Row],[TXReady_AC]],Table_SiteMilestoneTracking[[#This Row],[SiteReadyForInstallation_AC]],Table_SiteMilestoneTracking[[#This Row],[SiteReadyForIntegration_AC]],Table_SiteMilestoneTracking[[#This Row],[SiteOnAir_AC]],Table_SiteMilestoneTracking[[#This Row],[SiteAccepted_AC]],Table_SiteMilestoneTracking[[#This Row],[SiteInOperations_AC]])+1),"Invalid Milestone")</f>
        <v>SiteSurveyCompleted</v>
      </c>
      <c r="H89" s="61">
        <f>Table_SiteMilestoneTracking[[#This Row],[c0_SiteDesignCostBL]]+Table_SiteMilestoneTracking[[#This Row],[c1_SiteSurveyCostBL]]+Table_SiteMilestoneTracking[[#This Row],[c2_SiteAcquisitionCostBL]]+Table_SiteMilestoneTracking[[#This Row],[c3_CivilWorksCostBL]]+Table_SiteMilestoneTracking[[#This Row],[c4_PowerInstallCostBL]]+Table_SiteMilestoneTracking[[#This Row],[c5_TxintegrationCostBL]]+Table_SiteMilestoneTracking[[#This Row],[c6_InstallationCostBL]]+Table_SiteMilestoneTracking[[#This Row],[c7_IntegrationCostBL]]+Table_SiteMilestoneTracking[[#This Row],[c8_AcceptanceCostBL]]+Table_SiteMilestoneTracking[[#This Row],[c9_HandoverCostBL]]</f>
        <v>7550</v>
      </c>
      <c r="I89" s="62">
        <f>Table_SiteMilestoneTracking[[#This Row],[c0_SiteDesignCostAC]]+Table_SiteMilestoneTracking[[#This Row],[c1_SiteSurveyCostAC]]+Table_SiteMilestoneTracking[[#This Row],[c2_SiteAcquisitionCostAC]]+Table_SiteMilestoneTracking[[#This Row],[c3_CivilWorksCostAC]]+Table_SiteMilestoneTracking[[#This Row],[c4_PowerInstallCostAC]]+Table_SiteMilestoneTracking[[#This Row],[c5_TxintegrationCostAC]]+Table_SiteMilestoneTracking[[#This Row],[c6_InstallationCostAC]]+Table_SiteMilestoneTracking[[#This Row],[c7_IntegrationCostAC]]+Table_SiteMilestoneTracking[[#This Row],[c8_AcceptanceCostAC]]+Table_SiteMilestoneTracking[[#This Row],[c9_HandoverCostAC]]</f>
        <v>1045</v>
      </c>
      <c r="J89" s="84">
        <v>44018</v>
      </c>
      <c r="K89" s="84">
        <v>44019</v>
      </c>
      <c r="L89" s="64">
        <f>IF(ISBLANK(Table_SiteMilestoneTracking[[#This Row],[SiteDesignStarted_AC]])=FALSE,Table_SiteMilestoneTracking[[#This Row],[SiteDesignStarted_AC]]-Table_SiteMilestoneTracking[[#This Row],[SiteDesignStarted_BL]],"")</f>
        <v>1</v>
      </c>
      <c r="M89" s="64">
        <f t="shared" si="11"/>
        <v>500</v>
      </c>
      <c r="N89" s="87">
        <v>420</v>
      </c>
      <c r="O89" s="63">
        <f>Table_SiteMilestoneTracking[[#This Row],[SiteDesignStarted_BL]]+t0_SiteDesignDelayBL</f>
        <v>44020</v>
      </c>
      <c r="P89" s="84">
        <v>44021</v>
      </c>
      <c r="Q89" s="64">
        <f>IF(ISBLANK(Table_SiteMilestoneTracking[[#This Row],[SiteDesignReady_AC]])=FALSE,Table_SiteMilestoneTracking[[#This Row],[SiteDesignReady_AC]]-Table_SiteMilestoneTracking[[#This Row],[SiteDesignReady_BL]],"-")</f>
        <v>1</v>
      </c>
      <c r="R89" s="64">
        <f t="shared" si="16"/>
        <v>500</v>
      </c>
      <c r="S89" s="82">
        <v>625</v>
      </c>
      <c r="T89" s="63">
        <f>Table_SiteMilestoneTracking[[#This Row],[SiteDesignReady_BL]]+t1_SiteSurveyBL</f>
        <v>44022</v>
      </c>
      <c r="U89" s="84">
        <v>44022</v>
      </c>
      <c r="V89" s="64">
        <f>IF(ISBLANK(Table_SiteMilestoneTracking[[#This Row],[SiteSurveyCompleted_AC]])=FALSE,Table_SiteMilestoneTracking[[#This Row],[SiteSurveyCompleted_AC]]-Table_SiteMilestoneTracking[[#This Row],[SiteDesignReady_AC]],"-")</f>
        <v>1</v>
      </c>
      <c r="W89" s="64">
        <f t="shared" si="12"/>
        <v>600</v>
      </c>
      <c r="X89" s="82"/>
      <c r="Y89" s="63">
        <f>Table_SiteMilestoneTracking[[#This Row],[SiteSurveyCompleted_BL]]+t2_SiteAcquisitionBL</f>
        <v>44033</v>
      </c>
      <c r="Z89" s="84"/>
      <c r="AA89" s="65" t="str">
        <f>IF(ISBLANK(Table_SiteMilestoneTracking[[#This Row],[SiteAcquired_AC]])=FALSE,Table_SiteMilestoneTracking[[#This Row],[SiteAcquired_AC]]-Table_SiteMilestoneTracking[[#This Row],[SiteAcquired_BL]],"-")</f>
        <v>-</v>
      </c>
      <c r="AB89" s="65" t="str">
        <f>IF(ISBLANK(Table_SiteMilestoneTracking[[#This Row],[SiteAcquired_AC]])=FALSE,Table_SiteMilestoneTracking[[#This Row],[SiteAcquired_AC]]-Table_SiteMilestoneTracking[[#This Row],[SiteSurveyCompleted_AC]],"-")</f>
        <v>-</v>
      </c>
      <c r="AC89" s="64">
        <f t="shared" si="13"/>
        <v>150</v>
      </c>
      <c r="AD89" s="82"/>
      <c r="AE89" s="63">
        <f>Table_SiteMilestoneTracking[[#This Row],[SiteAcquired_BL]]+t2a_SiteCWReadinessBL</f>
        <v>44035</v>
      </c>
      <c r="AF89" s="84"/>
      <c r="AG89" s="66" t="str">
        <f>IF(ISBLANK(Table_SiteMilestoneTracking[[#This Row],[SiteReadyForCW_AC]])=FALSE,Table_SiteMilestoneTracking[[#This Row],[SiteReadyForCW_AC]]-Table_SiteMilestoneTracking[[#This Row],[SiteReadyForCW_BL]],"-")</f>
        <v>-</v>
      </c>
      <c r="AH89" s="66" t="str">
        <f>IF(ISBLANK(Table_SiteMilestoneTracking[[#This Row],[SiteReadyForCW_AC]])=FALSE,Table_SiteMilestoneTracking[[#This Row],[SiteReadyForCW_AC]]-Table_SiteMilestoneTracking[[#This Row],[SiteDesignReady_AC]],"-")</f>
        <v>-</v>
      </c>
      <c r="AI89" s="64">
        <f t="shared" si="14"/>
        <v>1500</v>
      </c>
      <c r="AJ89" s="82"/>
      <c r="AK89" s="63">
        <f>Table_SiteMilestoneTracking[[#This Row],[SiteReadyForCW_BL]]+t3_CivilWorksBL</f>
        <v>44043</v>
      </c>
      <c r="AL89" s="84"/>
      <c r="AM89" s="64" t="str">
        <f>IF(ISBLANK(Table_SiteMilestoneTracking[[#This Row],[SiteReadyForPower_AC]])=FALSE,Table_SiteMilestoneTracking[[#This Row],[SiteReadyForPower_AC]]-Table_SiteMilestoneTracking[[#This Row],[SiteReadyForPower_BL]],"-")</f>
        <v>-</v>
      </c>
      <c r="AN89" s="64" t="str">
        <f>IF(ISBLANK(Table_SiteMilestoneTracking[[#This Row],[SiteReadyForPower_AC]])=FALSE,Table_SiteMilestoneTracking[[#This Row],[SiteReadyForPower_AC]]-Table_SiteMilestoneTracking[[#This Row],[SiteReadyForCW_AC]],"-")</f>
        <v>-</v>
      </c>
      <c r="AO89" s="64">
        <f t="shared" si="15"/>
        <v>500</v>
      </c>
      <c r="AP89" s="82"/>
      <c r="AQ89" s="63">
        <f>Table_SiteMilestoneTracking[[#This Row],[SiteReadyForPower_BL]]+t4_PowerInstallBL</f>
        <v>44048</v>
      </c>
      <c r="AR89" s="84"/>
      <c r="AS89" s="64" t="str">
        <f>IF(ISBLANK(Table_SiteMilestoneTracking[[#This Row],[TXReady_AC]])=FALSE,Table_SiteMilestoneTracking[[#This Row],[TXReady_AC]]-Table_SiteMilestoneTracking[[#This Row],[TXReady_BL]],"-")</f>
        <v>-</v>
      </c>
      <c r="AT89" s="64" t="str">
        <f>IF(ISBLANK(Table_SiteMilestoneTracking[[#This Row],[TXReady_AC]])=FALSE,Table_SiteMilestoneTracking[[#This Row],[TXReady_AC]]-Table_SiteMilestoneTracking[[#This Row],[SiteReadyForPower_AC]],"-")</f>
        <v>-</v>
      </c>
      <c r="AU89" s="64">
        <f>$AU$2</f>
        <v>500</v>
      </c>
      <c r="AV89" s="82"/>
      <c r="AW89" s="63">
        <f>Table_SiteMilestoneTracking[[#This Row],[TXReady_BL]]+t5_TxintegrationBL</f>
        <v>44055</v>
      </c>
      <c r="AX89" s="84"/>
      <c r="AY89" s="64" t="str">
        <f>IF(ISBLANK(Table_SiteMilestoneTracking[[#This Row],[SiteReadyForInstallation_AC]])=FALSE,Table_SiteMilestoneTracking[[#This Row],[SiteReadyForInstallation_AC]]-Table_SiteMilestoneTracking[[#This Row],[SiteReadyForInstallation_BL]],"-")</f>
        <v>-</v>
      </c>
      <c r="AZ89" s="64" t="str">
        <f>IF(ISBLANK(Table_SiteMilestoneTracking[[#This Row],[SiteReadyForInstallation_AC]])=FALSE,Table_SiteMilestoneTracking[[#This Row],[SiteReadyForInstallation_AC]]-Table_SiteMilestoneTracking[[#This Row],[TXReady_AC]],"-")</f>
        <v>-</v>
      </c>
      <c r="BA89" s="64">
        <f>$BA$2</f>
        <v>2500</v>
      </c>
      <c r="BB89" s="82"/>
      <c r="BC89" s="63">
        <f>Table_SiteMilestoneTracking[[#This Row],[SiteReadyForInstallation_BL]]+t6_InstallationBL</f>
        <v>44059</v>
      </c>
      <c r="BD89" s="84"/>
      <c r="BE89" s="64" t="str">
        <f>IF(ISBLANK(Table_SiteMilestoneTracking[[#This Row],[SiteReadyForIntegration_AC]])=FALSE,Table_SiteMilestoneTracking[[#This Row],[SiteReadyForIntegration_AC]]-Table_SiteMilestoneTracking[[#This Row],[SiteReadyForIntegration_BL]],"-")</f>
        <v>-</v>
      </c>
      <c r="BF89" s="64" t="str">
        <f>IF(ISBLANK(Table_SiteMilestoneTracking[[#This Row],[SiteReadyForIntegration_AC]])=FALSE,Table_SiteMilestoneTracking[[#This Row],[SiteReadyForIntegration_AC]]-Table_SiteMilestoneTracking[[#This Row],[SiteReadyForInstallation_AC]],"-")</f>
        <v>-</v>
      </c>
      <c r="BG89" s="64">
        <f>$BG$2</f>
        <v>500</v>
      </c>
      <c r="BH89" s="82"/>
      <c r="BI89" s="63">
        <f>Table_SiteMilestoneTracking[[#This Row],[SiteReadyForIntegration_BL]]+t7_IntegrationBL</f>
        <v>44063</v>
      </c>
      <c r="BJ89" s="84"/>
      <c r="BK89" s="64" t="str">
        <f>IF(ISBLANK(Table_SiteMilestoneTracking[[#This Row],[SiteOnAir_AC]])=FALSE,Table_SiteMilestoneTracking[[#This Row],[SiteOnAir_AC]]-Table_SiteMilestoneTracking[[#This Row],[SiteOnAir_BL]],"-")</f>
        <v>-</v>
      </c>
      <c r="BL89" s="64" t="str">
        <f>IF(ISBLANK(Table_SiteMilestoneTracking[[#This Row],[SiteOnAir_AC]])=FALSE,Table_SiteMilestoneTracking[[#This Row],[SiteOnAir_AC]]-Table_SiteMilestoneTracking[[#This Row],[SiteReadyForIntegration_AC]],"-")</f>
        <v>-</v>
      </c>
      <c r="BM89" s="64">
        <f>$BM$2</f>
        <v>250</v>
      </c>
      <c r="BN89" s="82"/>
      <c r="BO89" s="63">
        <f>Table_SiteMilestoneTracking[[#This Row],[SiteOnAir_BL]]+t8_AcceptanceBL</f>
        <v>44067</v>
      </c>
      <c r="BP89" s="84"/>
      <c r="BQ89" s="64" t="str">
        <f>IF(ISBLANK(Table_SiteMilestoneTracking[[#This Row],[SiteAccepted_AC]])=FALSE,Table_SiteMilestoneTracking[[#This Row],[SiteAccepted_AC]]-Table_SiteMilestoneTracking[[#This Row],[SiteAccepted_BL]],"-")</f>
        <v>-</v>
      </c>
      <c r="BR89" s="64" t="str">
        <f>IF(ISBLANK(Table_SiteMilestoneTracking[[#This Row],[SiteAccepted_AC]])=FALSE,Table_SiteMilestoneTracking[[#This Row],[SiteAccepted_AC]]-Table_SiteMilestoneTracking[[#This Row],[SiteOnAir_AC]],"-")</f>
        <v>-</v>
      </c>
      <c r="BS89" s="64">
        <f>$BS$2</f>
        <v>200</v>
      </c>
      <c r="BT89" s="82"/>
      <c r="BU89" s="63">
        <f>Table_SiteMilestoneTracking[[#This Row],[SiteAccepted_BL]]+t9_HandoverBL</f>
        <v>44075</v>
      </c>
      <c r="BV89" s="84"/>
      <c r="BW89" s="64" t="str">
        <f>IF(ISBLANK(Table_SiteMilestoneTracking[[#This Row],[SiteInOperations_AC]])=FALSE,Table_SiteMilestoneTracking[[#This Row],[SiteInOperations_AC]]-Table_SiteMilestoneTracking[[#This Row],[SiteInOperations_BL]],"-")</f>
        <v>-</v>
      </c>
      <c r="BX89" s="66">
        <f>Table_SiteMilestoneTracking[[#This Row],[SiteInOperations_BL]]-Table_SiteMilestoneTracking[[#This Row],[SiteDesignReady_BL]]</f>
        <v>55</v>
      </c>
      <c r="BY89" s="66" t="str">
        <f>IF(Table_SiteMilestoneTracking[[#This Row],[CurrentSiteMilestone]]="SiteInOperations",Table_SiteMilestoneTracking[[#This Row],[SiteInOperations_AC]]-Table_SiteMilestoneTracking[[#This Row],[SiteDesignReady_AC]],"")</f>
        <v/>
      </c>
      <c r="BZ89" s="66" t="str">
        <f>IFERROR(Table_SiteMilestoneTracking[[#This Row],[E2E_Site_AC]]-Table_SiteMilestoneTracking[[#This Row],[E2E_Site_BL]],"")</f>
        <v/>
      </c>
      <c r="CA89" s="66" t="str">
        <f>IF(Table_SiteMilestoneTracking[[#This Row],[CurrentSiteMilestone]]="SiteInOperations",Table_SiteMilestoneTracking[[#This Row],[SiteInOperations_AC]]-Table_SiteMilestoneTracking[[#This Row],[SiteAccepted_AC]],"")</f>
        <v/>
      </c>
      <c r="CB89" s="79"/>
      <c r="CC89" s="89"/>
      <c r="CD89" s="89"/>
      <c r="CE89" s="70"/>
      <c r="CF89" s="70"/>
      <c r="CG89" s="70"/>
      <c r="CH89" s="70"/>
      <c r="CI89" s="70"/>
      <c r="CJ89" s="70"/>
      <c r="CK89" s="70"/>
      <c r="CL89" s="70"/>
      <c r="CM89" s="70"/>
      <c r="CN89" s="70"/>
      <c r="CO89" s="70"/>
      <c r="CP89" s="70"/>
      <c r="CQ89" s="70"/>
      <c r="CR89" s="70"/>
      <c r="CS89" s="70"/>
      <c r="CT89" s="70"/>
      <c r="CU89" s="70"/>
      <c r="CV89" s="70"/>
      <c r="CW89" s="70"/>
      <c r="CX89" s="70"/>
      <c r="CY89" s="70"/>
      <c r="CZ89" s="70"/>
      <c r="DA89" s="70"/>
      <c r="DB89" s="70"/>
      <c r="DC89" s="70"/>
      <c r="DD89" s="70"/>
      <c r="DE89" s="70"/>
      <c r="DF89" s="70"/>
      <c r="DG89" s="70"/>
      <c r="DH89" s="70"/>
      <c r="DI89" s="70"/>
      <c r="DJ89" s="70"/>
      <c r="DK89" s="70"/>
      <c r="DL89" s="70"/>
      <c r="DM89" s="70"/>
      <c r="DN89" s="70"/>
      <c r="DO89" s="70"/>
      <c r="DP89" s="70"/>
      <c r="DQ89" s="70"/>
      <c r="DR89" s="70"/>
      <c r="DS89" s="70"/>
      <c r="DT89" s="70"/>
      <c r="DU89" s="70"/>
      <c r="DV89" s="70"/>
    </row>
    <row r="90" spans="1:126" x14ac:dyDescent="0.3">
      <c r="A90" s="79" t="str">
        <f>'4. Design Tracking Summary'!A91</f>
        <v>LI01455</v>
      </c>
      <c r="B90" s="79" t="str">
        <f>'4. Design Tracking Summary'!B91</f>
        <v>Center</v>
      </c>
      <c r="C90" s="79" t="str">
        <f>'4. Design Tracking Summary'!C91</f>
        <v>CHI</v>
      </c>
      <c r="D90" s="79" t="str">
        <f>'4. Design Tracking Summary'!D91</f>
        <v>SMALL</v>
      </c>
      <c r="E90" s="79" t="s">
        <v>56</v>
      </c>
      <c r="F90" s="79"/>
      <c r="G90" s="60" t="str">
        <f>IFERROR(INDEX(Table_SiteMilestonesNames[SiteMilestoneName],COUNTA(Table_SiteMilestoneTracking[[#This Row],[SiteDesignStarted_AC]],Table_SiteMilestoneTracking[[#This Row],[SiteDesignReady_AC]],Table_SiteMilestoneTracking[[#This Row],[SiteSurveyCompleted_AC]],Table_SiteMilestoneTracking[[#This Row],[SiteAcquired_AC]],Table_SiteMilestoneTracking[[#This Row],[SiteReadyForCW_AC]],Table_SiteMilestoneTracking[[#This Row],[SiteReadyForPower_AC]],Table_SiteMilestoneTracking[[#This Row],[TXReady_AC]],Table_SiteMilestoneTracking[[#This Row],[SiteReadyForInstallation_AC]],Table_SiteMilestoneTracking[[#This Row],[SiteReadyForIntegration_AC]],Table_SiteMilestoneTracking[[#This Row],[SiteOnAir_AC]],Table_SiteMilestoneTracking[[#This Row],[SiteAccepted_AC]],Table_SiteMilestoneTracking[[#This Row],[SiteInOperations_AC]])+1),"Invalid Milestone")</f>
        <v>SiteDesignReady</v>
      </c>
      <c r="H90" s="61">
        <f>Table_SiteMilestoneTracking[[#This Row],[c0_SiteDesignCostBL]]+Table_SiteMilestoneTracking[[#This Row],[c1_SiteSurveyCostBL]]+Table_SiteMilestoneTracking[[#This Row],[c2_SiteAcquisitionCostBL]]+Table_SiteMilestoneTracking[[#This Row],[c3_CivilWorksCostBL]]+Table_SiteMilestoneTracking[[#This Row],[c4_PowerInstallCostBL]]+Table_SiteMilestoneTracking[[#This Row],[c5_TxintegrationCostBL]]+Table_SiteMilestoneTracking[[#This Row],[c6_InstallationCostBL]]+Table_SiteMilestoneTracking[[#This Row],[c7_IntegrationCostBL]]+Table_SiteMilestoneTracking[[#This Row],[c8_AcceptanceCostBL]]+Table_SiteMilestoneTracking[[#This Row],[c9_HandoverCostBL]]</f>
        <v>7550</v>
      </c>
      <c r="I90" s="62">
        <f>Table_SiteMilestoneTracking[[#This Row],[c0_SiteDesignCostAC]]+Table_SiteMilestoneTracking[[#This Row],[c1_SiteSurveyCostAC]]+Table_SiteMilestoneTracking[[#This Row],[c2_SiteAcquisitionCostAC]]+Table_SiteMilestoneTracking[[#This Row],[c3_CivilWorksCostAC]]+Table_SiteMilestoneTracking[[#This Row],[c4_PowerInstallCostAC]]+Table_SiteMilestoneTracking[[#This Row],[c5_TxintegrationCostAC]]+Table_SiteMilestoneTracking[[#This Row],[c6_InstallationCostAC]]+Table_SiteMilestoneTracking[[#This Row],[c7_IntegrationCostAC]]+Table_SiteMilestoneTracking[[#This Row],[c8_AcceptanceCostAC]]+Table_SiteMilestoneTracking[[#This Row],[c9_HandoverCostAC]]</f>
        <v>460</v>
      </c>
      <c r="J90" s="84">
        <v>44025</v>
      </c>
      <c r="K90" s="84">
        <v>44032</v>
      </c>
      <c r="L90" s="64">
        <f>IF(ISBLANK(Table_SiteMilestoneTracking[[#This Row],[SiteDesignStarted_AC]])=FALSE,Table_SiteMilestoneTracking[[#This Row],[SiteDesignStarted_AC]]-Table_SiteMilestoneTracking[[#This Row],[SiteDesignStarted_BL]],"")</f>
        <v>7</v>
      </c>
      <c r="M90" s="64">
        <f t="shared" si="11"/>
        <v>500</v>
      </c>
      <c r="N90" s="87">
        <v>460</v>
      </c>
      <c r="O90" s="63">
        <f>Table_SiteMilestoneTracking[[#This Row],[SiteDesignStarted_BL]]+t0_SiteDesignDelayBL</f>
        <v>44027</v>
      </c>
      <c r="P90" s="84">
        <v>44028</v>
      </c>
      <c r="Q90" s="64">
        <f>IF(ISBLANK(Table_SiteMilestoneTracking[[#This Row],[SiteDesignReady_AC]])=FALSE,Table_SiteMilestoneTracking[[#This Row],[SiteDesignReady_AC]]-Table_SiteMilestoneTracking[[#This Row],[SiteDesignReady_BL]],"-")</f>
        <v>1</v>
      </c>
      <c r="R90" s="64">
        <f t="shared" si="16"/>
        <v>500</v>
      </c>
      <c r="S90" s="82"/>
      <c r="T90" s="63">
        <f>Table_SiteMilestoneTracking[[#This Row],[SiteDesignReady_BL]]+t1_SiteSurveyBL</f>
        <v>44029</v>
      </c>
      <c r="U90" s="84"/>
      <c r="V90" s="64" t="str">
        <f>IF(ISBLANK(Table_SiteMilestoneTracking[[#This Row],[SiteSurveyCompleted_AC]])=FALSE,Table_SiteMilestoneTracking[[#This Row],[SiteSurveyCompleted_AC]]-Table_SiteMilestoneTracking[[#This Row],[SiteDesignReady_AC]],"-")</f>
        <v>-</v>
      </c>
      <c r="W90" s="64">
        <f t="shared" si="12"/>
        <v>600</v>
      </c>
      <c r="X90" s="82"/>
      <c r="Y90" s="63">
        <f>Table_SiteMilestoneTracking[[#This Row],[SiteSurveyCompleted_BL]]+t2_SiteAcquisitionBL</f>
        <v>44040</v>
      </c>
      <c r="Z90" s="84"/>
      <c r="AA90" s="65" t="str">
        <f>IF(ISBLANK(Table_SiteMilestoneTracking[[#This Row],[SiteAcquired_AC]])=FALSE,Table_SiteMilestoneTracking[[#This Row],[SiteAcquired_AC]]-Table_SiteMilestoneTracking[[#This Row],[SiteAcquired_BL]],"-")</f>
        <v>-</v>
      </c>
      <c r="AB90" s="65" t="str">
        <f>IF(ISBLANK(Table_SiteMilestoneTracking[[#This Row],[SiteAcquired_AC]])=FALSE,Table_SiteMilestoneTracking[[#This Row],[SiteAcquired_AC]]-Table_SiteMilestoneTracking[[#This Row],[SiteSurveyCompleted_AC]],"-")</f>
        <v>-</v>
      </c>
      <c r="AC90" s="64">
        <f t="shared" si="13"/>
        <v>150</v>
      </c>
      <c r="AD90" s="82"/>
      <c r="AE90" s="63">
        <f>Table_SiteMilestoneTracking[[#This Row],[SiteAcquired_BL]]+t2a_SiteCWReadinessBL</f>
        <v>44042</v>
      </c>
      <c r="AF90" s="84"/>
      <c r="AG90" s="66" t="str">
        <f>IF(ISBLANK(Table_SiteMilestoneTracking[[#This Row],[SiteReadyForCW_AC]])=FALSE,Table_SiteMilestoneTracking[[#This Row],[SiteReadyForCW_AC]]-Table_SiteMilestoneTracking[[#This Row],[SiteReadyForCW_BL]],"-")</f>
        <v>-</v>
      </c>
      <c r="AH90" s="66" t="str">
        <f>IF(ISBLANK(Table_SiteMilestoneTracking[[#This Row],[SiteReadyForCW_AC]])=FALSE,Table_SiteMilestoneTracking[[#This Row],[SiteReadyForCW_AC]]-Table_SiteMilestoneTracking[[#This Row],[SiteDesignReady_AC]],"-")</f>
        <v>-</v>
      </c>
      <c r="AI90" s="64">
        <f t="shared" si="14"/>
        <v>1500</v>
      </c>
      <c r="AJ90" s="82"/>
      <c r="AK90" s="63">
        <f>Table_SiteMilestoneTracking[[#This Row],[SiteReadyForCW_BL]]+t3_CivilWorksBL</f>
        <v>44050</v>
      </c>
      <c r="AL90" s="84"/>
      <c r="AM90" s="64" t="str">
        <f>IF(ISBLANK(Table_SiteMilestoneTracking[[#This Row],[SiteReadyForPower_AC]])=FALSE,Table_SiteMilestoneTracking[[#This Row],[SiteReadyForPower_AC]]-Table_SiteMilestoneTracking[[#This Row],[SiteReadyForPower_BL]],"-")</f>
        <v>-</v>
      </c>
      <c r="AN90" s="64" t="str">
        <f>IF(ISBLANK(Table_SiteMilestoneTracking[[#This Row],[SiteReadyForPower_AC]])=FALSE,Table_SiteMilestoneTracking[[#This Row],[SiteReadyForPower_AC]]-Table_SiteMilestoneTracking[[#This Row],[SiteReadyForCW_AC]],"-")</f>
        <v>-</v>
      </c>
      <c r="AO90" s="64">
        <f t="shared" si="15"/>
        <v>500</v>
      </c>
      <c r="AP90" s="82"/>
      <c r="AQ90" s="63">
        <f>Table_SiteMilestoneTracking[[#This Row],[SiteReadyForPower_BL]]+t4_PowerInstallBL</f>
        <v>44055</v>
      </c>
      <c r="AR90" s="84"/>
      <c r="AS90" s="64" t="str">
        <f>IF(ISBLANK(Table_SiteMilestoneTracking[[#This Row],[TXReady_AC]])=FALSE,Table_SiteMilestoneTracking[[#This Row],[TXReady_AC]]-Table_SiteMilestoneTracking[[#This Row],[TXReady_BL]],"-")</f>
        <v>-</v>
      </c>
      <c r="AT90" s="64" t="str">
        <f>IF(ISBLANK(Table_SiteMilestoneTracking[[#This Row],[TXReady_AC]])=FALSE,Table_SiteMilestoneTracking[[#This Row],[TXReady_AC]]-Table_SiteMilestoneTracking[[#This Row],[SiteReadyForPower_AC]],"-")</f>
        <v>-</v>
      </c>
      <c r="AU90" s="64">
        <f>$AU$2</f>
        <v>500</v>
      </c>
      <c r="AV90" s="82"/>
      <c r="AW90" s="63">
        <f>Table_SiteMilestoneTracking[[#This Row],[TXReady_BL]]+t5_TxintegrationBL</f>
        <v>44062</v>
      </c>
      <c r="AX90" s="84"/>
      <c r="AY90" s="64" t="str">
        <f>IF(ISBLANK(Table_SiteMilestoneTracking[[#This Row],[SiteReadyForInstallation_AC]])=FALSE,Table_SiteMilestoneTracking[[#This Row],[SiteReadyForInstallation_AC]]-Table_SiteMilestoneTracking[[#This Row],[SiteReadyForInstallation_BL]],"-")</f>
        <v>-</v>
      </c>
      <c r="AZ90" s="64" t="str">
        <f>IF(ISBLANK(Table_SiteMilestoneTracking[[#This Row],[SiteReadyForInstallation_AC]])=FALSE,Table_SiteMilestoneTracking[[#This Row],[SiteReadyForInstallation_AC]]-Table_SiteMilestoneTracking[[#This Row],[TXReady_AC]],"-")</f>
        <v>-</v>
      </c>
      <c r="BA90" s="64">
        <f>$BA$2</f>
        <v>2500</v>
      </c>
      <c r="BB90" s="82"/>
      <c r="BC90" s="63">
        <f>Table_SiteMilestoneTracking[[#This Row],[SiteReadyForInstallation_BL]]+t6_InstallationBL</f>
        <v>44066</v>
      </c>
      <c r="BD90" s="84"/>
      <c r="BE90" s="64" t="str">
        <f>IF(ISBLANK(Table_SiteMilestoneTracking[[#This Row],[SiteReadyForIntegration_AC]])=FALSE,Table_SiteMilestoneTracking[[#This Row],[SiteReadyForIntegration_AC]]-Table_SiteMilestoneTracking[[#This Row],[SiteReadyForIntegration_BL]],"-")</f>
        <v>-</v>
      </c>
      <c r="BF90" s="64" t="str">
        <f>IF(ISBLANK(Table_SiteMilestoneTracking[[#This Row],[SiteReadyForIntegration_AC]])=FALSE,Table_SiteMilestoneTracking[[#This Row],[SiteReadyForIntegration_AC]]-Table_SiteMilestoneTracking[[#This Row],[SiteReadyForInstallation_AC]],"-")</f>
        <v>-</v>
      </c>
      <c r="BG90" s="64">
        <f>$BG$2</f>
        <v>500</v>
      </c>
      <c r="BH90" s="82"/>
      <c r="BI90" s="63">
        <f>Table_SiteMilestoneTracking[[#This Row],[SiteReadyForIntegration_BL]]+t7_IntegrationBL</f>
        <v>44070</v>
      </c>
      <c r="BJ90" s="84"/>
      <c r="BK90" s="64" t="str">
        <f>IF(ISBLANK(Table_SiteMilestoneTracking[[#This Row],[SiteOnAir_AC]])=FALSE,Table_SiteMilestoneTracking[[#This Row],[SiteOnAir_AC]]-Table_SiteMilestoneTracking[[#This Row],[SiteOnAir_BL]],"-")</f>
        <v>-</v>
      </c>
      <c r="BL90" s="64" t="str">
        <f>IF(ISBLANK(Table_SiteMilestoneTracking[[#This Row],[SiteOnAir_AC]])=FALSE,Table_SiteMilestoneTracking[[#This Row],[SiteOnAir_AC]]-Table_SiteMilestoneTracking[[#This Row],[SiteReadyForIntegration_AC]],"-")</f>
        <v>-</v>
      </c>
      <c r="BM90" s="64">
        <f>$BM$2</f>
        <v>250</v>
      </c>
      <c r="BN90" s="82"/>
      <c r="BO90" s="63">
        <f>Table_SiteMilestoneTracking[[#This Row],[SiteOnAir_BL]]+t8_AcceptanceBL</f>
        <v>44074</v>
      </c>
      <c r="BP90" s="84"/>
      <c r="BQ90" s="64" t="str">
        <f>IF(ISBLANK(Table_SiteMilestoneTracking[[#This Row],[SiteAccepted_AC]])=FALSE,Table_SiteMilestoneTracking[[#This Row],[SiteAccepted_AC]]-Table_SiteMilestoneTracking[[#This Row],[SiteAccepted_BL]],"-")</f>
        <v>-</v>
      </c>
      <c r="BR90" s="64" t="str">
        <f>IF(ISBLANK(Table_SiteMilestoneTracking[[#This Row],[SiteAccepted_AC]])=FALSE,Table_SiteMilestoneTracking[[#This Row],[SiteAccepted_AC]]-Table_SiteMilestoneTracking[[#This Row],[SiteOnAir_AC]],"-")</f>
        <v>-</v>
      </c>
      <c r="BS90" s="64">
        <f>$BS$2</f>
        <v>200</v>
      </c>
      <c r="BT90" s="82"/>
      <c r="BU90" s="63">
        <f>Table_SiteMilestoneTracking[[#This Row],[SiteAccepted_BL]]+t9_HandoverBL</f>
        <v>44082</v>
      </c>
      <c r="BV90" s="84"/>
      <c r="BW90" s="64" t="str">
        <f>IF(ISBLANK(Table_SiteMilestoneTracking[[#This Row],[SiteInOperations_AC]])=FALSE,Table_SiteMilestoneTracking[[#This Row],[SiteInOperations_AC]]-Table_SiteMilestoneTracking[[#This Row],[SiteInOperations_BL]],"-")</f>
        <v>-</v>
      </c>
      <c r="BX90" s="66">
        <f>Table_SiteMilestoneTracking[[#This Row],[SiteInOperations_BL]]-Table_SiteMilestoneTracking[[#This Row],[SiteDesignReady_BL]]</f>
        <v>55</v>
      </c>
      <c r="BY90" s="66" t="str">
        <f>IF(Table_SiteMilestoneTracking[[#This Row],[CurrentSiteMilestone]]="SiteInOperations",Table_SiteMilestoneTracking[[#This Row],[SiteInOperations_AC]]-Table_SiteMilestoneTracking[[#This Row],[SiteDesignReady_AC]],"")</f>
        <v/>
      </c>
      <c r="BZ90" s="66" t="str">
        <f>IFERROR(Table_SiteMilestoneTracking[[#This Row],[E2E_Site_AC]]-Table_SiteMilestoneTracking[[#This Row],[E2E_Site_BL]],"")</f>
        <v/>
      </c>
      <c r="CA90" s="66" t="str">
        <f>IF(Table_SiteMilestoneTracking[[#This Row],[CurrentSiteMilestone]]="SiteInOperations",Table_SiteMilestoneTracking[[#This Row],[SiteInOperations_AC]]-Table_SiteMilestoneTracking[[#This Row],[SiteAccepted_AC]],"")</f>
        <v/>
      </c>
      <c r="CB90" s="79"/>
      <c r="CC90" s="89"/>
      <c r="CD90" s="89"/>
      <c r="CE90" s="70"/>
      <c r="CF90" s="70"/>
      <c r="CG90" s="70"/>
      <c r="CH90" s="70"/>
      <c r="CI90" s="70"/>
      <c r="CJ90" s="70"/>
      <c r="CK90" s="70"/>
      <c r="CL90" s="70"/>
      <c r="CM90" s="70"/>
      <c r="CN90" s="70"/>
      <c r="CO90" s="70"/>
      <c r="CP90" s="70"/>
      <c r="CQ90" s="70"/>
      <c r="CR90" s="70"/>
      <c r="CS90" s="70"/>
      <c r="CT90" s="70"/>
      <c r="CU90" s="70"/>
      <c r="CV90" s="70"/>
      <c r="CW90" s="70"/>
      <c r="CX90" s="70"/>
      <c r="CY90" s="70"/>
      <c r="CZ90" s="70"/>
      <c r="DA90" s="70"/>
      <c r="DB90" s="70"/>
      <c r="DC90" s="70"/>
      <c r="DD90" s="70"/>
      <c r="DE90" s="70"/>
      <c r="DF90" s="70"/>
      <c r="DG90" s="70"/>
      <c r="DH90" s="70"/>
      <c r="DI90" s="70"/>
      <c r="DJ90" s="70"/>
      <c r="DK90" s="70"/>
      <c r="DL90" s="70"/>
      <c r="DM90" s="70"/>
      <c r="DN90" s="70"/>
      <c r="DO90" s="70"/>
      <c r="DP90" s="70"/>
      <c r="DQ90" s="70"/>
      <c r="DR90" s="70"/>
      <c r="DS90" s="70"/>
      <c r="DT90" s="70"/>
      <c r="DU90" s="70"/>
      <c r="DV90" s="70"/>
    </row>
    <row r="91" spans="1:126" x14ac:dyDescent="0.3">
      <c r="A91" s="79" t="str">
        <f>'4. Design Tracking Summary'!A92</f>
        <v>LI01461</v>
      </c>
      <c r="B91" s="79" t="str">
        <f>'4. Design Tracking Summary'!B92</f>
        <v>Center</v>
      </c>
      <c r="C91" s="79" t="str">
        <f>'4. Design Tracking Summary'!C92</f>
        <v>MTY</v>
      </c>
      <c r="D91" s="79" t="str">
        <f>'4. Design Tracking Summary'!D92</f>
        <v>MINI</v>
      </c>
      <c r="E91" s="79" t="s">
        <v>57</v>
      </c>
      <c r="F91" s="79"/>
      <c r="G91" s="60" t="str">
        <f>IFERROR(INDEX(Table_SiteMilestonesNames[SiteMilestoneName],COUNTA(Table_SiteMilestoneTracking[[#This Row],[SiteDesignStarted_AC]],Table_SiteMilestoneTracking[[#This Row],[SiteDesignReady_AC]],Table_SiteMilestoneTracking[[#This Row],[SiteSurveyCompleted_AC]],Table_SiteMilestoneTracking[[#This Row],[SiteAcquired_AC]],Table_SiteMilestoneTracking[[#This Row],[SiteReadyForCW_AC]],Table_SiteMilestoneTracking[[#This Row],[SiteReadyForPower_AC]],Table_SiteMilestoneTracking[[#This Row],[TXReady_AC]],Table_SiteMilestoneTracking[[#This Row],[SiteReadyForInstallation_AC]],Table_SiteMilestoneTracking[[#This Row],[SiteReadyForIntegration_AC]],Table_SiteMilestoneTracking[[#This Row],[SiteOnAir_AC]],Table_SiteMilestoneTracking[[#This Row],[SiteAccepted_AC]],Table_SiteMilestoneTracking[[#This Row],[SiteInOperations_AC]])+1),"Invalid Milestone")</f>
        <v>SiteDesignReady</v>
      </c>
      <c r="H91" s="61">
        <f>Table_SiteMilestoneTracking[[#This Row],[c0_SiteDesignCostBL]]+Table_SiteMilestoneTracking[[#This Row],[c1_SiteSurveyCostBL]]+Table_SiteMilestoneTracking[[#This Row],[c2_SiteAcquisitionCostBL]]+Table_SiteMilestoneTracking[[#This Row],[c3_CivilWorksCostBL]]+Table_SiteMilestoneTracking[[#This Row],[c4_PowerInstallCostBL]]+Table_SiteMilestoneTracking[[#This Row],[c5_TxintegrationCostBL]]+Table_SiteMilestoneTracking[[#This Row],[c6_InstallationCostBL]]+Table_SiteMilestoneTracking[[#This Row],[c7_IntegrationCostBL]]+Table_SiteMilestoneTracking[[#This Row],[c8_AcceptanceCostBL]]+Table_SiteMilestoneTracking[[#This Row],[c9_HandoverCostBL]]</f>
        <v>7550</v>
      </c>
      <c r="I91" s="62">
        <f>Table_SiteMilestoneTracking[[#This Row],[c0_SiteDesignCostAC]]+Table_SiteMilestoneTracking[[#This Row],[c1_SiteSurveyCostAC]]+Table_SiteMilestoneTracking[[#This Row],[c2_SiteAcquisitionCostAC]]+Table_SiteMilestoneTracking[[#This Row],[c3_CivilWorksCostAC]]+Table_SiteMilestoneTracking[[#This Row],[c4_PowerInstallCostAC]]+Table_SiteMilestoneTracking[[#This Row],[c5_TxintegrationCostAC]]+Table_SiteMilestoneTracking[[#This Row],[c6_InstallationCostAC]]+Table_SiteMilestoneTracking[[#This Row],[c7_IntegrationCostAC]]+Table_SiteMilestoneTracking[[#This Row],[c8_AcceptanceCostAC]]+Table_SiteMilestoneTracking[[#This Row],[c9_HandoverCostAC]]</f>
        <v>480</v>
      </c>
      <c r="J91" s="84">
        <v>44025</v>
      </c>
      <c r="K91" s="84">
        <v>44027</v>
      </c>
      <c r="L91" s="64">
        <f>IF(ISBLANK(Table_SiteMilestoneTracking[[#This Row],[SiteDesignStarted_AC]])=FALSE,Table_SiteMilestoneTracking[[#This Row],[SiteDesignStarted_AC]]-Table_SiteMilestoneTracking[[#This Row],[SiteDesignStarted_BL]],"")</f>
        <v>2</v>
      </c>
      <c r="M91" s="64">
        <f t="shared" si="11"/>
        <v>500</v>
      </c>
      <c r="N91" s="87">
        <v>480</v>
      </c>
      <c r="O91" s="63">
        <f>Table_SiteMilestoneTracking[[#This Row],[SiteDesignStarted_BL]]+t0_SiteDesignDelayBL</f>
        <v>44027</v>
      </c>
      <c r="P91" s="84">
        <v>44028</v>
      </c>
      <c r="Q91" s="64">
        <f>IF(ISBLANK(Table_SiteMilestoneTracking[[#This Row],[SiteDesignReady_AC]])=FALSE,Table_SiteMilestoneTracking[[#This Row],[SiteDesignReady_AC]]-Table_SiteMilestoneTracking[[#This Row],[SiteDesignReady_BL]],"-")</f>
        <v>1</v>
      </c>
      <c r="R91" s="64">
        <f t="shared" si="16"/>
        <v>500</v>
      </c>
      <c r="S91" s="82"/>
      <c r="T91" s="63">
        <f>Table_SiteMilestoneTracking[[#This Row],[SiteDesignReady_BL]]+t1_SiteSurveyBL</f>
        <v>44029</v>
      </c>
      <c r="U91" s="84"/>
      <c r="V91" s="64" t="str">
        <f>IF(ISBLANK(Table_SiteMilestoneTracking[[#This Row],[SiteSurveyCompleted_AC]])=FALSE,Table_SiteMilestoneTracking[[#This Row],[SiteSurveyCompleted_AC]]-Table_SiteMilestoneTracking[[#This Row],[SiteDesignReady_AC]],"-")</f>
        <v>-</v>
      </c>
      <c r="W91" s="64">
        <f t="shared" si="12"/>
        <v>600</v>
      </c>
      <c r="X91" s="82"/>
      <c r="Y91" s="63">
        <f>Table_SiteMilestoneTracking[[#This Row],[SiteSurveyCompleted_BL]]+t2_SiteAcquisitionBL</f>
        <v>44040</v>
      </c>
      <c r="Z91" s="84"/>
      <c r="AA91" s="65" t="str">
        <f>IF(ISBLANK(Table_SiteMilestoneTracking[[#This Row],[SiteAcquired_AC]])=FALSE,Table_SiteMilestoneTracking[[#This Row],[SiteAcquired_AC]]-Table_SiteMilestoneTracking[[#This Row],[SiteAcquired_BL]],"-")</f>
        <v>-</v>
      </c>
      <c r="AB91" s="65" t="str">
        <f>IF(ISBLANK(Table_SiteMilestoneTracking[[#This Row],[SiteAcquired_AC]])=FALSE,Table_SiteMilestoneTracking[[#This Row],[SiteAcquired_AC]]-Table_SiteMilestoneTracking[[#This Row],[SiteSurveyCompleted_AC]],"-")</f>
        <v>-</v>
      </c>
      <c r="AC91" s="64">
        <f t="shared" si="13"/>
        <v>150</v>
      </c>
      <c r="AD91" s="82"/>
      <c r="AE91" s="63">
        <f>Table_SiteMilestoneTracking[[#This Row],[SiteAcquired_BL]]+t2a_SiteCWReadinessBL</f>
        <v>44042</v>
      </c>
      <c r="AF91" s="84"/>
      <c r="AG91" s="66" t="str">
        <f>IF(ISBLANK(Table_SiteMilestoneTracking[[#This Row],[SiteReadyForCW_AC]])=FALSE,Table_SiteMilestoneTracking[[#This Row],[SiteReadyForCW_AC]]-Table_SiteMilestoneTracking[[#This Row],[SiteReadyForCW_BL]],"-")</f>
        <v>-</v>
      </c>
      <c r="AH91" s="66" t="str">
        <f>IF(ISBLANK(Table_SiteMilestoneTracking[[#This Row],[SiteReadyForCW_AC]])=FALSE,Table_SiteMilestoneTracking[[#This Row],[SiteReadyForCW_AC]]-Table_SiteMilestoneTracking[[#This Row],[SiteDesignReady_AC]],"-")</f>
        <v>-</v>
      </c>
      <c r="AI91" s="64">
        <f t="shared" si="14"/>
        <v>1500</v>
      </c>
      <c r="AJ91" s="82"/>
      <c r="AK91" s="63">
        <f>Table_SiteMilestoneTracking[[#This Row],[SiteReadyForCW_BL]]+t3_CivilWorksBL</f>
        <v>44050</v>
      </c>
      <c r="AL91" s="84"/>
      <c r="AM91" s="64" t="str">
        <f>IF(ISBLANK(Table_SiteMilestoneTracking[[#This Row],[SiteReadyForPower_AC]])=FALSE,Table_SiteMilestoneTracking[[#This Row],[SiteReadyForPower_AC]]-Table_SiteMilestoneTracking[[#This Row],[SiteReadyForPower_BL]],"-")</f>
        <v>-</v>
      </c>
      <c r="AN91" s="64" t="str">
        <f>IF(ISBLANK(Table_SiteMilestoneTracking[[#This Row],[SiteReadyForPower_AC]])=FALSE,Table_SiteMilestoneTracking[[#This Row],[SiteReadyForPower_AC]]-Table_SiteMilestoneTracking[[#This Row],[SiteReadyForCW_AC]],"-")</f>
        <v>-</v>
      </c>
      <c r="AO91" s="64">
        <f t="shared" si="15"/>
        <v>500</v>
      </c>
      <c r="AP91" s="82"/>
      <c r="AQ91" s="63">
        <f>Table_SiteMilestoneTracking[[#This Row],[SiteReadyForPower_BL]]+t4_PowerInstallBL</f>
        <v>44055</v>
      </c>
      <c r="AR91" s="84"/>
      <c r="AS91" s="64" t="str">
        <f>IF(ISBLANK(Table_SiteMilestoneTracking[[#This Row],[TXReady_AC]])=FALSE,Table_SiteMilestoneTracking[[#This Row],[TXReady_AC]]-Table_SiteMilestoneTracking[[#This Row],[TXReady_BL]],"-")</f>
        <v>-</v>
      </c>
      <c r="AT91" s="64" t="str">
        <f>IF(ISBLANK(Table_SiteMilestoneTracking[[#This Row],[TXReady_AC]])=FALSE,Table_SiteMilestoneTracking[[#This Row],[TXReady_AC]]-Table_SiteMilestoneTracking[[#This Row],[SiteReadyForPower_AC]],"-")</f>
        <v>-</v>
      </c>
      <c r="AU91" s="64">
        <f>$AU$2</f>
        <v>500</v>
      </c>
      <c r="AV91" s="82"/>
      <c r="AW91" s="63">
        <f>Table_SiteMilestoneTracking[[#This Row],[TXReady_BL]]+t5_TxintegrationBL</f>
        <v>44062</v>
      </c>
      <c r="AX91" s="84"/>
      <c r="AY91" s="64" t="str">
        <f>IF(ISBLANK(Table_SiteMilestoneTracking[[#This Row],[SiteReadyForInstallation_AC]])=FALSE,Table_SiteMilestoneTracking[[#This Row],[SiteReadyForInstallation_AC]]-Table_SiteMilestoneTracking[[#This Row],[SiteReadyForInstallation_BL]],"-")</f>
        <v>-</v>
      </c>
      <c r="AZ91" s="64" t="str">
        <f>IF(ISBLANK(Table_SiteMilestoneTracking[[#This Row],[SiteReadyForInstallation_AC]])=FALSE,Table_SiteMilestoneTracking[[#This Row],[SiteReadyForInstallation_AC]]-Table_SiteMilestoneTracking[[#This Row],[TXReady_AC]],"-")</f>
        <v>-</v>
      </c>
      <c r="BA91" s="64">
        <f>$BA$2</f>
        <v>2500</v>
      </c>
      <c r="BB91" s="82"/>
      <c r="BC91" s="63">
        <f>Table_SiteMilestoneTracking[[#This Row],[SiteReadyForInstallation_BL]]+t6_InstallationBL</f>
        <v>44066</v>
      </c>
      <c r="BD91" s="84"/>
      <c r="BE91" s="64" t="str">
        <f>IF(ISBLANK(Table_SiteMilestoneTracking[[#This Row],[SiteReadyForIntegration_AC]])=FALSE,Table_SiteMilestoneTracking[[#This Row],[SiteReadyForIntegration_AC]]-Table_SiteMilestoneTracking[[#This Row],[SiteReadyForIntegration_BL]],"-")</f>
        <v>-</v>
      </c>
      <c r="BF91" s="64" t="str">
        <f>IF(ISBLANK(Table_SiteMilestoneTracking[[#This Row],[SiteReadyForIntegration_AC]])=FALSE,Table_SiteMilestoneTracking[[#This Row],[SiteReadyForIntegration_AC]]-Table_SiteMilestoneTracking[[#This Row],[SiteReadyForInstallation_AC]],"-")</f>
        <v>-</v>
      </c>
      <c r="BG91" s="64">
        <f>$BG$2</f>
        <v>500</v>
      </c>
      <c r="BH91" s="82"/>
      <c r="BI91" s="63">
        <f>Table_SiteMilestoneTracking[[#This Row],[SiteReadyForIntegration_BL]]+t7_IntegrationBL</f>
        <v>44070</v>
      </c>
      <c r="BJ91" s="84"/>
      <c r="BK91" s="64" t="str">
        <f>IF(ISBLANK(Table_SiteMilestoneTracking[[#This Row],[SiteOnAir_AC]])=FALSE,Table_SiteMilestoneTracking[[#This Row],[SiteOnAir_AC]]-Table_SiteMilestoneTracking[[#This Row],[SiteOnAir_BL]],"-")</f>
        <v>-</v>
      </c>
      <c r="BL91" s="64" t="str">
        <f>IF(ISBLANK(Table_SiteMilestoneTracking[[#This Row],[SiteOnAir_AC]])=FALSE,Table_SiteMilestoneTracking[[#This Row],[SiteOnAir_AC]]-Table_SiteMilestoneTracking[[#This Row],[SiteReadyForIntegration_AC]],"-")</f>
        <v>-</v>
      </c>
      <c r="BM91" s="64">
        <f>$BM$2</f>
        <v>250</v>
      </c>
      <c r="BN91" s="82"/>
      <c r="BO91" s="63">
        <f>Table_SiteMilestoneTracking[[#This Row],[SiteOnAir_BL]]+t8_AcceptanceBL</f>
        <v>44074</v>
      </c>
      <c r="BP91" s="84"/>
      <c r="BQ91" s="64" t="str">
        <f>IF(ISBLANK(Table_SiteMilestoneTracking[[#This Row],[SiteAccepted_AC]])=FALSE,Table_SiteMilestoneTracking[[#This Row],[SiteAccepted_AC]]-Table_SiteMilestoneTracking[[#This Row],[SiteAccepted_BL]],"-")</f>
        <v>-</v>
      </c>
      <c r="BR91" s="64" t="str">
        <f>IF(ISBLANK(Table_SiteMilestoneTracking[[#This Row],[SiteAccepted_AC]])=FALSE,Table_SiteMilestoneTracking[[#This Row],[SiteAccepted_AC]]-Table_SiteMilestoneTracking[[#This Row],[SiteOnAir_AC]],"-")</f>
        <v>-</v>
      </c>
      <c r="BS91" s="64">
        <f>$BS$2</f>
        <v>200</v>
      </c>
      <c r="BT91" s="82"/>
      <c r="BU91" s="63">
        <f>Table_SiteMilestoneTracking[[#This Row],[SiteAccepted_BL]]+t9_HandoverBL</f>
        <v>44082</v>
      </c>
      <c r="BV91" s="84"/>
      <c r="BW91" s="64" t="str">
        <f>IF(ISBLANK(Table_SiteMilestoneTracking[[#This Row],[SiteInOperations_AC]])=FALSE,Table_SiteMilestoneTracking[[#This Row],[SiteInOperations_AC]]-Table_SiteMilestoneTracking[[#This Row],[SiteInOperations_BL]],"-")</f>
        <v>-</v>
      </c>
      <c r="BX91" s="66">
        <f>Table_SiteMilestoneTracking[[#This Row],[SiteInOperations_BL]]-Table_SiteMilestoneTracking[[#This Row],[SiteDesignReady_BL]]</f>
        <v>55</v>
      </c>
      <c r="BY91" s="66" t="str">
        <f>IF(Table_SiteMilestoneTracking[[#This Row],[CurrentSiteMilestone]]="SiteInOperations",Table_SiteMilestoneTracking[[#This Row],[SiteInOperations_AC]]-Table_SiteMilestoneTracking[[#This Row],[SiteDesignReady_AC]],"")</f>
        <v/>
      </c>
      <c r="BZ91" s="66" t="str">
        <f>IFERROR(Table_SiteMilestoneTracking[[#This Row],[E2E_Site_AC]]-Table_SiteMilestoneTracking[[#This Row],[E2E_Site_BL]],"")</f>
        <v/>
      </c>
      <c r="CA91" s="66" t="str">
        <f>IF(Table_SiteMilestoneTracking[[#This Row],[CurrentSiteMilestone]]="SiteInOperations",Table_SiteMilestoneTracking[[#This Row],[SiteInOperations_AC]]-Table_SiteMilestoneTracking[[#This Row],[SiteAccepted_AC]],"")</f>
        <v/>
      </c>
      <c r="CB91" s="79"/>
      <c r="CC91" s="89"/>
      <c r="CD91" s="89"/>
      <c r="CE91" s="70"/>
      <c r="CF91" s="70"/>
      <c r="CG91" s="70"/>
      <c r="CH91" s="70"/>
      <c r="CI91" s="70"/>
      <c r="CJ91" s="70"/>
      <c r="CK91" s="70"/>
      <c r="CL91" s="70"/>
      <c r="CM91" s="70"/>
      <c r="CN91" s="70"/>
      <c r="CO91" s="70"/>
      <c r="CP91" s="70"/>
      <c r="CQ91" s="70"/>
      <c r="CR91" s="70"/>
      <c r="CS91" s="70"/>
      <c r="CT91" s="70"/>
      <c r="CU91" s="70"/>
      <c r="CV91" s="70"/>
      <c r="CW91" s="70"/>
      <c r="CX91" s="70"/>
      <c r="CY91" s="70"/>
      <c r="CZ91" s="70"/>
      <c r="DA91" s="70"/>
      <c r="DB91" s="70"/>
      <c r="DC91" s="70"/>
      <c r="DD91" s="70"/>
      <c r="DE91" s="70"/>
      <c r="DF91" s="70"/>
      <c r="DG91" s="70"/>
      <c r="DH91" s="70"/>
      <c r="DI91" s="70"/>
      <c r="DJ91" s="70"/>
      <c r="DK91" s="70"/>
      <c r="DL91" s="70"/>
      <c r="DM91" s="70"/>
      <c r="DN91" s="70"/>
      <c r="DO91" s="70"/>
      <c r="DP91" s="70"/>
      <c r="DQ91" s="70"/>
      <c r="DR91" s="70"/>
      <c r="DS91" s="70"/>
      <c r="DT91" s="70"/>
      <c r="DU91" s="70"/>
      <c r="DV91" s="70"/>
    </row>
    <row r="92" spans="1:126" x14ac:dyDescent="0.3">
      <c r="A92" s="79" t="str">
        <f>'4. Design Tracking Summary'!A93</f>
        <v>LI01476</v>
      </c>
      <c r="B92" s="79" t="str">
        <f>'4. Design Tracking Summary'!B93</f>
        <v>South</v>
      </c>
      <c r="C92" s="79" t="str">
        <f>'4. Design Tracking Summary'!C93</f>
        <v>ZAC</v>
      </c>
      <c r="D92" s="79" t="str">
        <f>'4. Design Tracking Summary'!D93</f>
        <v>SMALL</v>
      </c>
      <c r="E92" s="79" t="s">
        <v>58</v>
      </c>
      <c r="F92" s="79"/>
      <c r="G92" s="60" t="str">
        <f>IFERROR(INDEX(Table_SiteMilestonesNames[SiteMilestoneName],COUNTA(Table_SiteMilestoneTracking[[#This Row],[SiteDesignStarted_AC]],Table_SiteMilestoneTracking[[#This Row],[SiteDesignReady_AC]],Table_SiteMilestoneTracking[[#This Row],[SiteSurveyCompleted_AC]],Table_SiteMilestoneTracking[[#This Row],[SiteAcquired_AC]],Table_SiteMilestoneTracking[[#This Row],[SiteReadyForCW_AC]],Table_SiteMilestoneTracking[[#This Row],[SiteReadyForPower_AC]],Table_SiteMilestoneTracking[[#This Row],[TXReady_AC]],Table_SiteMilestoneTracking[[#This Row],[SiteReadyForInstallation_AC]],Table_SiteMilestoneTracking[[#This Row],[SiteReadyForIntegration_AC]],Table_SiteMilestoneTracking[[#This Row],[SiteOnAir_AC]],Table_SiteMilestoneTracking[[#This Row],[SiteAccepted_AC]],Table_SiteMilestoneTracking[[#This Row],[SiteInOperations_AC]])+1),"Invalid Milestone")</f>
        <v>SiteDesignReady</v>
      </c>
      <c r="H92" s="61">
        <f>Table_SiteMilestoneTracking[[#This Row],[c0_SiteDesignCostBL]]+Table_SiteMilestoneTracking[[#This Row],[c1_SiteSurveyCostBL]]+Table_SiteMilestoneTracking[[#This Row],[c2_SiteAcquisitionCostBL]]+Table_SiteMilestoneTracking[[#This Row],[c3_CivilWorksCostBL]]+Table_SiteMilestoneTracking[[#This Row],[c4_PowerInstallCostBL]]+Table_SiteMilestoneTracking[[#This Row],[c5_TxintegrationCostBL]]+Table_SiteMilestoneTracking[[#This Row],[c6_InstallationCostBL]]+Table_SiteMilestoneTracking[[#This Row],[c7_IntegrationCostBL]]+Table_SiteMilestoneTracking[[#This Row],[c8_AcceptanceCostBL]]+Table_SiteMilestoneTracking[[#This Row],[c9_HandoverCostBL]]</f>
        <v>7550</v>
      </c>
      <c r="I92" s="62">
        <f>Table_SiteMilestoneTracking[[#This Row],[c0_SiteDesignCostAC]]+Table_SiteMilestoneTracking[[#This Row],[c1_SiteSurveyCostAC]]+Table_SiteMilestoneTracking[[#This Row],[c2_SiteAcquisitionCostAC]]+Table_SiteMilestoneTracking[[#This Row],[c3_CivilWorksCostAC]]+Table_SiteMilestoneTracking[[#This Row],[c4_PowerInstallCostAC]]+Table_SiteMilestoneTracking[[#This Row],[c5_TxintegrationCostAC]]+Table_SiteMilestoneTracking[[#This Row],[c6_InstallationCostAC]]+Table_SiteMilestoneTracking[[#This Row],[c7_IntegrationCostAC]]+Table_SiteMilestoneTracking[[#This Row],[c8_AcceptanceCostAC]]+Table_SiteMilestoneTracking[[#This Row],[c9_HandoverCostAC]]</f>
        <v>560</v>
      </c>
      <c r="J92" s="84">
        <v>44025</v>
      </c>
      <c r="K92" s="84">
        <v>44027</v>
      </c>
      <c r="L92" s="64">
        <f>IF(ISBLANK(Table_SiteMilestoneTracking[[#This Row],[SiteDesignStarted_AC]])=FALSE,Table_SiteMilestoneTracking[[#This Row],[SiteDesignStarted_AC]]-Table_SiteMilestoneTracking[[#This Row],[SiteDesignStarted_BL]],"")</f>
        <v>2</v>
      </c>
      <c r="M92" s="64">
        <f t="shared" si="11"/>
        <v>500</v>
      </c>
      <c r="N92" s="87">
        <v>560</v>
      </c>
      <c r="O92" s="63">
        <f>Table_SiteMilestoneTracking[[#This Row],[SiteDesignStarted_BL]]+t0_SiteDesignDelayBL</f>
        <v>44027</v>
      </c>
      <c r="P92" s="84">
        <v>44027</v>
      </c>
      <c r="Q92" s="64">
        <f>IF(ISBLANK(Table_SiteMilestoneTracking[[#This Row],[SiteDesignReady_AC]])=FALSE,Table_SiteMilestoneTracking[[#This Row],[SiteDesignReady_AC]]-Table_SiteMilestoneTracking[[#This Row],[SiteDesignReady_BL]],"-")</f>
        <v>0</v>
      </c>
      <c r="R92" s="64">
        <f t="shared" si="16"/>
        <v>500</v>
      </c>
      <c r="S92" s="82"/>
      <c r="T92" s="63">
        <f>Table_SiteMilestoneTracking[[#This Row],[SiteDesignReady_BL]]+t1_SiteSurveyBL</f>
        <v>44029</v>
      </c>
      <c r="U92" s="84"/>
      <c r="V92" s="64" t="str">
        <f>IF(ISBLANK(Table_SiteMilestoneTracking[[#This Row],[SiteSurveyCompleted_AC]])=FALSE,Table_SiteMilestoneTracking[[#This Row],[SiteSurveyCompleted_AC]]-Table_SiteMilestoneTracking[[#This Row],[SiteDesignReady_AC]],"-")</f>
        <v>-</v>
      </c>
      <c r="W92" s="64">
        <f t="shared" si="12"/>
        <v>600</v>
      </c>
      <c r="X92" s="82"/>
      <c r="Y92" s="63">
        <f>Table_SiteMilestoneTracking[[#This Row],[SiteSurveyCompleted_BL]]+t2_SiteAcquisitionBL</f>
        <v>44040</v>
      </c>
      <c r="Z92" s="84"/>
      <c r="AA92" s="65" t="str">
        <f>IF(ISBLANK(Table_SiteMilestoneTracking[[#This Row],[SiteAcquired_AC]])=FALSE,Table_SiteMilestoneTracking[[#This Row],[SiteAcquired_AC]]-Table_SiteMilestoneTracking[[#This Row],[SiteAcquired_BL]],"-")</f>
        <v>-</v>
      </c>
      <c r="AB92" s="65" t="str">
        <f>IF(ISBLANK(Table_SiteMilestoneTracking[[#This Row],[SiteAcquired_AC]])=FALSE,Table_SiteMilestoneTracking[[#This Row],[SiteAcquired_AC]]-Table_SiteMilestoneTracking[[#This Row],[SiteSurveyCompleted_AC]],"-")</f>
        <v>-</v>
      </c>
      <c r="AC92" s="64">
        <f t="shared" si="13"/>
        <v>150</v>
      </c>
      <c r="AD92" s="82"/>
      <c r="AE92" s="63">
        <f>Table_SiteMilestoneTracking[[#This Row],[SiteAcquired_BL]]+t2a_SiteCWReadinessBL</f>
        <v>44042</v>
      </c>
      <c r="AF92" s="84"/>
      <c r="AG92" s="66" t="str">
        <f>IF(ISBLANK(Table_SiteMilestoneTracking[[#This Row],[SiteReadyForCW_AC]])=FALSE,Table_SiteMilestoneTracking[[#This Row],[SiteReadyForCW_AC]]-Table_SiteMilestoneTracking[[#This Row],[SiteReadyForCW_BL]],"-")</f>
        <v>-</v>
      </c>
      <c r="AH92" s="66" t="str">
        <f>IF(ISBLANK(Table_SiteMilestoneTracking[[#This Row],[SiteReadyForCW_AC]])=FALSE,Table_SiteMilestoneTracking[[#This Row],[SiteReadyForCW_AC]]-Table_SiteMilestoneTracking[[#This Row],[SiteDesignReady_AC]],"-")</f>
        <v>-</v>
      </c>
      <c r="AI92" s="64">
        <f t="shared" si="14"/>
        <v>1500</v>
      </c>
      <c r="AJ92" s="82"/>
      <c r="AK92" s="63">
        <f>Table_SiteMilestoneTracking[[#This Row],[SiteReadyForCW_BL]]+t3_CivilWorksBL</f>
        <v>44050</v>
      </c>
      <c r="AL92" s="84"/>
      <c r="AM92" s="64" t="str">
        <f>IF(ISBLANK(Table_SiteMilestoneTracking[[#This Row],[SiteReadyForPower_AC]])=FALSE,Table_SiteMilestoneTracking[[#This Row],[SiteReadyForPower_AC]]-Table_SiteMilestoneTracking[[#This Row],[SiteReadyForPower_BL]],"-")</f>
        <v>-</v>
      </c>
      <c r="AN92" s="64" t="str">
        <f>IF(ISBLANK(Table_SiteMilestoneTracking[[#This Row],[SiteReadyForPower_AC]])=FALSE,Table_SiteMilestoneTracking[[#This Row],[SiteReadyForPower_AC]]-Table_SiteMilestoneTracking[[#This Row],[SiteReadyForCW_AC]],"-")</f>
        <v>-</v>
      </c>
      <c r="AO92" s="64">
        <f t="shared" si="15"/>
        <v>500</v>
      </c>
      <c r="AP92" s="82"/>
      <c r="AQ92" s="63">
        <f>Table_SiteMilestoneTracking[[#This Row],[SiteReadyForPower_BL]]+t4_PowerInstallBL</f>
        <v>44055</v>
      </c>
      <c r="AR92" s="84"/>
      <c r="AS92" s="64" t="str">
        <f>IF(ISBLANK(Table_SiteMilestoneTracking[[#This Row],[TXReady_AC]])=FALSE,Table_SiteMilestoneTracking[[#This Row],[TXReady_AC]]-Table_SiteMilestoneTracking[[#This Row],[TXReady_BL]],"-")</f>
        <v>-</v>
      </c>
      <c r="AT92" s="64" t="str">
        <f>IF(ISBLANK(Table_SiteMilestoneTracking[[#This Row],[TXReady_AC]])=FALSE,Table_SiteMilestoneTracking[[#This Row],[TXReady_AC]]-Table_SiteMilestoneTracking[[#This Row],[SiteReadyForPower_AC]],"-")</f>
        <v>-</v>
      </c>
      <c r="AU92" s="64">
        <f>$AU$2</f>
        <v>500</v>
      </c>
      <c r="AV92" s="82"/>
      <c r="AW92" s="63">
        <f>Table_SiteMilestoneTracking[[#This Row],[TXReady_BL]]+t5_TxintegrationBL</f>
        <v>44062</v>
      </c>
      <c r="AX92" s="84"/>
      <c r="AY92" s="64" t="str">
        <f>IF(ISBLANK(Table_SiteMilestoneTracking[[#This Row],[SiteReadyForInstallation_AC]])=FALSE,Table_SiteMilestoneTracking[[#This Row],[SiteReadyForInstallation_AC]]-Table_SiteMilestoneTracking[[#This Row],[SiteReadyForInstallation_BL]],"-")</f>
        <v>-</v>
      </c>
      <c r="AZ92" s="64" t="str">
        <f>IF(ISBLANK(Table_SiteMilestoneTracking[[#This Row],[SiteReadyForInstallation_AC]])=FALSE,Table_SiteMilestoneTracking[[#This Row],[SiteReadyForInstallation_AC]]-Table_SiteMilestoneTracking[[#This Row],[TXReady_AC]],"-")</f>
        <v>-</v>
      </c>
      <c r="BA92" s="64">
        <f>$BA$2</f>
        <v>2500</v>
      </c>
      <c r="BB92" s="82"/>
      <c r="BC92" s="63">
        <f>Table_SiteMilestoneTracking[[#This Row],[SiteReadyForInstallation_BL]]+t6_InstallationBL</f>
        <v>44066</v>
      </c>
      <c r="BD92" s="84"/>
      <c r="BE92" s="64" t="str">
        <f>IF(ISBLANK(Table_SiteMilestoneTracking[[#This Row],[SiteReadyForIntegration_AC]])=FALSE,Table_SiteMilestoneTracking[[#This Row],[SiteReadyForIntegration_AC]]-Table_SiteMilestoneTracking[[#This Row],[SiteReadyForIntegration_BL]],"-")</f>
        <v>-</v>
      </c>
      <c r="BF92" s="64" t="str">
        <f>IF(ISBLANK(Table_SiteMilestoneTracking[[#This Row],[SiteReadyForIntegration_AC]])=FALSE,Table_SiteMilestoneTracking[[#This Row],[SiteReadyForIntegration_AC]]-Table_SiteMilestoneTracking[[#This Row],[SiteReadyForInstallation_AC]],"-")</f>
        <v>-</v>
      </c>
      <c r="BG92" s="64">
        <f>$BG$2</f>
        <v>500</v>
      </c>
      <c r="BH92" s="82"/>
      <c r="BI92" s="63">
        <f>Table_SiteMilestoneTracking[[#This Row],[SiteReadyForIntegration_BL]]+t7_IntegrationBL</f>
        <v>44070</v>
      </c>
      <c r="BJ92" s="84"/>
      <c r="BK92" s="64" t="str">
        <f>IF(ISBLANK(Table_SiteMilestoneTracking[[#This Row],[SiteOnAir_AC]])=FALSE,Table_SiteMilestoneTracking[[#This Row],[SiteOnAir_AC]]-Table_SiteMilestoneTracking[[#This Row],[SiteOnAir_BL]],"-")</f>
        <v>-</v>
      </c>
      <c r="BL92" s="64" t="str">
        <f>IF(ISBLANK(Table_SiteMilestoneTracking[[#This Row],[SiteOnAir_AC]])=FALSE,Table_SiteMilestoneTracking[[#This Row],[SiteOnAir_AC]]-Table_SiteMilestoneTracking[[#This Row],[SiteReadyForIntegration_AC]],"-")</f>
        <v>-</v>
      </c>
      <c r="BM92" s="64">
        <f>$BM$2</f>
        <v>250</v>
      </c>
      <c r="BN92" s="82"/>
      <c r="BO92" s="63">
        <f>Table_SiteMilestoneTracking[[#This Row],[SiteOnAir_BL]]+t8_AcceptanceBL</f>
        <v>44074</v>
      </c>
      <c r="BP92" s="84"/>
      <c r="BQ92" s="64" t="str">
        <f>IF(ISBLANK(Table_SiteMilestoneTracking[[#This Row],[SiteAccepted_AC]])=FALSE,Table_SiteMilestoneTracking[[#This Row],[SiteAccepted_AC]]-Table_SiteMilestoneTracking[[#This Row],[SiteAccepted_BL]],"-")</f>
        <v>-</v>
      </c>
      <c r="BR92" s="64" t="str">
        <f>IF(ISBLANK(Table_SiteMilestoneTracking[[#This Row],[SiteAccepted_AC]])=FALSE,Table_SiteMilestoneTracking[[#This Row],[SiteAccepted_AC]]-Table_SiteMilestoneTracking[[#This Row],[SiteOnAir_AC]],"-")</f>
        <v>-</v>
      </c>
      <c r="BS92" s="64">
        <f>$BS$2</f>
        <v>200</v>
      </c>
      <c r="BT92" s="82"/>
      <c r="BU92" s="63">
        <f>Table_SiteMilestoneTracking[[#This Row],[SiteAccepted_BL]]+t9_HandoverBL</f>
        <v>44082</v>
      </c>
      <c r="BV92" s="84"/>
      <c r="BW92" s="64" t="str">
        <f>IF(ISBLANK(Table_SiteMilestoneTracking[[#This Row],[SiteInOperations_AC]])=FALSE,Table_SiteMilestoneTracking[[#This Row],[SiteInOperations_AC]]-Table_SiteMilestoneTracking[[#This Row],[SiteInOperations_BL]],"-")</f>
        <v>-</v>
      </c>
      <c r="BX92" s="66">
        <f>Table_SiteMilestoneTracking[[#This Row],[SiteInOperations_BL]]-Table_SiteMilestoneTracking[[#This Row],[SiteDesignReady_BL]]</f>
        <v>55</v>
      </c>
      <c r="BY92" s="66" t="str">
        <f>IF(Table_SiteMilestoneTracking[[#This Row],[CurrentSiteMilestone]]="SiteInOperations",Table_SiteMilestoneTracking[[#This Row],[SiteInOperations_AC]]-Table_SiteMilestoneTracking[[#This Row],[SiteDesignReady_AC]],"")</f>
        <v/>
      </c>
      <c r="BZ92" s="66" t="str">
        <f>IFERROR(Table_SiteMilestoneTracking[[#This Row],[E2E_Site_AC]]-Table_SiteMilestoneTracking[[#This Row],[E2E_Site_BL]],"")</f>
        <v/>
      </c>
      <c r="CA92" s="66" t="str">
        <f>IF(Table_SiteMilestoneTracking[[#This Row],[CurrentSiteMilestone]]="SiteInOperations",Table_SiteMilestoneTracking[[#This Row],[SiteInOperations_AC]]-Table_SiteMilestoneTracking[[#This Row],[SiteAccepted_AC]],"")</f>
        <v/>
      </c>
      <c r="CB92" s="79"/>
      <c r="CC92" s="89"/>
      <c r="CD92" s="89"/>
      <c r="CE92" s="70"/>
      <c r="CF92" s="70"/>
      <c r="CG92" s="70"/>
      <c r="CH92" s="70"/>
      <c r="CI92" s="70"/>
      <c r="CJ92" s="70"/>
      <c r="CK92" s="70"/>
      <c r="CL92" s="70"/>
      <c r="CM92" s="70"/>
      <c r="CN92" s="70"/>
      <c r="CO92" s="70"/>
      <c r="CP92" s="70"/>
      <c r="CQ92" s="70"/>
      <c r="CR92" s="70"/>
      <c r="CS92" s="70"/>
      <c r="CT92" s="70"/>
      <c r="CU92" s="70"/>
      <c r="CV92" s="70"/>
      <c r="CW92" s="70"/>
      <c r="CX92" s="70"/>
      <c r="CY92" s="70"/>
      <c r="CZ92" s="70"/>
      <c r="DA92" s="70"/>
      <c r="DB92" s="70"/>
      <c r="DC92" s="70"/>
      <c r="DD92" s="70"/>
      <c r="DE92" s="70"/>
      <c r="DF92" s="70"/>
      <c r="DG92" s="70"/>
      <c r="DH92" s="70"/>
      <c r="DI92" s="70"/>
      <c r="DJ92" s="70"/>
      <c r="DK92" s="70"/>
      <c r="DL92" s="70"/>
      <c r="DM92" s="70"/>
      <c r="DN92" s="70"/>
      <c r="DO92" s="70"/>
      <c r="DP92" s="70"/>
      <c r="DQ92" s="70"/>
      <c r="DR92" s="70"/>
      <c r="DS92" s="70"/>
      <c r="DT92" s="70"/>
      <c r="DU92" s="70"/>
      <c r="DV92" s="70"/>
    </row>
    <row r="93" spans="1:126" x14ac:dyDescent="0.3">
      <c r="A93" s="79" t="str">
        <f>'4. Design Tracking Summary'!A94</f>
        <v>LI01542</v>
      </c>
      <c r="B93" s="79" t="str">
        <f>'4. Design Tracking Summary'!B94</f>
        <v>South</v>
      </c>
      <c r="C93" s="79" t="str">
        <f>'4. Design Tracking Summary'!C94</f>
        <v>GTO</v>
      </c>
      <c r="D93" s="79" t="str">
        <f>'4. Design Tracking Summary'!D94</f>
        <v>MACRO</v>
      </c>
      <c r="E93" s="79" t="s">
        <v>58</v>
      </c>
      <c r="F93" s="79"/>
      <c r="G93" s="60" t="str">
        <f>IFERROR(INDEX(Table_SiteMilestonesNames[SiteMilestoneName],COUNTA(Table_SiteMilestoneTracking[[#This Row],[SiteDesignStarted_AC]],Table_SiteMilestoneTracking[[#This Row],[SiteDesignReady_AC]],Table_SiteMilestoneTracking[[#This Row],[SiteSurveyCompleted_AC]],Table_SiteMilestoneTracking[[#This Row],[SiteAcquired_AC]],Table_SiteMilestoneTracking[[#This Row],[SiteReadyForCW_AC]],Table_SiteMilestoneTracking[[#This Row],[SiteReadyForPower_AC]],Table_SiteMilestoneTracking[[#This Row],[TXReady_AC]],Table_SiteMilestoneTracking[[#This Row],[SiteReadyForInstallation_AC]],Table_SiteMilestoneTracking[[#This Row],[SiteReadyForIntegration_AC]],Table_SiteMilestoneTracking[[#This Row],[SiteOnAir_AC]],Table_SiteMilestoneTracking[[#This Row],[SiteAccepted_AC]],Table_SiteMilestoneTracking[[#This Row],[SiteInOperations_AC]])+1),"Invalid Milestone")</f>
        <v>SiteDesignReady</v>
      </c>
      <c r="H93" s="61">
        <f>Table_SiteMilestoneTracking[[#This Row],[c0_SiteDesignCostBL]]+Table_SiteMilestoneTracking[[#This Row],[c1_SiteSurveyCostBL]]+Table_SiteMilestoneTracking[[#This Row],[c2_SiteAcquisitionCostBL]]+Table_SiteMilestoneTracking[[#This Row],[c3_CivilWorksCostBL]]+Table_SiteMilestoneTracking[[#This Row],[c4_PowerInstallCostBL]]+Table_SiteMilestoneTracking[[#This Row],[c5_TxintegrationCostBL]]+Table_SiteMilestoneTracking[[#This Row],[c6_InstallationCostBL]]+Table_SiteMilestoneTracking[[#This Row],[c7_IntegrationCostBL]]+Table_SiteMilestoneTracking[[#This Row],[c8_AcceptanceCostBL]]+Table_SiteMilestoneTracking[[#This Row],[c9_HandoverCostBL]]</f>
        <v>7550</v>
      </c>
      <c r="I93" s="62">
        <f>Table_SiteMilestoneTracking[[#This Row],[c0_SiteDesignCostAC]]+Table_SiteMilestoneTracking[[#This Row],[c1_SiteSurveyCostAC]]+Table_SiteMilestoneTracking[[#This Row],[c2_SiteAcquisitionCostAC]]+Table_SiteMilestoneTracking[[#This Row],[c3_CivilWorksCostAC]]+Table_SiteMilestoneTracking[[#This Row],[c4_PowerInstallCostAC]]+Table_SiteMilestoneTracking[[#This Row],[c5_TxintegrationCostAC]]+Table_SiteMilestoneTracking[[#This Row],[c6_InstallationCostAC]]+Table_SiteMilestoneTracking[[#This Row],[c7_IntegrationCostAC]]+Table_SiteMilestoneTracking[[#This Row],[c8_AcceptanceCostAC]]+Table_SiteMilestoneTracking[[#This Row],[c9_HandoverCostAC]]</f>
        <v>540</v>
      </c>
      <c r="J93" s="84">
        <v>44025</v>
      </c>
      <c r="K93" s="84">
        <v>44025</v>
      </c>
      <c r="L93" s="64">
        <f>IF(ISBLANK(Table_SiteMilestoneTracking[[#This Row],[SiteDesignStarted_AC]])=FALSE,Table_SiteMilestoneTracking[[#This Row],[SiteDesignStarted_AC]]-Table_SiteMilestoneTracking[[#This Row],[SiteDesignStarted_BL]],"")</f>
        <v>0</v>
      </c>
      <c r="M93" s="64">
        <f t="shared" si="11"/>
        <v>500</v>
      </c>
      <c r="N93" s="87">
        <v>540</v>
      </c>
      <c r="O93" s="63">
        <f>Table_SiteMilestoneTracking[[#This Row],[SiteDesignStarted_BL]]+t0_SiteDesignDelayBL</f>
        <v>44027</v>
      </c>
      <c r="P93" s="84">
        <v>44028</v>
      </c>
      <c r="Q93" s="64">
        <f>IF(ISBLANK(Table_SiteMilestoneTracking[[#This Row],[SiteDesignReady_AC]])=FALSE,Table_SiteMilestoneTracking[[#This Row],[SiteDesignReady_AC]]-Table_SiteMilestoneTracking[[#This Row],[SiteDesignReady_BL]],"-")</f>
        <v>1</v>
      </c>
      <c r="R93" s="64">
        <f t="shared" si="16"/>
        <v>500</v>
      </c>
      <c r="S93" s="82"/>
      <c r="T93" s="63">
        <f>Table_SiteMilestoneTracking[[#This Row],[SiteDesignReady_BL]]+t1_SiteSurveyBL</f>
        <v>44029</v>
      </c>
      <c r="U93" s="84"/>
      <c r="V93" s="64" t="str">
        <f>IF(ISBLANK(Table_SiteMilestoneTracking[[#This Row],[SiteSurveyCompleted_AC]])=FALSE,Table_SiteMilestoneTracking[[#This Row],[SiteSurveyCompleted_AC]]-Table_SiteMilestoneTracking[[#This Row],[SiteDesignReady_AC]],"-")</f>
        <v>-</v>
      </c>
      <c r="W93" s="64">
        <f t="shared" si="12"/>
        <v>600</v>
      </c>
      <c r="X93" s="82"/>
      <c r="Y93" s="63">
        <f>Table_SiteMilestoneTracking[[#This Row],[SiteSurveyCompleted_BL]]+t2_SiteAcquisitionBL</f>
        <v>44040</v>
      </c>
      <c r="Z93" s="84"/>
      <c r="AA93" s="65" t="str">
        <f>IF(ISBLANK(Table_SiteMilestoneTracking[[#This Row],[SiteAcquired_AC]])=FALSE,Table_SiteMilestoneTracking[[#This Row],[SiteAcquired_AC]]-Table_SiteMilestoneTracking[[#This Row],[SiteAcquired_BL]],"-")</f>
        <v>-</v>
      </c>
      <c r="AB93" s="65" t="str">
        <f>IF(ISBLANK(Table_SiteMilestoneTracking[[#This Row],[SiteAcquired_AC]])=FALSE,Table_SiteMilestoneTracking[[#This Row],[SiteAcquired_AC]]-Table_SiteMilestoneTracking[[#This Row],[SiteSurveyCompleted_AC]],"-")</f>
        <v>-</v>
      </c>
      <c r="AC93" s="64">
        <f t="shared" si="13"/>
        <v>150</v>
      </c>
      <c r="AD93" s="82"/>
      <c r="AE93" s="63">
        <f>Table_SiteMilestoneTracking[[#This Row],[SiteAcquired_BL]]+t2a_SiteCWReadinessBL</f>
        <v>44042</v>
      </c>
      <c r="AF93" s="84"/>
      <c r="AG93" s="66" t="str">
        <f>IF(ISBLANK(Table_SiteMilestoneTracking[[#This Row],[SiteReadyForCW_AC]])=FALSE,Table_SiteMilestoneTracking[[#This Row],[SiteReadyForCW_AC]]-Table_SiteMilestoneTracking[[#This Row],[SiteReadyForCW_BL]],"-")</f>
        <v>-</v>
      </c>
      <c r="AH93" s="66" t="str">
        <f>IF(ISBLANK(Table_SiteMilestoneTracking[[#This Row],[SiteReadyForCW_AC]])=FALSE,Table_SiteMilestoneTracking[[#This Row],[SiteReadyForCW_AC]]-Table_SiteMilestoneTracking[[#This Row],[SiteDesignReady_AC]],"-")</f>
        <v>-</v>
      </c>
      <c r="AI93" s="64">
        <f t="shared" si="14"/>
        <v>1500</v>
      </c>
      <c r="AJ93" s="82"/>
      <c r="AK93" s="63">
        <f>Table_SiteMilestoneTracking[[#This Row],[SiteReadyForCW_BL]]+t3_CivilWorksBL</f>
        <v>44050</v>
      </c>
      <c r="AL93" s="84"/>
      <c r="AM93" s="64" t="str">
        <f>IF(ISBLANK(Table_SiteMilestoneTracking[[#This Row],[SiteReadyForPower_AC]])=FALSE,Table_SiteMilestoneTracking[[#This Row],[SiteReadyForPower_AC]]-Table_SiteMilestoneTracking[[#This Row],[SiteReadyForPower_BL]],"-")</f>
        <v>-</v>
      </c>
      <c r="AN93" s="64" t="str">
        <f>IF(ISBLANK(Table_SiteMilestoneTracking[[#This Row],[SiteReadyForPower_AC]])=FALSE,Table_SiteMilestoneTracking[[#This Row],[SiteReadyForPower_AC]]-Table_SiteMilestoneTracking[[#This Row],[SiteReadyForCW_AC]],"-")</f>
        <v>-</v>
      </c>
      <c r="AO93" s="64">
        <f t="shared" si="15"/>
        <v>500</v>
      </c>
      <c r="AP93" s="82"/>
      <c r="AQ93" s="63">
        <f>Table_SiteMilestoneTracking[[#This Row],[SiteReadyForPower_BL]]+t4_PowerInstallBL</f>
        <v>44055</v>
      </c>
      <c r="AR93" s="84"/>
      <c r="AS93" s="64" t="str">
        <f>IF(ISBLANK(Table_SiteMilestoneTracking[[#This Row],[TXReady_AC]])=FALSE,Table_SiteMilestoneTracking[[#This Row],[TXReady_AC]]-Table_SiteMilestoneTracking[[#This Row],[TXReady_BL]],"-")</f>
        <v>-</v>
      </c>
      <c r="AT93" s="64" t="str">
        <f>IF(ISBLANK(Table_SiteMilestoneTracking[[#This Row],[TXReady_AC]])=FALSE,Table_SiteMilestoneTracking[[#This Row],[TXReady_AC]]-Table_SiteMilestoneTracking[[#This Row],[SiteReadyForPower_AC]],"-")</f>
        <v>-</v>
      </c>
      <c r="AU93" s="64">
        <f>$AU$2</f>
        <v>500</v>
      </c>
      <c r="AV93" s="82"/>
      <c r="AW93" s="63">
        <f>Table_SiteMilestoneTracking[[#This Row],[TXReady_BL]]+t5_TxintegrationBL</f>
        <v>44062</v>
      </c>
      <c r="AX93" s="84"/>
      <c r="AY93" s="64" t="str">
        <f>IF(ISBLANK(Table_SiteMilestoneTracking[[#This Row],[SiteReadyForInstallation_AC]])=FALSE,Table_SiteMilestoneTracking[[#This Row],[SiteReadyForInstallation_AC]]-Table_SiteMilestoneTracking[[#This Row],[SiteReadyForInstallation_BL]],"-")</f>
        <v>-</v>
      </c>
      <c r="AZ93" s="64" t="str">
        <f>IF(ISBLANK(Table_SiteMilestoneTracking[[#This Row],[SiteReadyForInstallation_AC]])=FALSE,Table_SiteMilestoneTracking[[#This Row],[SiteReadyForInstallation_AC]]-Table_SiteMilestoneTracking[[#This Row],[TXReady_AC]],"-")</f>
        <v>-</v>
      </c>
      <c r="BA93" s="64">
        <f>$BA$2</f>
        <v>2500</v>
      </c>
      <c r="BB93" s="82"/>
      <c r="BC93" s="63">
        <f>Table_SiteMilestoneTracking[[#This Row],[SiteReadyForInstallation_BL]]+t6_InstallationBL</f>
        <v>44066</v>
      </c>
      <c r="BD93" s="84"/>
      <c r="BE93" s="64" t="str">
        <f>IF(ISBLANK(Table_SiteMilestoneTracking[[#This Row],[SiteReadyForIntegration_AC]])=FALSE,Table_SiteMilestoneTracking[[#This Row],[SiteReadyForIntegration_AC]]-Table_SiteMilestoneTracking[[#This Row],[SiteReadyForIntegration_BL]],"-")</f>
        <v>-</v>
      </c>
      <c r="BF93" s="64" t="str">
        <f>IF(ISBLANK(Table_SiteMilestoneTracking[[#This Row],[SiteReadyForIntegration_AC]])=FALSE,Table_SiteMilestoneTracking[[#This Row],[SiteReadyForIntegration_AC]]-Table_SiteMilestoneTracking[[#This Row],[SiteReadyForInstallation_AC]],"-")</f>
        <v>-</v>
      </c>
      <c r="BG93" s="64">
        <f>$BG$2</f>
        <v>500</v>
      </c>
      <c r="BH93" s="82"/>
      <c r="BI93" s="63">
        <f>Table_SiteMilestoneTracking[[#This Row],[SiteReadyForIntegration_BL]]+t7_IntegrationBL</f>
        <v>44070</v>
      </c>
      <c r="BJ93" s="84"/>
      <c r="BK93" s="64" t="str">
        <f>IF(ISBLANK(Table_SiteMilestoneTracking[[#This Row],[SiteOnAir_AC]])=FALSE,Table_SiteMilestoneTracking[[#This Row],[SiteOnAir_AC]]-Table_SiteMilestoneTracking[[#This Row],[SiteOnAir_BL]],"-")</f>
        <v>-</v>
      </c>
      <c r="BL93" s="64" t="str">
        <f>IF(ISBLANK(Table_SiteMilestoneTracking[[#This Row],[SiteOnAir_AC]])=FALSE,Table_SiteMilestoneTracking[[#This Row],[SiteOnAir_AC]]-Table_SiteMilestoneTracking[[#This Row],[SiteReadyForIntegration_AC]],"-")</f>
        <v>-</v>
      </c>
      <c r="BM93" s="64">
        <f>$BM$2</f>
        <v>250</v>
      </c>
      <c r="BN93" s="82"/>
      <c r="BO93" s="63">
        <f>Table_SiteMilestoneTracking[[#This Row],[SiteOnAir_BL]]+t8_AcceptanceBL</f>
        <v>44074</v>
      </c>
      <c r="BP93" s="84"/>
      <c r="BQ93" s="64" t="str">
        <f>IF(ISBLANK(Table_SiteMilestoneTracking[[#This Row],[SiteAccepted_AC]])=FALSE,Table_SiteMilestoneTracking[[#This Row],[SiteAccepted_AC]]-Table_SiteMilestoneTracking[[#This Row],[SiteAccepted_BL]],"-")</f>
        <v>-</v>
      </c>
      <c r="BR93" s="64" t="str">
        <f>IF(ISBLANK(Table_SiteMilestoneTracking[[#This Row],[SiteAccepted_AC]])=FALSE,Table_SiteMilestoneTracking[[#This Row],[SiteAccepted_AC]]-Table_SiteMilestoneTracking[[#This Row],[SiteOnAir_AC]],"-")</f>
        <v>-</v>
      </c>
      <c r="BS93" s="64">
        <f>$BS$2</f>
        <v>200</v>
      </c>
      <c r="BT93" s="82"/>
      <c r="BU93" s="63">
        <f>Table_SiteMilestoneTracking[[#This Row],[SiteAccepted_BL]]+t9_HandoverBL</f>
        <v>44082</v>
      </c>
      <c r="BV93" s="84"/>
      <c r="BW93" s="64" t="str">
        <f>IF(ISBLANK(Table_SiteMilestoneTracking[[#This Row],[SiteInOperations_AC]])=FALSE,Table_SiteMilestoneTracking[[#This Row],[SiteInOperations_AC]]-Table_SiteMilestoneTracking[[#This Row],[SiteInOperations_BL]],"-")</f>
        <v>-</v>
      </c>
      <c r="BX93" s="66">
        <f>Table_SiteMilestoneTracking[[#This Row],[SiteInOperations_BL]]-Table_SiteMilestoneTracking[[#This Row],[SiteDesignReady_BL]]</f>
        <v>55</v>
      </c>
      <c r="BY93" s="66" t="str">
        <f>IF(Table_SiteMilestoneTracking[[#This Row],[CurrentSiteMilestone]]="SiteInOperations",Table_SiteMilestoneTracking[[#This Row],[SiteInOperations_AC]]-Table_SiteMilestoneTracking[[#This Row],[SiteDesignReady_AC]],"")</f>
        <v/>
      </c>
      <c r="BZ93" s="66" t="str">
        <f>IFERROR(Table_SiteMilestoneTracking[[#This Row],[E2E_Site_AC]]-Table_SiteMilestoneTracking[[#This Row],[E2E_Site_BL]],"")</f>
        <v/>
      </c>
      <c r="CA93" s="66" t="str">
        <f>IF(Table_SiteMilestoneTracking[[#This Row],[CurrentSiteMilestone]]="SiteInOperations",Table_SiteMilestoneTracking[[#This Row],[SiteInOperations_AC]]-Table_SiteMilestoneTracking[[#This Row],[SiteAccepted_AC]],"")</f>
        <v/>
      </c>
      <c r="CB93" s="79"/>
      <c r="CC93" s="89"/>
      <c r="CD93" s="89"/>
      <c r="CE93" s="70"/>
      <c r="CF93" s="70"/>
      <c r="CG93" s="70"/>
      <c r="CH93" s="70"/>
      <c r="CI93" s="70"/>
      <c r="CJ93" s="70"/>
      <c r="CK93" s="70"/>
      <c r="CL93" s="70"/>
      <c r="CM93" s="70"/>
      <c r="CN93" s="70"/>
      <c r="CO93" s="70"/>
      <c r="CP93" s="70"/>
      <c r="CQ93" s="70"/>
      <c r="CR93" s="70"/>
      <c r="CS93" s="70"/>
      <c r="CT93" s="70"/>
      <c r="CU93" s="70"/>
      <c r="CV93" s="70"/>
      <c r="CW93" s="70"/>
      <c r="CX93" s="70"/>
      <c r="CY93" s="70"/>
      <c r="CZ93" s="70"/>
      <c r="DA93" s="70"/>
      <c r="DB93" s="70"/>
      <c r="DC93" s="70"/>
      <c r="DD93" s="70"/>
      <c r="DE93" s="70"/>
      <c r="DF93" s="70"/>
      <c r="DG93" s="70"/>
      <c r="DH93" s="70"/>
      <c r="DI93" s="70"/>
      <c r="DJ93" s="70"/>
      <c r="DK93" s="70"/>
      <c r="DL93" s="70"/>
      <c r="DM93" s="70"/>
      <c r="DN93" s="70"/>
      <c r="DO93" s="70"/>
      <c r="DP93" s="70"/>
      <c r="DQ93" s="70"/>
      <c r="DR93" s="70"/>
      <c r="DS93" s="70"/>
      <c r="DT93" s="70"/>
      <c r="DU93" s="70"/>
      <c r="DV93" s="70"/>
    </row>
    <row r="94" spans="1:126" x14ac:dyDescent="0.3">
      <c r="A94" s="79" t="str">
        <f>'4. Design Tracking Summary'!A95</f>
        <v>LI02051</v>
      </c>
      <c r="B94" s="79" t="str">
        <f>'4. Design Tracking Summary'!B95</f>
        <v>North</v>
      </c>
      <c r="C94" s="79" t="str">
        <f>'4. Design Tracking Summary'!C95</f>
        <v>QRO</v>
      </c>
      <c r="D94" s="79" t="str">
        <f>'4. Design Tracking Summary'!D95</f>
        <v>MINI</v>
      </c>
      <c r="E94" s="79" t="s">
        <v>59</v>
      </c>
      <c r="F94" s="79"/>
      <c r="G94" s="60" t="str">
        <f>IFERROR(INDEX(Table_SiteMilestonesNames[SiteMilestoneName],COUNTA(Table_SiteMilestoneTracking[[#This Row],[SiteDesignStarted_AC]],Table_SiteMilestoneTracking[[#This Row],[SiteDesignReady_AC]],Table_SiteMilestoneTracking[[#This Row],[SiteSurveyCompleted_AC]],Table_SiteMilestoneTracking[[#This Row],[SiteAcquired_AC]],Table_SiteMilestoneTracking[[#This Row],[SiteReadyForCW_AC]],Table_SiteMilestoneTracking[[#This Row],[SiteReadyForPower_AC]],Table_SiteMilestoneTracking[[#This Row],[TXReady_AC]],Table_SiteMilestoneTracking[[#This Row],[SiteReadyForInstallation_AC]],Table_SiteMilestoneTracking[[#This Row],[SiteReadyForIntegration_AC]],Table_SiteMilestoneTracking[[#This Row],[SiteOnAir_AC]],Table_SiteMilestoneTracking[[#This Row],[SiteAccepted_AC]],Table_SiteMilestoneTracking[[#This Row],[SiteInOperations_AC]])+1),"Invalid Milestone")</f>
        <v>SiteDesignStarted</v>
      </c>
      <c r="H94" s="61">
        <f>Table_SiteMilestoneTracking[[#This Row],[c0_SiteDesignCostBL]]+Table_SiteMilestoneTracking[[#This Row],[c1_SiteSurveyCostBL]]+Table_SiteMilestoneTracking[[#This Row],[c2_SiteAcquisitionCostBL]]+Table_SiteMilestoneTracking[[#This Row],[c3_CivilWorksCostBL]]+Table_SiteMilestoneTracking[[#This Row],[c4_PowerInstallCostBL]]+Table_SiteMilestoneTracking[[#This Row],[c5_TxintegrationCostBL]]+Table_SiteMilestoneTracking[[#This Row],[c6_InstallationCostBL]]+Table_SiteMilestoneTracking[[#This Row],[c7_IntegrationCostBL]]+Table_SiteMilestoneTracking[[#This Row],[c8_AcceptanceCostBL]]+Table_SiteMilestoneTracking[[#This Row],[c9_HandoverCostBL]]</f>
        <v>7550</v>
      </c>
      <c r="I94" s="62">
        <f>Table_SiteMilestoneTracking[[#This Row],[c0_SiteDesignCostAC]]+Table_SiteMilestoneTracking[[#This Row],[c1_SiteSurveyCostAC]]+Table_SiteMilestoneTracking[[#This Row],[c2_SiteAcquisitionCostAC]]+Table_SiteMilestoneTracking[[#This Row],[c3_CivilWorksCostAC]]+Table_SiteMilestoneTracking[[#This Row],[c4_PowerInstallCostAC]]+Table_SiteMilestoneTracking[[#This Row],[c5_TxintegrationCostAC]]+Table_SiteMilestoneTracking[[#This Row],[c6_InstallationCostAC]]+Table_SiteMilestoneTracking[[#This Row],[c7_IntegrationCostAC]]+Table_SiteMilestoneTracking[[#This Row],[c8_AcceptanceCostAC]]+Table_SiteMilestoneTracking[[#This Row],[c9_HandoverCostAC]]</f>
        <v>0</v>
      </c>
      <c r="J94" s="84">
        <v>44024</v>
      </c>
      <c r="K94" s="84">
        <v>44026</v>
      </c>
      <c r="L94" s="64">
        <f>IF(ISBLANK(Table_SiteMilestoneTracking[[#This Row],[SiteDesignStarted_AC]])=FALSE,Table_SiteMilestoneTracking[[#This Row],[SiteDesignStarted_AC]]-Table_SiteMilestoneTracking[[#This Row],[SiteDesignStarted_BL]],"")</f>
        <v>2</v>
      </c>
      <c r="M94" s="64">
        <f t="shared" si="11"/>
        <v>500</v>
      </c>
      <c r="N94" s="87"/>
      <c r="O94" s="63">
        <f>Table_SiteMilestoneTracking[[#This Row],[SiteDesignStarted_BL]]+t0_SiteDesignDelayBL</f>
        <v>44026</v>
      </c>
      <c r="P94" s="84"/>
      <c r="Q94" s="64" t="str">
        <f>IF(ISBLANK(Table_SiteMilestoneTracking[[#This Row],[SiteDesignReady_AC]])=FALSE,Table_SiteMilestoneTracking[[#This Row],[SiteDesignReady_AC]]-Table_SiteMilestoneTracking[[#This Row],[SiteDesignReady_BL]],"-")</f>
        <v>-</v>
      </c>
      <c r="R94" s="64">
        <f t="shared" si="16"/>
        <v>500</v>
      </c>
      <c r="S94" s="82"/>
      <c r="T94" s="63">
        <f>Table_SiteMilestoneTracking[[#This Row],[SiteDesignReady_BL]]+t1_SiteSurveyBL</f>
        <v>44028</v>
      </c>
      <c r="U94" s="84"/>
      <c r="V94" s="64" t="str">
        <f>IF(ISBLANK(Table_SiteMilestoneTracking[[#This Row],[SiteSurveyCompleted_AC]])=FALSE,Table_SiteMilestoneTracking[[#This Row],[SiteSurveyCompleted_AC]]-Table_SiteMilestoneTracking[[#This Row],[SiteDesignReady_AC]],"-")</f>
        <v>-</v>
      </c>
      <c r="W94" s="64">
        <f t="shared" si="12"/>
        <v>600</v>
      </c>
      <c r="X94" s="82"/>
      <c r="Y94" s="63">
        <f>Table_SiteMilestoneTracking[[#This Row],[SiteSurveyCompleted_BL]]+t2_SiteAcquisitionBL</f>
        <v>44039</v>
      </c>
      <c r="Z94" s="84"/>
      <c r="AA94" s="65" t="str">
        <f>IF(ISBLANK(Table_SiteMilestoneTracking[[#This Row],[SiteAcquired_AC]])=FALSE,Table_SiteMilestoneTracking[[#This Row],[SiteAcquired_AC]]-Table_SiteMilestoneTracking[[#This Row],[SiteAcquired_BL]],"-")</f>
        <v>-</v>
      </c>
      <c r="AB94" s="65" t="str">
        <f>IF(ISBLANK(Table_SiteMilestoneTracking[[#This Row],[SiteAcquired_AC]])=FALSE,Table_SiteMilestoneTracking[[#This Row],[SiteAcquired_AC]]-Table_SiteMilestoneTracking[[#This Row],[SiteSurveyCompleted_AC]],"-")</f>
        <v>-</v>
      </c>
      <c r="AC94" s="64">
        <f t="shared" si="13"/>
        <v>150</v>
      </c>
      <c r="AD94" s="82"/>
      <c r="AE94" s="63">
        <f>Table_SiteMilestoneTracking[[#This Row],[SiteAcquired_BL]]+t2a_SiteCWReadinessBL</f>
        <v>44041</v>
      </c>
      <c r="AF94" s="84"/>
      <c r="AG94" s="66" t="str">
        <f>IF(ISBLANK(Table_SiteMilestoneTracking[[#This Row],[SiteReadyForCW_AC]])=FALSE,Table_SiteMilestoneTracking[[#This Row],[SiteReadyForCW_AC]]-Table_SiteMilestoneTracking[[#This Row],[SiteReadyForCW_BL]],"-")</f>
        <v>-</v>
      </c>
      <c r="AH94" s="66" t="str">
        <f>IF(ISBLANK(Table_SiteMilestoneTracking[[#This Row],[SiteReadyForCW_AC]])=FALSE,Table_SiteMilestoneTracking[[#This Row],[SiteReadyForCW_AC]]-Table_SiteMilestoneTracking[[#This Row],[SiteDesignReady_AC]],"-")</f>
        <v>-</v>
      </c>
      <c r="AI94" s="64">
        <f t="shared" si="14"/>
        <v>1500</v>
      </c>
      <c r="AJ94" s="82"/>
      <c r="AK94" s="63">
        <f>Table_SiteMilestoneTracking[[#This Row],[SiteReadyForCW_BL]]+t3_CivilWorksBL</f>
        <v>44049</v>
      </c>
      <c r="AL94" s="84"/>
      <c r="AM94" s="64" t="str">
        <f>IF(ISBLANK(Table_SiteMilestoneTracking[[#This Row],[SiteReadyForPower_AC]])=FALSE,Table_SiteMilestoneTracking[[#This Row],[SiteReadyForPower_AC]]-Table_SiteMilestoneTracking[[#This Row],[SiteReadyForPower_BL]],"-")</f>
        <v>-</v>
      </c>
      <c r="AN94" s="64" t="str">
        <f>IF(ISBLANK(Table_SiteMilestoneTracking[[#This Row],[SiteReadyForPower_AC]])=FALSE,Table_SiteMilestoneTracking[[#This Row],[SiteReadyForPower_AC]]-Table_SiteMilestoneTracking[[#This Row],[SiteReadyForCW_AC]],"-")</f>
        <v>-</v>
      </c>
      <c r="AO94" s="64">
        <f t="shared" si="15"/>
        <v>500</v>
      </c>
      <c r="AP94" s="82"/>
      <c r="AQ94" s="63">
        <f>Table_SiteMilestoneTracking[[#This Row],[SiteReadyForPower_BL]]+t4_PowerInstallBL</f>
        <v>44054</v>
      </c>
      <c r="AR94" s="84"/>
      <c r="AS94" s="64" t="str">
        <f>IF(ISBLANK(Table_SiteMilestoneTracking[[#This Row],[TXReady_AC]])=FALSE,Table_SiteMilestoneTracking[[#This Row],[TXReady_AC]]-Table_SiteMilestoneTracking[[#This Row],[TXReady_BL]],"-")</f>
        <v>-</v>
      </c>
      <c r="AT94" s="64" t="str">
        <f>IF(ISBLANK(Table_SiteMilestoneTracking[[#This Row],[TXReady_AC]])=FALSE,Table_SiteMilestoneTracking[[#This Row],[TXReady_AC]]-Table_SiteMilestoneTracking[[#This Row],[SiteReadyForPower_AC]],"-")</f>
        <v>-</v>
      </c>
      <c r="AU94" s="64">
        <f>$AU$2</f>
        <v>500</v>
      </c>
      <c r="AV94" s="82"/>
      <c r="AW94" s="63">
        <f>Table_SiteMilestoneTracking[[#This Row],[TXReady_BL]]+t5_TxintegrationBL</f>
        <v>44061</v>
      </c>
      <c r="AX94" s="84"/>
      <c r="AY94" s="64" t="str">
        <f>IF(ISBLANK(Table_SiteMilestoneTracking[[#This Row],[SiteReadyForInstallation_AC]])=FALSE,Table_SiteMilestoneTracking[[#This Row],[SiteReadyForInstallation_AC]]-Table_SiteMilestoneTracking[[#This Row],[SiteReadyForInstallation_BL]],"-")</f>
        <v>-</v>
      </c>
      <c r="AZ94" s="64" t="str">
        <f>IF(ISBLANK(Table_SiteMilestoneTracking[[#This Row],[SiteReadyForInstallation_AC]])=FALSE,Table_SiteMilestoneTracking[[#This Row],[SiteReadyForInstallation_AC]]-Table_SiteMilestoneTracking[[#This Row],[TXReady_AC]],"-")</f>
        <v>-</v>
      </c>
      <c r="BA94" s="64">
        <f>$BA$2</f>
        <v>2500</v>
      </c>
      <c r="BB94" s="82"/>
      <c r="BC94" s="63">
        <f>Table_SiteMilestoneTracking[[#This Row],[SiteReadyForInstallation_BL]]+t6_InstallationBL</f>
        <v>44065</v>
      </c>
      <c r="BD94" s="84"/>
      <c r="BE94" s="64" t="str">
        <f>IF(ISBLANK(Table_SiteMilestoneTracking[[#This Row],[SiteReadyForIntegration_AC]])=FALSE,Table_SiteMilestoneTracking[[#This Row],[SiteReadyForIntegration_AC]]-Table_SiteMilestoneTracking[[#This Row],[SiteReadyForIntegration_BL]],"-")</f>
        <v>-</v>
      </c>
      <c r="BF94" s="64" t="str">
        <f>IF(ISBLANK(Table_SiteMilestoneTracking[[#This Row],[SiteReadyForIntegration_AC]])=FALSE,Table_SiteMilestoneTracking[[#This Row],[SiteReadyForIntegration_AC]]-Table_SiteMilestoneTracking[[#This Row],[SiteReadyForInstallation_AC]],"-")</f>
        <v>-</v>
      </c>
      <c r="BG94" s="64">
        <f>$BG$2</f>
        <v>500</v>
      </c>
      <c r="BH94" s="82"/>
      <c r="BI94" s="63">
        <f>Table_SiteMilestoneTracking[[#This Row],[SiteReadyForIntegration_BL]]+t7_IntegrationBL</f>
        <v>44069</v>
      </c>
      <c r="BJ94" s="84"/>
      <c r="BK94" s="64" t="str">
        <f>IF(ISBLANK(Table_SiteMilestoneTracking[[#This Row],[SiteOnAir_AC]])=FALSE,Table_SiteMilestoneTracking[[#This Row],[SiteOnAir_AC]]-Table_SiteMilestoneTracking[[#This Row],[SiteOnAir_BL]],"-")</f>
        <v>-</v>
      </c>
      <c r="BL94" s="64" t="str">
        <f>IF(ISBLANK(Table_SiteMilestoneTracking[[#This Row],[SiteOnAir_AC]])=FALSE,Table_SiteMilestoneTracking[[#This Row],[SiteOnAir_AC]]-Table_SiteMilestoneTracking[[#This Row],[SiteReadyForIntegration_AC]],"-")</f>
        <v>-</v>
      </c>
      <c r="BM94" s="64">
        <f>$BM$2</f>
        <v>250</v>
      </c>
      <c r="BN94" s="82"/>
      <c r="BO94" s="63">
        <f>Table_SiteMilestoneTracking[[#This Row],[SiteOnAir_BL]]+t8_AcceptanceBL</f>
        <v>44073</v>
      </c>
      <c r="BP94" s="84"/>
      <c r="BQ94" s="64" t="str">
        <f>IF(ISBLANK(Table_SiteMilestoneTracking[[#This Row],[SiteAccepted_AC]])=FALSE,Table_SiteMilestoneTracking[[#This Row],[SiteAccepted_AC]]-Table_SiteMilestoneTracking[[#This Row],[SiteAccepted_BL]],"-")</f>
        <v>-</v>
      </c>
      <c r="BR94" s="64" t="str">
        <f>IF(ISBLANK(Table_SiteMilestoneTracking[[#This Row],[SiteAccepted_AC]])=FALSE,Table_SiteMilestoneTracking[[#This Row],[SiteAccepted_AC]]-Table_SiteMilestoneTracking[[#This Row],[SiteOnAir_AC]],"-")</f>
        <v>-</v>
      </c>
      <c r="BS94" s="64">
        <f>$BS$2</f>
        <v>200</v>
      </c>
      <c r="BT94" s="82"/>
      <c r="BU94" s="63">
        <f>Table_SiteMilestoneTracking[[#This Row],[SiteAccepted_BL]]+t9_HandoverBL</f>
        <v>44081</v>
      </c>
      <c r="BV94" s="84"/>
      <c r="BW94" s="64" t="str">
        <f>IF(ISBLANK(Table_SiteMilestoneTracking[[#This Row],[SiteInOperations_AC]])=FALSE,Table_SiteMilestoneTracking[[#This Row],[SiteInOperations_AC]]-Table_SiteMilestoneTracking[[#This Row],[SiteInOperations_BL]],"-")</f>
        <v>-</v>
      </c>
      <c r="BX94" s="66">
        <f>Table_SiteMilestoneTracking[[#This Row],[SiteInOperations_BL]]-Table_SiteMilestoneTracking[[#This Row],[SiteDesignReady_BL]]</f>
        <v>55</v>
      </c>
      <c r="BY94" s="66" t="str">
        <f>IF(Table_SiteMilestoneTracking[[#This Row],[CurrentSiteMilestone]]="SiteInOperations",Table_SiteMilestoneTracking[[#This Row],[SiteInOperations_AC]]-Table_SiteMilestoneTracking[[#This Row],[SiteDesignReady_AC]],"")</f>
        <v/>
      </c>
      <c r="BZ94" s="66" t="str">
        <f>IFERROR(Table_SiteMilestoneTracking[[#This Row],[E2E_Site_AC]]-Table_SiteMilestoneTracking[[#This Row],[E2E_Site_BL]],"")</f>
        <v/>
      </c>
      <c r="CA94" s="66" t="str">
        <f>IF(Table_SiteMilestoneTracking[[#This Row],[CurrentSiteMilestone]]="SiteInOperations",Table_SiteMilestoneTracking[[#This Row],[SiteInOperations_AC]]-Table_SiteMilestoneTracking[[#This Row],[SiteAccepted_AC]],"")</f>
        <v/>
      </c>
      <c r="CB94" s="79"/>
      <c r="CC94" s="89"/>
      <c r="CD94" s="89"/>
      <c r="CE94" s="70"/>
      <c r="CF94" s="70"/>
      <c r="CG94" s="70"/>
      <c r="CH94" s="70"/>
      <c r="CI94" s="70"/>
      <c r="CJ94" s="70"/>
      <c r="CK94" s="70"/>
      <c r="CL94" s="70"/>
      <c r="CM94" s="70"/>
      <c r="CN94" s="70"/>
      <c r="CO94" s="70"/>
      <c r="CP94" s="70"/>
      <c r="CQ94" s="70"/>
      <c r="CR94" s="70"/>
      <c r="CS94" s="70"/>
      <c r="CT94" s="70"/>
      <c r="CU94" s="70"/>
      <c r="CV94" s="70"/>
      <c r="CW94" s="70"/>
      <c r="CX94" s="70"/>
      <c r="CY94" s="70"/>
      <c r="CZ94" s="70"/>
      <c r="DA94" s="70"/>
      <c r="DB94" s="70"/>
      <c r="DC94" s="70"/>
      <c r="DD94" s="70"/>
      <c r="DE94" s="70"/>
      <c r="DF94" s="70"/>
      <c r="DG94" s="70"/>
      <c r="DH94" s="70"/>
      <c r="DI94" s="70"/>
      <c r="DJ94" s="70"/>
      <c r="DK94" s="70"/>
      <c r="DL94" s="70"/>
      <c r="DM94" s="70"/>
      <c r="DN94" s="70"/>
      <c r="DO94" s="70"/>
      <c r="DP94" s="70"/>
      <c r="DQ94" s="70"/>
      <c r="DR94" s="70"/>
      <c r="DS94" s="70"/>
      <c r="DT94" s="70"/>
      <c r="DU94" s="70"/>
      <c r="DV94" s="70"/>
    </row>
    <row r="95" spans="1:126" x14ac:dyDescent="0.3">
      <c r="A95" s="79" t="str">
        <f>'4. Design Tracking Summary'!A96</f>
        <v>LI02052</v>
      </c>
      <c r="B95" s="79" t="str">
        <f>'4. Design Tracking Summary'!B96</f>
        <v>North</v>
      </c>
      <c r="C95" s="79" t="str">
        <f>'4. Design Tracking Summary'!C96</f>
        <v>VER</v>
      </c>
      <c r="D95" s="79" t="str">
        <f>'4. Design Tracking Summary'!D96</f>
        <v>SMALL</v>
      </c>
      <c r="E95" s="79" t="s">
        <v>59</v>
      </c>
      <c r="F95" s="79"/>
      <c r="G95" s="60" t="str">
        <f>IFERROR(INDEX(Table_SiteMilestonesNames[SiteMilestoneName],COUNTA(Table_SiteMilestoneTracking[[#This Row],[SiteDesignStarted_AC]],Table_SiteMilestoneTracking[[#This Row],[SiteDesignReady_AC]],Table_SiteMilestoneTracking[[#This Row],[SiteSurveyCompleted_AC]],Table_SiteMilestoneTracking[[#This Row],[SiteAcquired_AC]],Table_SiteMilestoneTracking[[#This Row],[SiteReadyForCW_AC]],Table_SiteMilestoneTracking[[#This Row],[SiteReadyForPower_AC]],Table_SiteMilestoneTracking[[#This Row],[TXReady_AC]],Table_SiteMilestoneTracking[[#This Row],[SiteReadyForInstallation_AC]],Table_SiteMilestoneTracking[[#This Row],[SiteReadyForIntegration_AC]],Table_SiteMilestoneTracking[[#This Row],[SiteOnAir_AC]],Table_SiteMilestoneTracking[[#This Row],[SiteAccepted_AC]],Table_SiteMilestoneTracking[[#This Row],[SiteInOperations_AC]])+1),"Invalid Milestone")</f>
        <v>SiteDesignStarted</v>
      </c>
      <c r="H95" s="61">
        <f>Table_SiteMilestoneTracking[[#This Row],[c0_SiteDesignCostBL]]+Table_SiteMilestoneTracking[[#This Row],[c1_SiteSurveyCostBL]]+Table_SiteMilestoneTracking[[#This Row],[c2_SiteAcquisitionCostBL]]+Table_SiteMilestoneTracking[[#This Row],[c3_CivilWorksCostBL]]+Table_SiteMilestoneTracking[[#This Row],[c4_PowerInstallCostBL]]+Table_SiteMilestoneTracking[[#This Row],[c5_TxintegrationCostBL]]+Table_SiteMilestoneTracking[[#This Row],[c6_InstallationCostBL]]+Table_SiteMilestoneTracking[[#This Row],[c7_IntegrationCostBL]]+Table_SiteMilestoneTracking[[#This Row],[c8_AcceptanceCostBL]]+Table_SiteMilestoneTracking[[#This Row],[c9_HandoverCostBL]]</f>
        <v>7550</v>
      </c>
      <c r="I95" s="62">
        <f>Table_SiteMilestoneTracking[[#This Row],[c0_SiteDesignCostAC]]+Table_SiteMilestoneTracking[[#This Row],[c1_SiteSurveyCostAC]]+Table_SiteMilestoneTracking[[#This Row],[c2_SiteAcquisitionCostAC]]+Table_SiteMilestoneTracking[[#This Row],[c3_CivilWorksCostAC]]+Table_SiteMilestoneTracking[[#This Row],[c4_PowerInstallCostAC]]+Table_SiteMilestoneTracking[[#This Row],[c5_TxintegrationCostAC]]+Table_SiteMilestoneTracking[[#This Row],[c6_InstallationCostAC]]+Table_SiteMilestoneTracking[[#This Row],[c7_IntegrationCostAC]]+Table_SiteMilestoneTracking[[#This Row],[c8_AcceptanceCostAC]]+Table_SiteMilestoneTracking[[#This Row],[c9_HandoverCostAC]]</f>
        <v>0</v>
      </c>
      <c r="J95" s="84">
        <v>44025</v>
      </c>
      <c r="K95" s="84">
        <v>44026</v>
      </c>
      <c r="L95" s="64">
        <f>IF(ISBLANK(Table_SiteMilestoneTracking[[#This Row],[SiteDesignStarted_AC]])=FALSE,Table_SiteMilestoneTracking[[#This Row],[SiteDesignStarted_AC]]-Table_SiteMilestoneTracking[[#This Row],[SiteDesignStarted_BL]],"")</f>
        <v>1</v>
      </c>
      <c r="M95" s="64">
        <f t="shared" si="11"/>
        <v>500</v>
      </c>
      <c r="N95" s="87"/>
      <c r="O95" s="63">
        <f>Table_SiteMilestoneTracking[[#This Row],[SiteDesignStarted_BL]]+t0_SiteDesignDelayBL</f>
        <v>44027</v>
      </c>
      <c r="P95" s="84"/>
      <c r="Q95" s="64" t="str">
        <f>IF(ISBLANK(Table_SiteMilestoneTracking[[#This Row],[SiteDesignReady_AC]])=FALSE,Table_SiteMilestoneTracking[[#This Row],[SiteDesignReady_AC]]-Table_SiteMilestoneTracking[[#This Row],[SiteDesignReady_BL]],"-")</f>
        <v>-</v>
      </c>
      <c r="R95" s="64">
        <f t="shared" si="16"/>
        <v>500</v>
      </c>
      <c r="S95" s="82"/>
      <c r="T95" s="63">
        <f>Table_SiteMilestoneTracking[[#This Row],[SiteDesignReady_BL]]+t1_SiteSurveyBL</f>
        <v>44029</v>
      </c>
      <c r="U95" s="84"/>
      <c r="V95" s="64" t="str">
        <f>IF(ISBLANK(Table_SiteMilestoneTracking[[#This Row],[SiteSurveyCompleted_AC]])=FALSE,Table_SiteMilestoneTracking[[#This Row],[SiteSurveyCompleted_AC]]-Table_SiteMilestoneTracking[[#This Row],[SiteDesignReady_AC]],"-")</f>
        <v>-</v>
      </c>
      <c r="W95" s="64">
        <f t="shared" si="12"/>
        <v>600</v>
      </c>
      <c r="X95" s="82"/>
      <c r="Y95" s="63">
        <f>Table_SiteMilestoneTracking[[#This Row],[SiteSurveyCompleted_BL]]+t2_SiteAcquisitionBL</f>
        <v>44040</v>
      </c>
      <c r="Z95" s="84"/>
      <c r="AA95" s="65" t="str">
        <f>IF(ISBLANK(Table_SiteMilestoneTracking[[#This Row],[SiteAcquired_AC]])=FALSE,Table_SiteMilestoneTracking[[#This Row],[SiteAcquired_AC]]-Table_SiteMilestoneTracking[[#This Row],[SiteAcquired_BL]],"-")</f>
        <v>-</v>
      </c>
      <c r="AB95" s="65" t="str">
        <f>IF(ISBLANK(Table_SiteMilestoneTracking[[#This Row],[SiteAcquired_AC]])=FALSE,Table_SiteMilestoneTracking[[#This Row],[SiteAcquired_AC]]-Table_SiteMilestoneTracking[[#This Row],[SiteSurveyCompleted_AC]],"-")</f>
        <v>-</v>
      </c>
      <c r="AC95" s="64">
        <f t="shared" si="13"/>
        <v>150</v>
      </c>
      <c r="AD95" s="82"/>
      <c r="AE95" s="63">
        <f>Table_SiteMilestoneTracking[[#This Row],[SiteAcquired_BL]]+t2a_SiteCWReadinessBL</f>
        <v>44042</v>
      </c>
      <c r="AF95" s="84"/>
      <c r="AG95" s="66" t="str">
        <f>IF(ISBLANK(Table_SiteMilestoneTracking[[#This Row],[SiteReadyForCW_AC]])=FALSE,Table_SiteMilestoneTracking[[#This Row],[SiteReadyForCW_AC]]-Table_SiteMilestoneTracking[[#This Row],[SiteReadyForCW_BL]],"-")</f>
        <v>-</v>
      </c>
      <c r="AH95" s="66" t="str">
        <f>IF(ISBLANK(Table_SiteMilestoneTracking[[#This Row],[SiteReadyForCW_AC]])=FALSE,Table_SiteMilestoneTracking[[#This Row],[SiteReadyForCW_AC]]-Table_SiteMilestoneTracking[[#This Row],[SiteDesignReady_AC]],"-")</f>
        <v>-</v>
      </c>
      <c r="AI95" s="64">
        <f t="shared" si="14"/>
        <v>1500</v>
      </c>
      <c r="AJ95" s="82"/>
      <c r="AK95" s="63">
        <f>Table_SiteMilestoneTracking[[#This Row],[SiteReadyForCW_BL]]+t3_CivilWorksBL</f>
        <v>44050</v>
      </c>
      <c r="AL95" s="84"/>
      <c r="AM95" s="64" t="str">
        <f>IF(ISBLANK(Table_SiteMilestoneTracking[[#This Row],[SiteReadyForPower_AC]])=FALSE,Table_SiteMilestoneTracking[[#This Row],[SiteReadyForPower_AC]]-Table_SiteMilestoneTracking[[#This Row],[SiteReadyForPower_BL]],"-")</f>
        <v>-</v>
      </c>
      <c r="AN95" s="64" t="str">
        <f>IF(ISBLANK(Table_SiteMilestoneTracking[[#This Row],[SiteReadyForPower_AC]])=FALSE,Table_SiteMilestoneTracking[[#This Row],[SiteReadyForPower_AC]]-Table_SiteMilestoneTracking[[#This Row],[SiteReadyForCW_AC]],"-")</f>
        <v>-</v>
      </c>
      <c r="AO95" s="64">
        <f t="shared" si="15"/>
        <v>500</v>
      </c>
      <c r="AP95" s="82"/>
      <c r="AQ95" s="63">
        <f>Table_SiteMilestoneTracking[[#This Row],[SiteReadyForPower_BL]]+t4_PowerInstallBL</f>
        <v>44055</v>
      </c>
      <c r="AR95" s="84"/>
      <c r="AS95" s="64" t="str">
        <f>IF(ISBLANK(Table_SiteMilestoneTracking[[#This Row],[TXReady_AC]])=FALSE,Table_SiteMilestoneTracking[[#This Row],[TXReady_AC]]-Table_SiteMilestoneTracking[[#This Row],[TXReady_BL]],"-")</f>
        <v>-</v>
      </c>
      <c r="AT95" s="64" t="str">
        <f>IF(ISBLANK(Table_SiteMilestoneTracking[[#This Row],[TXReady_AC]])=FALSE,Table_SiteMilestoneTracking[[#This Row],[TXReady_AC]]-Table_SiteMilestoneTracking[[#This Row],[SiteReadyForPower_AC]],"-")</f>
        <v>-</v>
      </c>
      <c r="AU95" s="64">
        <f>$AU$2</f>
        <v>500</v>
      </c>
      <c r="AV95" s="82"/>
      <c r="AW95" s="63">
        <f>Table_SiteMilestoneTracking[[#This Row],[TXReady_BL]]+t5_TxintegrationBL</f>
        <v>44062</v>
      </c>
      <c r="AX95" s="84"/>
      <c r="AY95" s="64" t="str">
        <f>IF(ISBLANK(Table_SiteMilestoneTracking[[#This Row],[SiteReadyForInstallation_AC]])=FALSE,Table_SiteMilestoneTracking[[#This Row],[SiteReadyForInstallation_AC]]-Table_SiteMilestoneTracking[[#This Row],[SiteReadyForInstallation_BL]],"-")</f>
        <v>-</v>
      </c>
      <c r="AZ95" s="64" t="str">
        <f>IF(ISBLANK(Table_SiteMilestoneTracking[[#This Row],[SiteReadyForInstallation_AC]])=FALSE,Table_SiteMilestoneTracking[[#This Row],[SiteReadyForInstallation_AC]]-Table_SiteMilestoneTracking[[#This Row],[TXReady_AC]],"-")</f>
        <v>-</v>
      </c>
      <c r="BA95" s="64">
        <f>$BA$2</f>
        <v>2500</v>
      </c>
      <c r="BB95" s="82"/>
      <c r="BC95" s="63">
        <f>Table_SiteMilestoneTracking[[#This Row],[SiteReadyForInstallation_BL]]+t6_InstallationBL</f>
        <v>44066</v>
      </c>
      <c r="BD95" s="84"/>
      <c r="BE95" s="64" t="str">
        <f>IF(ISBLANK(Table_SiteMilestoneTracking[[#This Row],[SiteReadyForIntegration_AC]])=FALSE,Table_SiteMilestoneTracking[[#This Row],[SiteReadyForIntegration_AC]]-Table_SiteMilestoneTracking[[#This Row],[SiteReadyForIntegration_BL]],"-")</f>
        <v>-</v>
      </c>
      <c r="BF95" s="64" t="str">
        <f>IF(ISBLANK(Table_SiteMilestoneTracking[[#This Row],[SiteReadyForIntegration_AC]])=FALSE,Table_SiteMilestoneTracking[[#This Row],[SiteReadyForIntegration_AC]]-Table_SiteMilestoneTracking[[#This Row],[SiteReadyForInstallation_AC]],"-")</f>
        <v>-</v>
      </c>
      <c r="BG95" s="64">
        <f>$BG$2</f>
        <v>500</v>
      </c>
      <c r="BH95" s="82"/>
      <c r="BI95" s="63">
        <f>Table_SiteMilestoneTracking[[#This Row],[SiteReadyForIntegration_BL]]+t7_IntegrationBL</f>
        <v>44070</v>
      </c>
      <c r="BJ95" s="84"/>
      <c r="BK95" s="64" t="str">
        <f>IF(ISBLANK(Table_SiteMilestoneTracking[[#This Row],[SiteOnAir_AC]])=FALSE,Table_SiteMilestoneTracking[[#This Row],[SiteOnAir_AC]]-Table_SiteMilestoneTracking[[#This Row],[SiteOnAir_BL]],"-")</f>
        <v>-</v>
      </c>
      <c r="BL95" s="64" t="str">
        <f>IF(ISBLANK(Table_SiteMilestoneTracking[[#This Row],[SiteOnAir_AC]])=FALSE,Table_SiteMilestoneTracking[[#This Row],[SiteOnAir_AC]]-Table_SiteMilestoneTracking[[#This Row],[SiteReadyForIntegration_AC]],"-")</f>
        <v>-</v>
      </c>
      <c r="BM95" s="64">
        <f>$BM$2</f>
        <v>250</v>
      </c>
      <c r="BN95" s="82"/>
      <c r="BO95" s="63">
        <f>Table_SiteMilestoneTracking[[#This Row],[SiteOnAir_BL]]+t8_AcceptanceBL</f>
        <v>44074</v>
      </c>
      <c r="BP95" s="84"/>
      <c r="BQ95" s="64" t="str">
        <f>IF(ISBLANK(Table_SiteMilestoneTracking[[#This Row],[SiteAccepted_AC]])=FALSE,Table_SiteMilestoneTracking[[#This Row],[SiteAccepted_AC]]-Table_SiteMilestoneTracking[[#This Row],[SiteAccepted_BL]],"-")</f>
        <v>-</v>
      </c>
      <c r="BR95" s="64" t="str">
        <f>IF(ISBLANK(Table_SiteMilestoneTracking[[#This Row],[SiteAccepted_AC]])=FALSE,Table_SiteMilestoneTracking[[#This Row],[SiteAccepted_AC]]-Table_SiteMilestoneTracking[[#This Row],[SiteOnAir_AC]],"-")</f>
        <v>-</v>
      </c>
      <c r="BS95" s="64">
        <f>$BS$2</f>
        <v>200</v>
      </c>
      <c r="BT95" s="82"/>
      <c r="BU95" s="63">
        <f>Table_SiteMilestoneTracking[[#This Row],[SiteAccepted_BL]]+t9_HandoverBL</f>
        <v>44082</v>
      </c>
      <c r="BV95" s="84"/>
      <c r="BW95" s="64" t="str">
        <f>IF(ISBLANK(Table_SiteMilestoneTracking[[#This Row],[SiteInOperations_AC]])=FALSE,Table_SiteMilestoneTracking[[#This Row],[SiteInOperations_AC]]-Table_SiteMilestoneTracking[[#This Row],[SiteInOperations_BL]],"-")</f>
        <v>-</v>
      </c>
      <c r="BX95" s="66">
        <f>Table_SiteMilestoneTracking[[#This Row],[SiteInOperations_BL]]-Table_SiteMilestoneTracking[[#This Row],[SiteDesignReady_BL]]</f>
        <v>55</v>
      </c>
      <c r="BY95" s="66" t="str">
        <f>IF(Table_SiteMilestoneTracking[[#This Row],[CurrentSiteMilestone]]="SiteInOperations",Table_SiteMilestoneTracking[[#This Row],[SiteInOperations_AC]]-Table_SiteMilestoneTracking[[#This Row],[SiteDesignReady_AC]],"")</f>
        <v/>
      </c>
      <c r="BZ95" s="66" t="str">
        <f>IFERROR(Table_SiteMilestoneTracking[[#This Row],[E2E_Site_AC]]-Table_SiteMilestoneTracking[[#This Row],[E2E_Site_BL]],"")</f>
        <v/>
      </c>
      <c r="CA95" s="66" t="str">
        <f>IF(Table_SiteMilestoneTracking[[#This Row],[CurrentSiteMilestone]]="SiteInOperations",Table_SiteMilestoneTracking[[#This Row],[SiteInOperations_AC]]-Table_SiteMilestoneTracking[[#This Row],[SiteAccepted_AC]],"")</f>
        <v/>
      </c>
      <c r="CB95" s="79"/>
      <c r="CC95" s="89"/>
      <c r="CD95" s="89"/>
      <c r="CE95" s="70"/>
      <c r="CF95" s="70"/>
      <c r="CG95" s="70"/>
      <c r="CH95" s="70"/>
      <c r="CI95" s="70"/>
      <c r="CJ95" s="70"/>
      <c r="CK95" s="70"/>
      <c r="CL95" s="70"/>
      <c r="CM95" s="70"/>
      <c r="CN95" s="70"/>
      <c r="CO95" s="70"/>
      <c r="CP95" s="70"/>
      <c r="CQ95" s="70"/>
      <c r="CR95" s="70"/>
      <c r="CS95" s="70"/>
      <c r="CT95" s="70"/>
      <c r="CU95" s="70"/>
      <c r="CV95" s="70"/>
      <c r="CW95" s="70"/>
      <c r="CX95" s="70"/>
      <c r="CY95" s="70"/>
      <c r="CZ95" s="70"/>
      <c r="DA95" s="70"/>
      <c r="DB95" s="70"/>
      <c r="DC95" s="70"/>
      <c r="DD95" s="70"/>
      <c r="DE95" s="70"/>
      <c r="DF95" s="70"/>
      <c r="DG95" s="70"/>
      <c r="DH95" s="70"/>
      <c r="DI95" s="70"/>
      <c r="DJ95" s="70"/>
      <c r="DK95" s="70"/>
      <c r="DL95" s="70"/>
      <c r="DM95" s="70"/>
      <c r="DN95" s="70"/>
      <c r="DO95" s="70"/>
      <c r="DP95" s="70"/>
      <c r="DQ95" s="70"/>
      <c r="DR95" s="70"/>
      <c r="DS95" s="70"/>
      <c r="DT95" s="70"/>
      <c r="DU95" s="70"/>
      <c r="DV95" s="70"/>
    </row>
    <row r="96" spans="1:126" x14ac:dyDescent="0.3">
      <c r="A96" s="79" t="str">
        <f>'4. Design Tracking Summary'!A97</f>
        <v>LI01472</v>
      </c>
      <c r="B96" s="79" t="str">
        <f>'4. Design Tracking Summary'!B97</f>
        <v>Center</v>
      </c>
      <c r="C96" s="79" t="str">
        <f>'4. Design Tracking Summary'!C97</f>
        <v>CHI</v>
      </c>
      <c r="D96" s="79" t="str">
        <f>'4. Design Tracking Summary'!D97</f>
        <v>MACRO</v>
      </c>
      <c r="E96" s="79" t="s">
        <v>56</v>
      </c>
      <c r="F96" s="79"/>
      <c r="G96" s="60" t="str">
        <f>IFERROR(INDEX(Table_SiteMilestonesNames[SiteMilestoneName],COUNTA(Table_SiteMilestoneTracking[[#This Row],[SiteDesignStarted_AC]],Table_SiteMilestoneTracking[[#This Row],[SiteDesignReady_AC]],Table_SiteMilestoneTracking[[#This Row],[SiteSurveyCompleted_AC]],Table_SiteMilestoneTracking[[#This Row],[SiteAcquired_AC]],Table_SiteMilestoneTracking[[#This Row],[SiteReadyForCW_AC]],Table_SiteMilestoneTracking[[#This Row],[SiteReadyForPower_AC]],Table_SiteMilestoneTracking[[#This Row],[TXReady_AC]],Table_SiteMilestoneTracking[[#This Row],[SiteReadyForInstallation_AC]],Table_SiteMilestoneTracking[[#This Row],[SiteReadyForIntegration_AC]],Table_SiteMilestoneTracking[[#This Row],[SiteOnAir_AC]],Table_SiteMilestoneTracking[[#This Row],[SiteAccepted_AC]],Table_SiteMilestoneTracking[[#This Row],[SiteInOperations_AC]])+1),"Invalid Milestone")</f>
        <v>SiteDesignStarted</v>
      </c>
      <c r="H96" s="61">
        <f>Table_SiteMilestoneTracking[[#This Row],[c0_SiteDesignCostBL]]+Table_SiteMilestoneTracking[[#This Row],[c1_SiteSurveyCostBL]]+Table_SiteMilestoneTracking[[#This Row],[c2_SiteAcquisitionCostBL]]+Table_SiteMilestoneTracking[[#This Row],[c3_CivilWorksCostBL]]+Table_SiteMilestoneTracking[[#This Row],[c4_PowerInstallCostBL]]+Table_SiteMilestoneTracking[[#This Row],[c5_TxintegrationCostBL]]+Table_SiteMilestoneTracking[[#This Row],[c6_InstallationCostBL]]+Table_SiteMilestoneTracking[[#This Row],[c7_IntegrationCostBL]]+Table_SiteMilestoneTracking[[#This Row],[c8_AcceptanceCostBL]]+Table_SiteMilestoneTracking[[#This Row],[c9_HandoverCostBL]]</f>
        <v>7550</v>
      </c>
      <c r="I96" s="62">
        <f>Table_SiteMilestoneTracking[[#This Row],[c0_SiteDesignCostAC]]+Table_SiteMilestoneTracking[[#This Row],[c1_SiteSurveyCostAC]]+Table_SiteMilestoneTracking[[#This Row],[c2_SiteAcquisitionCostAC]]+Table_SiteMilestoneTracking[[#This Row],[c3_CivilWorksCostAC]]+Table_SiteMilestoneTracking[[#This Row],[c4_PowerInstallCostAC]]+Table_SiteMilestoneTracking[[#This Row],[c5_TxintegrationCostAC]]+Table_SiteMilestoneTracking[[#This Row],[c6_InstallationCostAC]]+Table_SiteMilestoneTracking[[#This Row],[c7_IntegrationCostAC]]+Table_SiteMilestoneTracking[[#This Row],[c8_AcceptanceCostAC]]+Table_SiteMilestoneTracking[[#This Row],[c9_HandoverCostAC]]</f>
        <v>0</v>
      </c>
      <c r="J96" s="84">
        <v>44025</v>
      </c>
      <c r="K96" s="84">
        <v>44026</v>
      </c>
      <c r="L96" s="64">
        <f>IF(ISBLANK(Table_SiteMilestoneTracking[[#This Row],[SiteDesignStarted_AC]])=FALSE,Table_SiteMilestoneTracking[[#This Row],[SiteDesignStarted_AC]]-Table_SiteMilestoneTracking[[#This Row],[SiteDesignStarted_BL]],"")</f>
        <v>1</v>
      </c>
      <c r="M96" s="64">
        <f t="shared" si="11"/>
        <v>500</v>
      </c>
      <c r="N96" s="87"/>
      <c r="O96" s="63">
        <f>Table_SiteMilestoneTracking[[#This Row],[SiteDesignStarted_BL]]+t0_SiteDesignDelayBL</f>
        <v>44027</v>
      </c>
      <c r="P96" s="84"/>
      <c r="Q96" s="64" t="str">
        <f>IF(ISBLANK(Table_SiteMilestoneTracking[[#This Row],[SiteDesignReady_AC]])=FALSE,Table_SiteMilestoneTracking[[#This Row],[SiteDesignReady_AC]]-Table_SiteMilestoneTracking[[#This Row],[SiteDesignReady_BL]],"-")</f>
        <v>-</v>
      </c>
      <c r="R96" s="64">
        <f t="shared" si="16"/>
        <v>500</v>
      </c>
      <c r="S96" s="82"/>
      <c r="T96" s="63">
        <f>Table_SiteMilestoneTracking[[#This Row],[SiteDesignReady_BL]]+t1_SiteSurveyBL</f>
        <v>44029</v>
      </c>
      <c r="U96" s="84"/>
      <c r="V96" s="64" t="str">
        <f>IF(ISBLANK(Table_SiteMilestoneTracking[[#This Row],[SiteSurveyCompleted_AC]])=FALSE,Table_SiteMilestoneTracking[[#This Row],[SiteSurveyCompleted_AC]]-Table_SiteMilestoneTracking[[#This Row],[SiteDesignReady_AC]],"-")</f>
        <v>-</v>
      </c>
      <c r="W96" s="64">
        <f t="shared" si="12"/>
        <v>600</v>
      </c>
      <c r="X96" s="82"/>
      <c r="Y96" s="63">
        <f>Table_SiteMilestoneTracking[[#This Row],[SiteSurveyCompleted_BL]]+t2_SiteAcquisitionBL</f>
        <v>44040</v>
      </c>
      <c r="Z96" s="84"/>
      <c r="AA96" s="65" t="str">
        <f>IF(ISBLANK(Table_SiteMilestoneTracking[[#This Row],[SiteAcquired_AC]])=FALSE,Table_SiteMilestoneTracking[[#This Row],[SiteAcquired_AC]]-Table_SiteMilestoneTracking[[#This Row],[SiteAcquired_BL]],"-")</f>
        <v>-</v>
      </c>
      <c r="AB96" s="65" t="str">
        <f>IF(ISBLANK(Table_SiteMilestoneTracking[[#This Row],[SiteAcquired_AC]])=FALSE,Table_SiteMilestoneTracking[[#This Row],[SiteAcquired_AC]]-Table_SiteMilestoneTracking[[#This Row],[SiteSurveyCompleted_AC]],"-")</f>
        <v>-</v>
      </c>
      <c r="AC96" s="64">
        <f t="shared" si="13"/>
        <v>150</v>
      </c>
      <c r="AD96" s="82"/>
      <c r="AE96" s="63">
        <f>Table_SiteMilestoneTracking[[#This Row],[SiteAcquired_BL]]+t2a_SiteCWReadinessBL</f>
        <v>44042</v>
      </c>
      <c r="AF96" s="84"/>
      <c r="AG96" s="66" t="str">
        <f>IF(ISBLANK(Table_SiteMilestoneTracking[[#This Row],[SiteReadyForCW_AC]])=FALSE,Table_SiteMilestoneTracking[[#This Row],[SiteReadyForCW_AC]]-Table_SiteMilestoneTracking[[#This Row],[SiteReadyForCW_BL]],"-")</f>
        <v>-</v>
      </c>
      <c r="AH96" s="66" t="str">
        <f>IF(ISBLANK(Table_SiteMilestoneTracking[[#This Row],[SiteReadyForCW_AC]])=FALSE,Table_SiteMilestoneTracking[[#This Row],[SiteReadyForCW_AC]]-Table_SiteMilestoneTracking[[#This Row],[SiteDesignReady_AC]],"-")</f>
        <v>-</v>
      </c>
      <c r="AI96" s="64">
        <f t="shared" si="14"/>
        <v>1500</v>
      </c>
      <c r="AJ96" s="82"/>
      <c r="AK96" s="63">
        <f>Table_SiteMilestoneTracking[[#This Row],[SiteReadyForCW_BL]]+t3_CivilWorksBL</f>
        <v>44050</v>
      </c>
      <c r="AL96" s="84"/>
      <c r="AM96" s="64" t="str">
        <f>IF(ISBLANK(Table_SiteMilestoneTracking[[#This Row],[SiteReadyForPower_AC]])=FALSE,Table_SiteMilestoneTracking[[#This Row],[SiteReadyForPower_AC]]-Table_SiteMilestoneTracking[[#This Row],[SiteReadyForPower_BL]],"-")</f>
        <v>-</v>
      </c>
      <c r="AN96" s="64" t="str">
        <f>IF(ISBLANK(Table_SiteMilestoneTracking[[#This Row],[SiteReadyForPower_AC]])=FALSE,Table_SiteMilestoneTracking[[#This Row],[SiteReadyForPower_AC]]-Table_SiteMilestoneTracking[[#This Row],[SiteReadyForCW_AC]],"-")</f>
        <v>-</v>
      </c>
      <c r="AO96" s="64">
        <f t="shared" si="15"/>
        <v>500</v>
      </c>
      <c r="AP96" s="82"/>
      <c r="AQ96" s="63">
        <f>Table_SiteMilestoneTracking[[#This Row],[SiteReadyForPower_BL]]+t4_PowerInstallBL</f>
        <v>44055</v>
      </c>
      <c r="AR96" s="84"/>
      <c r="AS96" s="64" t="str">
        <f>IF(ISBLANK(Table_SiteMilestoneTracking[[#This Row],[TXReady_AC]])=FALSE,Table_SiteMilestoneTracking[[#This Row],[TXReady_AC]]-Table_SiteMilestoneTracking[[#This Row],[TXReady_BL]],"-")</f>
        <v>-</v>
      </c>
      <c r="AT96" s="64" t="str">
        <f>IF(ISBLANK(Table_SiteMilestoneTracking[[#This Row],[TXReady_AC]])=FALSE,Table_SiteMilestoneTracking[[#This Row],[TXReady_AC]]-Table_SiteMilestoneTracking[[#This Row],[SiteReadyForPower_AC]],"-")</f>
        <v>-</v>
      </c>
      <c r="AU96" s="64">
        <f>$AU$2</f>
        <v>500</v>
      </c>
      <c r="AV96" s="82"/>
      <c r="AW96" s="63">
        <f>Table_SiteMilestoneTracking[[#This Row],[TXReady_BL]]+t5_TxintegrationBL</f>
        <v>44062</v>
      </c>
      <c r="AX96" s="84"/>
      <c r="AY96" s="64" t="str">
        <f>IF(ISBLANK(Table_SiteMilestoneTracking[[#This Row],[SiteReadyForInstallation_AC]])=FALSE,Table_SiteMilestoneTracking[[#This Row],[SiteReadyForInstallation_AC]]-Table_SiteMilestoneTracking[[#This Row],[SiteReadyForInstallation_BL]],"-")</f>
        <v>-</v>
      </c>
      <c r="AZ96" s="64" t="str">
        <f>IF(ISBLANK(Table_SiteMilestoneTracking[[#This Row],[SiteReadyForInstallation_AC]])=FALSE,Table_SiteMilestoneTracking[[#This Row],[SiteReadyForInstallation_AC]]-Table_SiteMilestoneTracking[[#This Row],[TXReady_AC]],"-")</f>
        <v>-</v>
      </c>
      <c r="BA96" s="64">
        <f>$BA$2</f>
        <v>2500</v>
      </c>
      <c r="BB96" s="82"/>
      <c r="BC96" s="63">
        <f>Table_SiteMilestoneTracking[[#This Row],[SiteReadyForInstallation_BL]]+t6_InstallationBL</f>
        <v>44066</v>
      </c>
      <c r="BD96" s="84"/>
      <c r="BE96" s="64" t="str">
        <f>IF(ISBLANK(Table_SiteMilestoneTracking[[#This Row],[SiteReadyForIntegration_AC]])=FALSE,Table_SiteMilestoneTracking[[#This Row],[SiteReadyForIntegration_AC]]-Table_SiteMilestoneTracking[[#This Row],[SiteReadyForIntegration_BL]],"-")</f>
        <v>-</v>
      </c>
      <c r="BF96" s="64" t="str">
        <f>IF(ISBLANK(Table_SiteMilestoneTracking[[#This Row],[SiteReadyForIntegration_AC]])=FALSE,Table_SiteMilestoneTracking[[#This Row],[SiteReadyForIntegration_AC]]-Table_SiteMilestoneTracking[[#This Row],[SiteReadyForInstallation_AC]],"-")</f>
        <v>-</v>
      </c>
      <c r="BG96" s="64">
        <f>$BG$2</f>
        <v>500</v>
      </c>
      <c r="BH96" s="82"/>
      <c r="BI96" s="63">
        <f>Table_SiteMilestoneTracking[[#This Row],[SiteReadyForIntegration_BL]]+t7_IntegrationBL</f>
        <v>44070</v>
      </c>
      <c r="BJ96" s="84"/>
      <c r="BK96" s="64" t="str">
        <f>IF(ISBLANK(Table_SiteMilestoneTracking[[#This Row],[SiteOnAir_AC]])=FALSE,Table_SiteMilestoneTracking[[#This Row],[SiteOnAir_AC]]-Table_SiteMilestoneTracking[[#This Row],[SiteOnAir_BL]],"-")</f>
        <v>-</v>
      </c>
      <c r="BL96" s="64" t="str">
        <f>IF(ISBLANK(Table_SiteMilestoneTracking[[#This Row],[SiteOnAir_AC]])=FALSE,Table_SiteMilestoneTracking[[#This Row],[SiteOnAir_AC]]-Table_SiteMilestoneTracking[[#This Row],[SiteReadyForIntegration_AC]],"-")</f>
        <v>-</v>
      </c>
      <c r="BM96" s="64">
        <f>$BM$2</f>
        <v>250</v>
      </c>
      <c r="BN96" s="82"/>
      <c r="BO96" s="63">
        <f>Table_SiteMilestoneTracking[[#This Row],[SiteOnAir_BL]]+t8_AcceptanceBL</f>
        <v>44074</v>
      </c>
      <c r="BP96" s="84"/>
      <c r="BQ96" s="64" t="str">
        <f>IF(ISBLANK(Table_SiteMilestoneTracking[[#This Row],[SiteAccepted_AC]])=FALSE,Table_SiteMilestoneTracking[[#This Row],[SiteAccepted_AC]]-Table_SiteMilestoneTracking[[#This Row],[SiteAccepted_BL]],"-")</f>
        <v>-</v>
      </c>
      <c r="BR96" s="64" t="str">
        <f>IF(ISBLANK(Table_SiteMilestoneTracking[[#This Row],[SiteAccepted_AC]])=FALSE,Table_SiteMilestoneTracking[[#This Row],[SiteAccepted_AC]]-Table_SiteMilestoneTracking[[#This Row],[SiteOnAir_AC]],"-")</f>
        <v>-</v>
      </c>
      <c r="BS96" s="64">
        <f>$BS$2</f>
        <v>200</v>
      </c>
      <c r="BT96" s="82"/>
      <c r="BU96" s="63">
        <f>Table_SiteMilestoneTracking[[#This Row],[SiteAccepted_BL]]+t9_HandoverBL</f>
        <v>44082</v>
      </c>
      <c r="BV96" s="84"/>
      <c r="BW96" s="64" t="str">
        <f>IF(ISBLANK(Table_SiteMilestoneTracking[[#This Row],[SiteInOperations_AC]])=FALSE,Table_SiteMilestoneTracking[[#This Row],[SiteInOperations_AC]]-Table_SiteMilestoneTracking[[#This Row],[SiteInOperations_BL]],"-")</f>
        <v>-</v>
      </c>
      <c r="BX96" s="66">
        <f>Table_SiteMilestoneTracking[[#This Row],[SiteInOperations_BL]]-Table_SiteMilestoneTracking[[#This Row],[SiteDesignReady_BL]]</f>
        <v>55</v>
      </c>
      <c r="BY96" s="66" t="str">
        <f>IF(Table_SiteMilestoneTracking[[#This Row],[CurrentSiteMilestone]]="SiteInOperations",Table_SiteMilestoneTracking[[#This Row],[SiteInOperations_AC]]-Table_SiteMilestoneTracking[[#This Row],[SiteDesignReady_AC]],"")</f>
        <v/>
      </c>
      <c r="BZ96" s="66" t="str">
        <f>IFERROR(Table_SiteMilestoneTracking[[#This Row],[E2E_Site_AC]]-Table_SiteMilestoneTracking[[#This Row],[E2E_Site_BL]],"")</f>
        <v/>
      </c>
      <c r="CA96" s="66" t="str">
        <f>IF(Table_SiteMilestoneTracking[[#This Row],[CurrentSiteMilestone]]="SiteInOperations",Table_SiteMilestoneTracking[[#This Row],[SiteInOperations_AC]]-Table_SiteMilestoneTracking[[#This Row],[SiteAccepted_AC]],"")</f>
        <v/>
      </c>
      <c r="CB96" s="79"/>
      <c r="CC96" s="89"/>
      <c r="CD96" s="89"/>
      <c r="CE96" s="70"/>
      <c r="CF96" s="70"/>
      <c r="CG96" s="70"/>
      <c r="CH96" s="70"/>
      <c r="CI96" s="70"/>
      <c r="CJ96" s="70"/>
      <c r="CK96" s="70"/>
      <c r="CL96" s="70"/>
      <c r="CM96" s="70"/>
      <c r="CN96" s="70"/>
      <c r="CO96" s="70"/>
      <c r="CP96" s="70"/>
      <c r="CQ96" s="70"/>
      <c r="CR96" s="70"/>
      <c r="CS96" s="70"/>
      <c r="CT96" s="70"/>
      <c r="CU96" s="70"/>
      <c r="CV96" s="70"/>
      <c r="CW96" s="70"/>
      <c r="CX96" s="70"/>
      <c r="CY96" s="70"/>
      <c r="CZ96" s="70"/>
      <c r="DA96" s="70"/>
      <c r="DB96" s="70"/>
      <c r="DC96" s="70"/>
      <c r="DD96" s="70"/>
      <c r="DE96" s="70"/>
      <c r="DF96" s="70"/>
      <c r="DG96" s="70"/>
      <c r="DH96" s="70"/>
      <c r="DI96" s="70"/>
      <c r="DJ96" s="70"/>
      <c r="DK96" s="70"/>
      <c r="DL96" s="70"/>
      <c r="DM96" s="70"/>
      <c r="DN96" s="70"/>
      <c r="DO96" s="70"/>
      <c r="DP96" s="70"/>
      <c r="DQ96" s="70"/>
      <c r="DR96" s="70"/>
      <c r="DS96" s="70"/>
      <c r="DT96" s="70"/>
      <c r="DU96" s="70"/>
      <c r="DV96" s="70"/>
    </row>
    <row r="97" spans="1:127" x14ac:dyDescent="0.3">
      <c r="A97" s="79" t="str">
        <f>'4. Design Tracking Summary'!A98</f>
        <v>LI01483</v>
      </c>
      <c r="B97" s="79" t="str">
        <f>'4. Design Tracking Summary'!B98</f>
        <v>Center</v>
      </c>
      <c r="C97" s="79" t="str">
        <f>'4. Design Tracking Summary'!C98</f>
        <v>MTY</v>
      </c>
      <c r="D97" s="79" t="str">
        <f>'4. Design Tracking Summary'!D98</f>
        <v>MINI</v>
      </c>
      <c r="E97" s="79" t="s">
        <v>57</v>
      </c>
      <c r="F97" s="79"/>
      <c r="G97" s="60" t="str">
        <f>IFERROR(INDEX(Table_SiteMilestonesNames[SiteMilestoneName],COUNTA(Table_SiteMilestoneTracking[[#This Row],[SiteDesignStarted_AC]],Table_SiteMilestoneTracking[[#This Row],[SiteDesignReady_AC]],Table_SiteMilestoneTracking[[#This Row],[SiteSurveyCompleted_AC]],Table_SiteMilestoneTracking[[#This Row],[SiteAcquired_AC]],Table_SiteMilestoneTracking[[#This Row],[SiteReadyForCW_AC]],Table_SiteMilestoneTracking[[#This Row],[SiteReadyForPower_AC]],Table_SiteMilestoneTracking[[#This Row],[TXReady_AC]],Table_SiteMilestoneTracking[[#This Row],[SiteReadyForInstallation_AC]],Table_SiteMilestoneTracking[[#This Row],[SiteReadyForIntegration_AC]],Table_SiteMilestoneTracking[[#This Row],[SiteOnAir_AC]],Table_SiteMilestoneTracking[[#This Row],[SiteAccepted_AC]],Table_SiteMilestoneTracking[[#This Row],[SiteInOperations_AC]])+1),"Invalid Milestone")</f>
        <v>SiteDesignStarted</v>
      </c>
      <c r="H97" s="61">
        <f>Table_SiteMilestoneTracking[[#This Row],[c0_SiteDesignCostBL]]+Table_SiteMilestoneTracking[[#This Row],[c1_SiteSurveyCostBL]]+Table_SiteMilestoneTracking[[#This Row],[c2_SiteAcquisitionCostBL]]+Table_SiteMilestoneTracking[[#This Row],[c3_CivilWorksCostBL]]+Table_SiteMilestoneTracking[[#This Row],[c4_PowerInstallCostBL]]+Table_SiteMilestoneTracking[[#This Row],[c5_TxintegrationCostBL]]+Table_SiteMilestoneTracking[[#This Row],[c6_InstallationCostBL]]+Table_SiteMilestoneTracking[[#This Row],[c7_IntegrationCostBL]]+Table_SiteMilestoneTracking[[#This Row],[c8_AcceptanceCostBL]]+Table_SiteMilestoneTracking[[#This Row],[c9_HandoverCostBL]]</f>
        <v>7550</v>
      </c>
      <c r="I97" s="62">
        <f>Table_SiteMilestoneTracking[[#This Row],[c0_SiteDesignCostAC]]+Table_SiteMilestoneTracking[[#This Row],[c1_SiteSurveyCostAC]]+Table_SiteMilestoneTracking[[#This Row],[c2_SiteAcquisitionCostAC]]+Table_SiteMilestoneTracking[[#This Row],[c3_CivilWorksCostAC]]+Table_SiteMilestoneTracking[[#This Row],[c4_PowerInstallCostAC]]+Table_SiteMilestoneTracking[[#This Row],[c5_TxintegrationCostAC]]+Table_SiteMilestoneTracking[[#This Row],[c6_InstallationCostAC]]+Table_SiteMilestoneTracking[[#This Row],[c7_IntegrationCostAC]]+Table_SiteMilestoneTracking[[#This Row],[c8_AcceptanceCostAC]]+Table_SiteMilestoneTracking[[#This Row],[c9_HandoverCostAC]]</f>
        <v>0</v>
      </c>
      <c r="J97" s="84">
        <v>44025</v>
      </c>
      <c r="K97" s="84">
        <v>44026</v>
      </c>
      <c r="L97" s="64">
        <f>IF(ISBLANK(Table_SiteMilestoneTracking[[#This Row],[SiteDesignStarted_AC]])=FALSE,Table_SiteMilestoneTracking[[#This Row],[SiteDesignStarted_AC]]-Table_SiteMilestoneTracking[[#This Row],[SiteDesignStarted_BL]],"")</f>
        <v>1</v>
      </c>
      <c r="M97" s="64">
        <f t="shared" si="11"/>
        <v>500</v>
      </c>
      <c r="N97" s="87"/>
      <c r="O97" s="63">
        <f>Table_SiteMilestoneTracking[[#This Row],[SiteDesignStarted_BL]]+t0_SiteDesignDelayBL</f>
        <v>44027</v>
      </c>
      <c r="P97" s="84"/>
      <c r="Q97" s="64" t="str">
        <f>IF(ISBLANK(Table_SiteMilestoneTracking[[#This Row],[SiteDesignReady_AC]])=FALSE,Table_SiteMilestoneTracking[[#This Row],[SiteDesignReady_AC]]-Table_SiteMilestoneTracking[[#This Row],[SiteDesignReady_BL]],"-")</f>
        <v>-</v>
      </c>
      <c r="R97" s="64">
        <f t="shared" si="16"/>
        <v>500</v>
      </c>
      <c r="S97" s="82"/>
      <c r="T97" s="63">
        <f>Table_SiteMilestoneTracking[[#This Row],[SiteDesignReady_BL]]+t1_SiteSurveyBL</f>
        <v>44029</v>
      </c>
      <c r="U97" s="84"/>
      <c r="V97" s="64" t="str">
        <f>IF(ISBLANK(Table_SiteMilestoneTracking[[#This Row],[SiteSurveyCompleted_AC]])=FALSE,Table_SiteMilestoneTracking[[#This Row],[SiteSurveyCompleted_AC]]-Table_SiteMilestoneTracking[[#This Row],[SiteDesignReady_AC]],"-")</f>
        <v>-</v>
      </c>
      <c r="W97" s="64">
        <f t="shared" si="12"/>
        <v>600</v>
      </c>
      <c r="X97" s="82"/>
      <c r="Y97" s="63">
        <f>Table_SiteMilestoneTracking[[#This Row],[SiteSurveyCompleted_BL]]+t2_SiteAcquisitionBL</f>
        <v>44040</v>
      </c>
      <c r="Z97" s="84"/>
      <c r="AA97" s="65" t="str">
        <f>IF(ISBLANK(Table_SiteMilestoneTracking[[#This Row],[SiteAcquired_AC]])=FALSE,Table_SiteMilestoneTracking[[#This Row],[SiteAcquired_AC]]-Table_SiteMilestoneTracking[[#This Row],[SiteAcquired_BL]],"-")</f>
        <v>-</v>
      </c>
      <c r="AB97" s="65" t="str">
        <f>IF(ISBLANK(Table_SiteMilestoneTracking[[#This Row],[SiteAcquired_AC]])=FALSE,Table_SiteMilestoneTracking[[#This Row],[SiteAcquired_AC]]-Table_SiteMilestoneTracking[[#This Row],[SiteSurveyCompleted_AC]],"-")</f>
        <v>-</v>
      </c>
      <c r="AC97" s="64">
        <f t="shared" si="13"/>
        <v>150</v>
      </c>
      <c r="AD97" s="82"/>
      <c r="AE97" s="63">
        <f>Table_SiteMilestoneTracking[[#This Row],[SiteAcquired_BL]]+t2a_SiteCWReadinessBL</f>
        <v>44042</v>
      </c>
      <c r="AF97" s="84"/>
      <c r="AG97" s="66" t="str">
        <f>IF(ISBLANK(Table_SiteMilestoneTracking[[#This Row],[SiteReadyForCW_AC]])=FALSE,Table_SiteMilestoneTracking[[#This Row],[SiteReadyForCW_AC]]-Table_SiteMilestoneTracking[[#This Row],[SiteReadyForCW_BL]],"-")</f>
        <v>-</v>
      </c>
      <c r="AH97" s="66" t="str">
        <f>IF(ISBLANK(Table_SiteMilestoneTracking[[#This Row],[SiteReadyForCW_AC]])=FALSE,Table_SiteMilestoneTracking[[#This Row],[SiteReadyForCW_AC]]-Table_SiteMilestoneTracking[[#This Row],[SiteDesignReady_AC]],"-")</f>
        <v>-</v>
      </c>
      <c r="AI97" s="64">
        <f t="shared" si="14"/>
        <v>1500</v>
      </c>
      <c r="AJ97" s="82"/>
      <c r="AK97" s="63">
        <f>Table_SiteMilestoneTracking[[#This Row],[SiteReadyForCW_BL]]+t3_CivilWorksBL</f>
        <v>44050</v>
      </c>
      <c r="AL97" s="84"/>
      <c r="AM97" s="64" t="str">
        <f>IF(ISBLANK(Table_SiteMilestoneTracking[[#This Row],[SiteReadyForPower_AC]])=FALSE,Table_SiteMilestoneTracking[[#This Row],[SiteReadyForPower_AC]]-Table_SiteMilestoneTracking[[#This Row],[SiteReadyForPower_BL]],"-")</f>
        <v>-</v>
      </c>
      <c r="AN97" s="64" t="str">
        <f>IF(ISBLANK(Table_SiteMilestoneTracking[[#This Row],[SiteReadyForPower_AC]])=FALSE,Table_SiteMilestoneTracking[[#This Row],[SiteReadyForPower_AC]]-Table_SiteMilestoneTracking[[#This Row],[SiteReadyForCW_AC]],"-")</f>
        <v>-</v>
      </c>
      <c r="AO97" s="64">
        <f t="shared" si="15"/>
        <v>500</v>
      </c>
      <c r="AP97" s="82"/>
      <c r="AQ97" s="63">
        <f>Table_SiteMilestoneTracking[[#This Row],[SiteReadyForPower_BL]]+t4_PowerInstallBL</f>
        <v>44055</v>
      </c>
      <c r="AR97" s="84"/>
      <c r="AS97" s="64" t="str">
        <f>IF(ISBLANK(Table_SiteMilestoneTracking[[#This Row],[TXReady_AC]])=FALSE,Table_SiteMilestoneTracking[[#This Row],[TXReady_AC]]-Table_SiteMilestoneTracking[[#This Row],[TXReady_BL]],"-")</f>
        <v>-</v>
      </c>
      <c r="AT97" s="64" t="str">
        <f>IF(ISBLANK(Table_SiteMilestoneTracking[[#This Row],[TXReady_AC]])=FALSE,Table_SiteMilestoneTracking[[#This Row],[TXReady_AC]]-Table_SiteMilestoneTracking[[#This Row],[SiteReadyForPower_AC]],"-")</f>
        <v>-</v>
      </c>
      <c r="AU97" s="64">
        <f>$AU$2</f>
        <v>500</v>
      </c>
      <c r="AV97" s="82"/>
      <c r="AW97" s="63">
        <f>Table_SiteMilestoneTracking[[#This Row],[TXReady_BL]]+t5_TxintegrationBL</f>
        <v>44062</v>
      </c>
      <c r="AX97" s="84"/>
      <c r="AY97" s="64" t="str">
        <f>IF(ISBLANK(Table_SiteMilestoneTracking[[#This Row],[SiteReadyForInstallation_AC]])=FALSE,Table_SiteMilestoneTracking[[#This Row],[SiteReadyForInstallation_AC]]-Table_SiteMilestoneTracking[[#This Row],[SiteReadyForInstallation_BL]],"-")</f>
        <v>-</v>
      </c>
      <c r="AZ97" s="64" t="str">
        <f>IF(ISBLANK(Table_SiteMilestoneTracking[[#This Row],[SiteReadyForInstallation_AC]])=FALSE,Table_SiteMilestoneTracking[[#This Row],[SiteReadyForInstallation_AC]]-Table_SiteMilestoneTracking[[#This Row],[TXReady_AC]],"-")</f>
        <v>-</v>
      </c>
      <c r="BA97" s="64">
        <f>$BA$2</f>
        <v>2500</v>
      </c>
      <c r="BB97" s="82"/>
      <c r="BC97" s="63">
        <f>Table_SiteMilestoneTracking[[#This Row],[SiteReadyForInstallation_BL]]+t6_InstallationBL</f>
        <v>44066</v>
      </c>
      <c r="BD97" s="84"/>
      <c r="BE97" s="64" t="str">
        <f>IF(ISBLANK(Table_SiteMilestoneTracking[[#This Row],[SiteReadyForIntegration_AC]])=FALSE,Table_SiteMilestoneTracking[[#This Row],[SiteReadyForIntegration_AC]]-Table_SiteMilestoneTracking[[#This Row],[SiteReadyForIntegration_BL]],"-")</f>
        <v>-</v>
      </c>
      <c r="BF97" s="64" t="str">
        <f>IF(ISBLANK(Table_SiteMilestoneTracking[[#This Row],[SiteReadyForIntegration_AC]])=FALSE,Table_SiteMilestoneTracking[[#This Row],[SiteReadyForIntegration_AC]]-Table_SiteMilestoneTracking[[#This Row],[SiteReadyForInstallation_AC]],"-")</f>
        <v>-</v>
      </c>
      <c r="BG97" s="64">
        <f>$BG$2</f>
        <v>500</v>
      </c>
      <c r="BH97" s="82"/>
      <c r="BI97" s="63">
        <f>Table_SiteMilestoneTracking[[#This Row],[SiteReadyForIntegration_BL]]+t7_IntegrationBL</f>
        <v>44070</v>
      </c>
      <c r="BJ97" s="84"/>
      <c r="BK97" s="64" t="str">
        <f>IF(ISBLANK(Table_SiteMilestoneTracking[[#This Row],[SiteOnAir_AC]])=FALSE,Table_SiteMilestoneTracking[[#This Row],[SiteOnAir_AC]]-Table_SiteMilestoneTracking[[#This Row],[SiteOnAir_BL]],"-")</f>
        <v>-</v>
      </c>
      <c r="BL97" s="64" t="str">
        <f>IF(ISBLANK(Table_SiteMilestoneTracking[[#This Row],[SiteOnAir_AC]])=FALSE,Table_SiteMilestoneTracking[[#This Row],[SiteOnAir_AC]]-Table_SiteMilestoneTracking[[#This Row],[SiteReadyForIntegration_AC]],"-")</f>
        <v>-</v>
      </c>
      <c r="BM97" s="64">
        <f>$BM$2</f>
        <v>250</v>
      </c>
      <c r="BN97" s="82"/>
      <c r="BO97" s="63">
        <f>Table_SiteMilestoneTracking[[#This Row],[SiteOnAir_BL]]+t8_AcceptanceBL</f>
        <v>44074</v>
      </c>
      <c r="BP97" s="84"/>
      <c r="BQ97" s="64" t="str">
        <f>IF(ISBLANK(Table_SiteMilestoneTracking[[#This Row],[SiteAccepted_AC]])=FALSE,Table_SiteMilestoneTracking[[#This Row],[SiteAccepted_AC]]-Table_SiteMilestoneTracking[[#This Row],[SiteAccepted_BL]],"-")</f>
        <v>-</v>
      </c>
      <c r="BR97" s="64" t="str">
        <f>IF(ISBLANK(Table_SiteMilestoneTracking[[#This Row],[SiteAccepted_AC]])=FALSE,Table_SiteMilestoneTracking[[#This Row],[SiteAccepted_AC]]-Table_SiteMilestoneTracking[[#This Row],[SiteOnAir_AC]],"-")</f>
        <v>-</v>
      </c>
      <c r="BS97" s="64">
        <f>$BS$2</f>
        <v>200</v>
      </c>
      <c r="BT97" s="82"/>
      <c r="BU97" s="63">
        <f>Table_SiteMilestoneTracking[[#This Row],[SiteAccepted_BL]]+t9_HandoverBL</f>
        <v>44082</v>
      </c>
      <c r="BV97" s="84"/>
      <c r="BW97" s="64" t="str">
        <f>IF(ISBLANK(Table_SiteMilestoneTracking[[#This Row],[SiteInOperations_AC]])=FALSE,Table_SiteMilestoneTracking[[#This Row],[SiteInOperations_AC]]-Table_SiteMilestoneTracking[[#This Row],[SiteInOperations_BL]],"-")</f>
        <v>-</v>
      </c>
      <c r="BX97" s="66">
        <f>Table_SiteMilestoneTracking[[#This Row],[SiteInOperations_BL]]-Table_SiteMilestoneTracking[[#This Row],[SiteDesignReady_BL]]</f>
        <v>55</v>
      </c>
      <c r="BY97" s="66" t="str">
        <f>IF(Table_SiteMilestoneTracking[[#This Row],[CurrentSiteMilestone]]="SiteInOperations",Table_SiteMilestoneTracking[[#This Row],[SiteInOperations_AC]]-Table_SiteMilestoneTracking[[#This Row],[SiteDesignReady_AC]],"")</f>
        <v/>
      </c>
      <c r="BZ97" s="66" t="str">
        <f>IFERROR(Table_SiteMilestoneTracking[[#This Row],[E2E_Site_AC]]-Table_SiteMilestoneTracking[[#This Row],[E2E_Site_BL]],"")</f>
        <v/>
      </c>
      <c r="CA97" s="66" t="str">
        <f>IF(Table_SiteMilestoneTracking[[#This Row],[CurrentSiteMilestone]]="SiteInOperations",Table_SiteMilestoneTracking[[#This Row],[SiteInOperations_AC]]-Table_SiteMilestoneTracking[[#This Row],[SiteAccepted_AC]],"")</f>
        <v/>
      </c>
      <c r="CB97" s="79"/>
      <c r="CC97" s="89"/>
      <c r="CD97" s="89"/>
      <c r="CE97" s="70"/>
      <c r="CF97" s="70"/>
      <c r="CG97" s="70"/>
      <c r="CH97" s="70"/>
      <c r="CI97" s="70"/>
      <c r="CJ97" s="70"/>
      <c r="CK97" s="70"/>
      <c r="CL97" s="70"/>
      <c r="CM97" s="70"/>
      <c r="CN97" s="70"/>
      <c r="CO97" s="70"/>
      <c r="CP97" s="70"/>
      <c r="CQ97" s="70"/>
      <c r="CR97" s="70"/>
      <c r="CS97" s="70"/>
      <c r="CT97" s="70"/>
      <c r="CU97" s="70"/>
      <c r="CV97" s="70"/>
      <c r="CW97" s="70"/>
      <c r="CX97" s="70"/>
      <c r="CY97" s="70"/>
      <c r="CZ97" s="70"/>
      <c r="DA97" s="70"/>
      <c r="DB97" s="70"/>
      <c r="DC97" s="70"/>
      <c r="DD97" s="70"/>
      <c r="DE97" s="70"/>
      <c r="DF97" s="70"/>
      <c r="DG97" s="70"/>
      <c r="DH97" s="70"/>
      <c r="DI97" s="70"/>
      <c r="DJ97" s="70"/>
      <c r="DK97" s="70"/>
      <c r="DL97" s="70"/>
      <c r="DM97" s="70"/>
      <c r="DN97" s="70"/>
      <c r="DO97" s="70"/>
      <c r="DP97" s="70"/>
      <c r="DQ97" s="70"/>
      <c r="DR97" s="70"/>
      <c r="DS97" s="70"/>
      <c r="DT97" s="70"/>
      <c r="DU97" s="70"/>
      <c r="DV97" s="70"/>
    </row>
    <row r="98" spans="1:127" x14ac:dyDescent="0.3">
      <c r="A98" s="79" t="str">
        <f>'4. Design Tracking Summary'!A99</f>
        <v>LI01550</v>
      </c>
      <c r="B98" s="79" t="str">
        <f>'4. Design Tracking Summary'!B99</f>
        <v>South</v>
      </c>
      <c r="C98" s="79" t="str">
        <f>'4. Design Tracking Summary'!C99</f>
        <v>ZAC</v>
      </c>
      <c r="D98" s="79" t="str">
        <f>'4. Design Tracking Summary'!D99</f>
        <v>SMALL</v>
      </c>
      <c r="E98" s="79" t="s">
        <v>58</v>
      </c>
      <c r="F98" s="79"/>
      <c r="G98" s="60" t="str">
        <f>IFERROR(INDEX(Table_SiteMilestonesNames[SiteMilestoneName],COUNTA(Table_SiteMilestoneTracking[[#This Row],[SiteDesignStarted_AC]],Table_SiteMilestoneTracking[[#This Row],[SiteDesignReady_AC]],Table_SiteMilestoneTracking[[#This Row],[SiteSurveyCompleted_AC]],Table_SiteMilestoneTracking[[#This Row],[SiteAcquired_AC]],Table_SiteMilestoneTracking[[#This Row],[SiteReadyForCW_AC]],Table_SiteMilestoneTracking[[#This Row],[SiteReadyForPower_AC]],Table_SiteMilestoneTracking[[#This Row],[TXReady_AC]],Table_SiteMilestoneTracking[[#This Row],[SiteReadyForInstallation_AC]],Table_SiteMilestoneTracking[[#This Row],[SiteReadyForIntegration_AC]],Table_SiteMilestoneTracking[[#This Row],[SiteOnAir_AC]],Table_SiteMilestoneTracking[[#This Row],[SiteAccepted_AC]],Table_SiteMilestoneTracking[[#This Row],[SiteInOperations_AC]])+1),"Invalid Milestone")</f>
        <v>SiteDesignStarted</v>
      </c>
      <c r="H98" s="61">
        <f>Table_SiteMilestoneTracking[[#This Row],[c0_SiteDesignCostBL]]+Table_SiteMilestoneTracking[[#This Row],[c1_SiteSurveyCostBL]]+Table_SiteMilestoneTracking[[#This Row],[c2_SiteAcquisitionCostBL]]+Table_SiteMilestoneTracking[[#This Row],[c3_CivilWorksCostBL]]+Table_SiteMilestoneTracking[[#This Row],[c4_PowerInstallCostBL]]+Table_SiteMilestoneTracking[[#This Row],[c5_TxintegrationCostBL]]+Table_SiteMilestoneTracking[[#This Row],[c6_InstallationCostBL]]+Table_SiteMilestoneTracking[[#This Row],[c7_IntegrationCostBL]]+Table_SiteMilestoneTracking[[#This Row],[c8_AcceptanceCostBL]]+Table_SiteMilestoneTracking[[#This Row],[c9_HandoverCostBL]]</f>
        <v>7550</v>
      </c>
      <c r="I98" s="62">
        <f>Table_SiteMilestoneTracking[[#This Row],[c0_SiteDesignCostAC]]+Table_SiteMilestoneTracking[[#This Row],[c1_SiteSurveyCostAC]]+Table_SiteMilestoneTracking[[#This Row],[c2_SiteAcquisitionCostAC]]+Table_SiteMilestoneTracking[[#This Row],[c3_CivilWorksCostAC]]+Table_SiteMilestoneTracking[[#This Row],[c4_PowerInstallCostAC]]+Table_SiteMilestoneTracking[[#This Row],[c5_TxintegrationCostAC]]+Table_SiteMilestoneTracking[[#This Row],[c6_InstallationCostAC]]+Table_SiteMilestoneTracking[[#This Row],[c7_IntegrationCostAC]]+Table_SiteMilestoneTracking[[#This Row],[c8_AcceptanceCostAC]]+Table_SiteMilestoneTracking[[#This Row],[c9_HandoverCostAC]]</f>
        <v>0</v>
      </c>
      <c r="J98" s="84">
        <v>44026</v>
      </c>
      <c r="K98" s="84">
        <v>44026</v>
      </c>
      <c r="L98" s="64">
        <f>IF(ISBLANK(Table_SiteMilestoneTracking[[#This Row],[SiteDesignStarted_AC]])=FALSE,Table_SiteMilestoneTracking[[#This Row],[SiteDesignStarted_AC]]-Table_SiteMilestoneTracking[[#This Row],[SiteDesignStarted_BL]],"")</f>
        <v>0</v>
      </c>
      <c r="M98" s="64">
        <f t="shared" si="11"/>
        <v>500</v>
      </c>
      <c r="N98" s="87"/>
      <c r="O98" s="63">
        <f>Table_SiteMilestoneTracking[[#This Row],[SiteDesignStarted_BL]]+t0_SiteDesignDelayBL</f>
        <v>44028</v>
      </c>
      <c r="P98" s="84"/>
      <c r="Q98" s="64" t="str">
        <f>IF(ISBLANK(Table_SiteMilestoneTracking[[#This Row],[SiteDesignReady_AC]])=FALSE,Table_SiteMilestoneTracking[[#This Row],[SiteDesignReady_AC]]-Table_SiteMilestoneTracking[[#This Row],[SiteDesignReady_BL]],"-")</f>
        <v>-</v>
      </c>
      <c r="R98" s="64">
        <f t="shared" si="16"/>
        <v>500</v>
      </c>
      <c r="S98" s="82"/>
      <c r="T98" s="63">
        <f>Table_SiteMilestoneTracking[[#This Row],[SiteDesignReady_BL]]+t1_SiteSurveyBL</f>
        <v>44030</v>
      </c>
      <c r="U98" s="84"/>
      <c r="V98" s="64" t="str">
        <f>IF(ISBLANK(Table_SiteMilestoneTracking[[#This Row],[SiteSurveyCompleted_AC]])=FALSE,Table_SiteMilestoneTracking[[#This Row],[SiteSurveyCompleted_AC]]-Table_SiteMilestoneTracking[[#This Row],[SiteDesignReady_AC]],"-")</f>
        <v>-</v>
      </c>
      <c r="W98" s="64">
        <f t="shared" si="12"/>
        <v>600</v>
      </c>
      <c r="X98" s="82"/>
      <c r="Y98" s="63">
        <f>Table_SiteMilestoneTracking[[#This Row],[SiteSurveyCompleted_BL]]+t2_SiteAcquisitionBL</f>
        <v>44041</v>
      </c>
      <c r="Z98" s="84"/>
      <c r="AA98" s="65" t="str">
        <f>IF(ISBLANK(Table_SiteMilestoneTracking[[#This Row],[SiteAcquired_AC]])=FALSE,Table_SiteMilestoneTracking[[#This Row],[SiteAcquired_AC]]-Table_SiteMilestoneTracking[[#This Row],[SiteAcquired_BL]],"-")</f>
        <v>-</v>
      </c>
      <c r="AB98" s="65" t="str">
        <f>IF(ISBLANK(Table_SiteMilestoneTracking[[#This Row],[SiteAcquired_AC]])=FALSE,Table_SiteMilestoneTracking[[#This Row],[SiteAcquired_AC]]-Table_SiteMilestoneTracking[[#This Row],[SiteSurveyCompleted_AC]],"-")</f>
        <v>-</v>
      </c>
      <c r="AC98" s="64">
        <f t="shared" si="13"/>
        <v>150</v>
      </c>
      <c r="AD98" s="82"/>
      <c r="AE98" s="63">
        <f>Table_SiteMilestoneTracking[[#This Row],[SiteAcquired_BL]]+t2a_SiteCWReadinessBL</f>
        <v>44043</v>
      </c>
      <c r="AF98" s="84"/>
      <c r="AG98" s="66" t="str">
        <f>IF(ISBLANK(Table_SiteMilestoneTracking[[#This Row],[SiteReadyForCW_AC]])=FALSE,Table_SiteMilestoneTracking[[#This Row],[SiteReadyForCW_AC]]-Table_SiteMilestoneTracking[[#This Row],[SiteReadyForCW_BL]],"-")</f>
        <v>-</v>
      </c>
      <c r="AH98" s="66" t="str">
        <f>IF(ISBLANK(Table_SiteMilestoneTracking[[#This Row],[SiteReadyForCW_AC]])=FALSE,Table_SiteMilestoneTracking[[#This Row],[SiteReadyForCW_AC]]-Table_SiteMilestoneTracking[[#This Row],[SiteDesignReady_AC]],"-")</f>
        <v>-</v>
      </c>
      <c r="AI98" s="64">
        <f t="shared" si="14"/>
        <v>1500</v>
      </c>
      <c r="AJ98" s="82"/>
      <c r="AK98" s="63">
        <f>Table_SiteMilestoneTracking[[#This Row],[SiteReadyForCW_BL]]+t3_CivilWorksBL</f>
        <v>44051</v>
      </c>
      <c r="AL98" s="84"/>
      <c r="AM98" s="64" t="str">
        <f>IF(ISBLANK(Table_SiteMilestoneTracking[[#This Row],[SiteReadyForPower_AC]])=FALSE,Table_SiteMilestoneTracking[[#This Row],[SiteReadyForPower_AC]]-Table_SiteMilestoneTracking[[#This Row],[SiteReadyForPower_BL]],"-")</f>
        <v>-</v>
      </c>
      <c r="AN98" s="64" t="str">
        <f>IF(ISBLANK(Table_SiteMilestoneTracking[[#This Row],[SiteReadyForPower_AC]])=FALSE,Table_SiteMilestoneTracking[[#This Row],[SiteReadyForPower_AC]]-Table_SiteMilestoneTracking[[#This Row],[SiteReadyForCW_AC]],"-")</f>
        <v>-</v>
      </c>
      <c r="AO98" s="64">
        <f t="shared" si="15"/>
        <v>500</v>
      </c>
      <c r="AP98" s="82"/>
      <c r="AQ98" s="63">
        <f>Table_SiteMilestoneTracking[[#This Row],[SiteReadyForPower_BL]]+t4_PowerInstallBL</f>
        <v>44056</v>
      </c>
      <c r="AR98" s="84"/>
      <c r="AS98" s="64" t="str">
        <f>IF(ISBLANK(Table_SiteMilestoneTracking[[#This Row],[TXReady_AC]])=FALSE,Table_SiteMilestoneTracking[[#This Row],[TXReady_AC]]-Table_SiteMilestoneTracking[[#This Row],[TXReady_BL]],"-")</f>
        <v>-</v>
      </c>
      <c r="AT98" s="64" t="str">
        <f>IF(ISBLANK(Table_SiteMilestoneTracking[[#This Row],[TXReady_AC]])=FALSE,Table_SiteMilestoneTracking[[#This Row],[TXReady_AC]]-Table_SiteMilestoneTracking[[#This Row],[SiteReadyForPower_AC]],"-")</f>
        <v>-</v>
      </c>
      <c r="AU98" s="64">
        <f>$AU$2</f>
        <v>500</v>
      </c>
      <c r="AV98" s="82"/>
      <c r="AW98" s="63">
        <f>Table_SiteMilestoneTracking[[#This Row],[TXReady_BL]]+t5_TxintegrationBL</f>
        <v>44063</v>
      </c>
      <c r="AX98" s="84"/>
      <c r="AY98" s="64" t="str">
        <f>IF(ISBLANK(Table_SiteMilestoneTracking[[#This Row],[SiteReadyForInstallation_AC]])=FALSE,Table_SiteMilestoneTracking[[#This Row],[SiteReadyForInstallation_AC]]-Table_SiteMilestoneTracking[[#This Row],[SiteReadyForInstallation_BL]],"-")</f>
        <v>-</v>
      </c>
      <c r="AZ98" s="64" t="str">
        <f>IF(ISBLANK(Table_SiteMilestoneTracking[[#This Row],[SiteReadyForInstallation_AC]])=FALSE,Table_SiteMilestoneTracking[[#This Row],[SiteReadyForInstallation_AC]]-Table_SiteMilestoneTracking[[#This Row],[TXReady_AC]],"-")</f>
        <v>-</v>
      </c>
      <c r="BA98" s="64">
        <f>$BA$2</f>
        <v>2500</v>
      </c>
      <c r="BB98" s="82"/>
      <c r="BC98" s="63">
        <f>Table_SiteMilestoneTracking[[#This Row],[SiteReadyForInstallation_BL]]+t6_InstallationBL</f>
        <v>44067</v>
      </c>
      <c r="BD98" s="84"/>
      <c r="BE98" s="64" t="str">
        <f>IF(ISBLANK(Table_SiteMilestoneTracking[[#This Row],[SiteReadyForIntegration_AC]])=FALSE,Table_SiteMilestoneTracking[[#This Row],[SiteReadyForIntegration_AC]]-Table_SiteMilestoneTracking[[#This Row],[SiteReadyForIntegration_BL]],"-")</f>
        <v>-</v>
      </c>
      <c r="BF98" s="64" t="str">
        <f>IF(ISBLANK(Table_SiteMilestoneTracking[[#This Row],[SiteReadyForIntegration_AC]])=FALSE,Table_SiteMilestoneTracking[[#This Row],[SiteReadyForIntegration_AC]]-Table_SiteMilestoneTracking[[#This Row],[SiteReadyForInstallation_AC]],"-")</f>
        <v>-</v>
      </c>
      <c r="BG98" s="64">
        <f>$BG$2</f>
        <v>500</v>
      </c>
      <c r="BH98" s="82"/>
      <c r="BI98" s="63">
        <f>Table_SiteMilestoneTracking[[#This Row],[SiteReadyForIntegration_BL]]+t7_IntegrationBL</f>
        <v>44071</v>
      </c>
      <c r="BJ98" s="84"/>
      <c r="BK98" s="64" t="str">
        <f>IF(ISBLANK(Table_SiteMilestoneTracking[[#This Row],[SiteOnAir_AC]])=FALSE,Table_SiteMilestoneTracking[[#This Row],[SiteOnAir_AC]]-Table_SiteMilestoneTracking[[#This Row],[SiteOnAir_BL]],"-")</f>
        <v>-</v>
      </c>
      <c r="BL98" s="64" t="str">
        <f>IF(ISBLANK(Table_SiteMilestoneTracking[[#This Row],[SiteOnAir_AC]])=FALSE,Table_SiteMilestoneTracking[[#This Row],[SiteOnAir_AC]]-Table_SiteMilestoneTracking[[#This Row],[SiteReadyForIntegration_AC]],"-")</f>
        <v>-</v>
      </c>
      <c r="BM98" s="64">
        <f>$BM$2</f>
        <v>250</v>
      </c>
      <c r="BN98" s="82"/>
      <c r="BO98" s="63">
        <f>Table_SiteMilestoneTracking[[#This Row],[SiteOnAir_BL]]+t8_AcceptanceBL</f>
        <v>44075</v>
      </c>
      <c r="BP98" s="84"/>
      <c r="BQ98" s="64" t="str">
        <f>IF(ISBLANK(Table_SiteMilestoneTracking[[#This Row],[SiteAccepted_AC]])=FALSE,Table_SiteMilestoneTracking[[#This Row],[SiteAccepted_AC]]-Table_SiteMilestoneTracking[[#This Row],[SiteAccepted_BL]],"-")</f>
        <v>-</v>
      </c>
      <c r="BR98" s="64" t="str">
        <f>IF(ISBLANK(Table_SiteMilestoneTracking[[#This Row],[SiteAccepted_AC]])=FALSE,Table_SiteMilestoneTracking[[#This Row],[SiteAccepted_AC]]-Table_SiteMilestoneTracking[[#This Row],[SiteOnAir_AC]],"-")</f>
        <v>-</v>
      </c>
      <c r="BS98" s="64">
        <f>$BS$2</f>
        <v>200</v>
      </c>
      <c r="BT98" s="82"/>
      <c r="BU98" s="63">
        <f>Table_SiteMilestoneTracking[[#This Row],[SiteAccepted_BL]]+t9_HandoverBL</f>
        <v>44083</v>
      </c>
      <c r="BV98" s="84"/>
      <c r="BW98" s="64" t="str">
        <f>IF(ISBLANK(Table_SiteMilestoneTracking[[#This Row],[SiteInOperations_AC]])=FALSE,Table_SiteMilestoneTracking[[#This Row],[SiteInOperations_AC]]-Table_SiteMilestoneTracking[[#This Row],[SiteInOperations_BL]],"-")</f>
        <v>-</v>
      </c>
      <c r="BX98" s="66">
        <f>Table_SiteMilestoneTracking[[#This Row],[SiteInOperations_BL]]-Table_SiteMilestoneTracking[[#This Row],[SiteDesignReady_BL]]</f>
        <v>55</v>
      </c>
      <c r="BY98" s="66" t="str">
        <f>IF(Table_SiteMilestoneTracking[[#This Row],[CurrentSiteMilestone]]="SiteInOperations",Table_SiteMilestoneTracking[[#This Row],[SiteInOperations_AC]]-Table_SiteMilestoneTracking[[#This Row],[SiteDesignReady_AC]],"")</f>
        <v/>
      </c>
      <c r="BZ98" s="66" t="str">
        <f>IFERROR(Table_SiteMilestoneTracking[[#This Row],[E2E_Site_AC]]-Table_SiteMilestoneTracking[[#This Row],[E2E_Site_BL]],"")</f>
        <v/>
      </c>
      <c r="CA98" s="66" t="str">
        <f>IF(Table_SiteMilestoneTracking[[#This Row],[CurrentSiteMilestone]]="SiteInOperations",Table_SiteMilestoneTracking[[#This Row],[SiteInOperations_AC]]-Table_SiteMilestoneTracking[[#This Row],[SiteAccepted_AC]],"")</f>
        <v/>
      </c>
      <c r="CB98" s="79"/>
      <c r="CC98" s="89"/>
      <c r="CD98" s="89"/>
      <c r="CE98" s="70"/>
      <c r="CF98" s="70"/>
      <c r="CG98" s="70"/>
      <c r="CH98" s="70"/>
      <c r="CI98" s="70"/>
      <c r="CJ98" s="70"/>
      <c r="CK98" s="70"/>
      <c r="CL98" s="70"/>
      <c r="CM98" s="70"/>
      <c r="CN98" s="70"/>
      <c r="CO98" s="70"/>
      <c r="CP98" s="70"/>
      <c r="CQ98" s="70"/>
      <c r="CR98" s="70"/>
      <c r="CS98" s="70"/>
      <c r="CT98" s="70"/>
      <c r="CU98" s="70"/>
      <c r="CV98" s="70"/>
      <c r="CW98" s="70"/>
      <c r="CX98" s="70"/>
      <c r="CY98" s="70"/>
      <c r="CZ98" s="70"/>
      <c r="DA98" s="70"/>
      <c r="DB98" s="70"/>
      <c r="DC98" s="70"/>
      <c r="DD98" s="70"/>
      <c r="DE98" s="70"/>
      <c r="DF98" s="70"/>
      <c r="DG98" s="70"/>
      <c r="DH98" s="70"/>
      <c r="DI98" s="70"/>
      <c r="DJ98" s="70"/>
      <c r="DK98" s="70"/>
      <c r="DL98" s="70"/>
      <c r="DM98" s="70"/>
      <c r="DN98" s="70"/>
      <c r="DO98" s="70"/>
      <c r="DP98" s="70"/>
      <c r="DQ98" s="70"/>
      <c r="DR98" s="70"/>
      <c r="DS98" s="70"/>
      <c r="DT98" s="70"/>
      <c r="DU98" s="70"/>
      <c r="DV98" s="70"/>
    </row>
    <row r="99" spans="1:127" x14ac:dyDescent="0.3">
      <c r="A99" s="79" t="str">
        <f>'4. Design Tracking Summary'!A100</f>
        <v>PI00220</v>
      </c>
      <c r="B99" s="79" t="str">
        <f>'4. Design Tracking Summary'!B100</f>
        <v>South</v>
      </c>
      <c r="C99" s="79" t="str">
        <f>'4. Design Tracking Summary'!C100</f>
        <v>GTO</v>
      </c>
      <c r="D99" s="79" t="str">
        <f>'4. Design Tracking Summary'!D100</f>
        <v>MACRO</v>
      </c>
      <c r="E99" s="79" t="s">
        <v>58</v>
      </c>
      <c r="F99" s="79"/>
      <c r="G99" s="60" t="str">
        <f>IFERROR(INDEX(Table_SiteMilestonesNames[SiteMilestoneName],COUNTA(Table_SiteMilestoneTracking[[#This Row],[SiteDesignStarted_AC]],Table_SiteMilestoneTracking[[#This Row],[SiteDesignReady_AC]],Table_SiteMilestoneTracking[[#This Row],[SiteSurveyCompleted_AC]],Table_SiteMilestoneTracking[[#This Row],[SiteAcquired_AC]],Table_SiteMilestoneTracking[[#This Row],[SiteReadyForCW_AC]],Table_SiteMilestoneTracking[[#This Row],[SiteReadyForPower_AC]],Table_SiteMilestoneTracking[[#This Row],[TXReady_AC]],Table_SiteMilestoneTracking[[#This Row],[SiteReadyForInstallation_AC]],Table_SiteMilestoneTracking[[#This Row],[SiteReadyForIntegration_AC]],Table_SiteMilestoneTracking[[#This Row],[SiteOnAir_AC]],Table_SiteMilestoneTracking[[#This Row],[SiteAccepted_AC]],Table_SiteMilestoneTracking[[#This Row],[SiteInOperations_AC]])+1),"Invalid Milestone")</f>
        <v>SiteDesignStarted</v>
      </c>
      <c r="H99" s="61">
        <f>Table_SiteMilestoneTracking[[#This Row],[c0_SiteDesignCostBL]]+Table_SiteMilestoneTracking[[#This Row],[c1_SiteSurveyCostBL]]+Table_SiteMilestoneTracking[[#This Row],[c2_SiteAcquisitionCostBL]]+Table_SiteMilestoneTracking[[#This Row],[c3_CivilWorksCostBL]]+Table_SiteMilestoneTracking[[#This Row],[c4_PowerInstallCostBL]]+Table_SiteMilestoneTracking[[#This Row],[c5_TxintegrationCostBL]]+Table_SiteMilestoneTracking[[#This Row],[c6_InstallationCostBL]]+Table_SiteMilestoneTracking[[#This Row],[c7_IntegrationCostBL]]+Table_SiteMilestoneTracking[[#This Row],[c8_AcceptanceCostBL]]+Table_SiteMilestoneTracking[[#This Row],[c9_HandoverCostBL]]</f>
        <v>7550</v>
      </c>
      <c r="I99" s="62">
        <f>Table_SiteMilestoneTracking[[#This Row],[c0_SiteDesignCostAC]]+Table_SiteMilestoneTracking[[#This Row],[c1_SiteSurveyCostAC]]+Table_SiteMilestoneTracking[[#This Row],[c2_SiteAcquisitionCostAC]]+Table_SiteMilestoneTracking[[#This Row],[c3_CivilWorksCostAC]]+Table_SiteMilestoneTracking[[#This Row],[c4_PowerInstallCostAC]]+Table_SiteMilestoneTracking[[#This Row],[c5_TxintegrationCostAC]]+Table_SiteMilestoneTracking[[#This Row],[c6_InstallationCostAC]]+Table_SiteMilestoneTracking[[#This Row],[c7_IntegrationCostAC]]+Table_SiteMilestoneTracking[[#This Row],[c8_AcceptanceCostAC]]+Table_SiteMilestoneTracking[[#This Row],[c9_HandoverCostAC]]</f>
        <v>0</v>
      </c>
      <c r="J99" s="84">
        <v>44025</v>
      </c>
      <c r="K99" s="84">
        <v>44025</v>
      </c>
      <c r="L99" s="64">
        <f>IF(ISBLANK(Table_SiteMilestoneTracking[[#This Row],[SiteDesignStarted_AC]])=FALSE,Table_SiteMilestoneTracking[[#This Row],[SiteDesignStarted_AC]]-Table_SiteMilestoneTracking[[#This Row],[SiteDesignStarted_BL]],"")</f>
        <v>0</v>
      </c>
      <c r="M99" s="64">
        <f t="shared" si="11"/>
        <v>500</v>
      </c>
      <c r="N99" s="87"/>
      <c r="O99" s="63">
        <f>Table_SiteMilestoneTracking[[#This Row],[SiteDesignStarted_BL]]+t0_SiteDesignDelayBL</f>
        <v>44027</v>
      </c>
      <c r="P99" s="84"/>
      <c r="Q99" s="64" t="str">
        <f>IF(ISBLANK(Table_SiteMilestoneTracking[[#This Row],[SiteDesignReady_AC]])=FALSE,Table_SiteMilestoneTracking[[#This Row],[SiteDesignReady_AC]]-Table_SiteMilestoneTracking[[#This Row],[SiteDesignReady_BL]],"-")</f>
        <v>-</v>
      </c>
      <c r="R99" s="64">
        <f t="shared" si="16"/>
        <v>500</v>
      </c>
      <c r="S99" s="82"/>
      <c r="T99" s="63">
        <f>Table_SiteMilestoneTracking[[#This Row],[SiteDesignReady_BL]]+t1_SiteSurveyBL</f>
        <v>44029</v>
      </c>
      <c r="U99" s="84"/>
      <c r="V99" s="64" t="str">
        <f>IF(ISBLANK(Table_SiteMilestoneTracking[[#This Row],[SiteSurveyCompleted_AC]])=FALSE,Table_SiteMilestoneTracking[[#This Row],[SiteSurveyCompleted_AC]]-Table_SiteMilestoneTracking[[#This Row],[SiteDesignReady_AC]],"-")</f>
        <v>-</v>
      </c>
      <c r="W99" s="64">
        <f t="shared" si="12"/>
        <v>600</v>
      </c>
      <c r="X99" s="82"/>
      <c r="Y99" s="63">
        <f>Table_SiteMilestoneTracking[[#This Row],[SiteSurveyCompleted_BL]]+t2_SiteAcquisitionBL</f>
        <v>44040</v>
      </c>
      <c r="Z99" s="84"/>
      <c r="AA99" s="65" t="str">
        <f>IF(ISBLANK(Table_SiteMilestoneTracking[[#This Row],[SiteAcquired_AC]])=FALSE,Table_SiteMilestoneTracking[[#This Row],[SiteAcquired_AC]]-Table_SiteMilestoneTracking[[#This Row],[SiteAcquired_BL]],"-")</f>
        <v>-</v>
      </c>
      <c r="AB99" s="65" t="str">
        <f>IF(ISBLANK(Table_SiteMilestoneTracking[[#This Row],[SiteAcquired_AC]])=FALSE,Table_SiteMilestoneTracking[[#This Row],[SiteAcquired_AC]]-Table_SiteMilestoneTracking[[#This Row],[SiteSurveyCompleted_AC]],"-")</f>
        <v>-</v>
      </c>
      <c r="AC99" s="64">
        <f t="shared" si="13"/>
        <v>150</v>
      </c>
      <c r="AD99" s="82"/>
      <c r="AE99" s="63">
        <f>Table_SiteMilestoneTracking[[#This Row],[SiteAcquired_BL]]+t2a_SiteCWReadinessBL</f>
        <v>44042</v>
      </c>
      <c r="AF99" s="84"/>
      <c r="AG99" s="66" t="str">
        <f>IF(ISBLANK(Table_SiteMilestoneTracking[[#This Row],[SiteReadyForCW_AC]])=FALSE,Table_SiteMilestoneTracking[[#This Row],[SiteReadyForCW_AC]]-Table_SiteMilestoneTracking[[#This Row],[SiteReadyForCW_BL]],"-")</f>
        <v>-</v>
      </c>
      <c r="AH99" s="66" t="str">
        <f>IF(ISBLANK(Table_SiteMilestoneTracking[[#This Row],[SiteReadyForCW_AC]])=FALSE,Table_SiteMilestoneTracking[[#This Row],[SiteReadyForCW_AC]]-Table_SiteMilestoneTracking[[#This Row],[SiteDesignReady_AC]],"-")</f>
        <v>-</v>
      </c>
      <c r="AI99" s="64">
        <f t="shared" si="14"/>
        <v>1500</v>
      </c>
      <c r="AJ99" s="82"/>
      <c r="AK99" s="63">
        <f>Table_SiteMilestoneTracking[[#This Row],[SiteReadyForCW_BL]]+t3_CivilWorksBL</f>
        <v>44050</v>
      </c>
      <c r="AL99" s="84"/>
      <c r="AM99" s="64" t="str">
        <f>IF(ISBLANK(Table_SiteMilestoneTracking[[#This Row],[SiteReadyForPower_AC]])=FALSE,Table_SiteMilestoneTracking[[#This Row],[SiteReadyForPower_AC]]-Table_SiteMilestoneTracking[[#This Row],[SiteReadyForPower_BL]],"-")</f>
        <v>-</v>
      </c>
      <c r="AN99" s="64" t="str">
        <f>IF(ISBLANK(Table_SiteMilestoneTracking[[#This Row],[SiteReadyForPower_AC]])=FALSE,Table_SiteMilestoneTracking[[#This Row],[SiteReadyForPower_AC]]-Table_SiteMilestoneTracking[[#This Row],[SiteReadyForCW_AC]],"-")</f>
        <v>-</v>
      </c>
      <c r="AO99" s="64">
        <f t="shared" si="15"/>
        <v>500</v>
      </c>
      <c r="AP99" s="82"/>
      <c r="AQ99" s="63">
        <f>Table_SiteMilestoneTracking[[#This Row],[SiteReadyForPower_BL]]+t4_PowerInstallBL</f>
        <v>44055</v>
      </c>
      <c r="AR99" s="84"/>
      <c r="AS99" s="64" t="str">
        <f>IF(ISBLANK(Table_SiteMilestoneTracking[[#This Row],[TXReady_AC]])=FALSE,Table_SiteMilestoneTracking[[#This Row],[TXReady_AC]]-Table_SiteMilestoneTracking[[#This Row],[TXReady_BL]],"-")</f>
        <v>-</v>
      </c>
      <c r="AT99" s="64" t="str">
        <f>IF(ISBLANK(Table_SiteMilestoneTracking[[#This Row],[TXReady_AC]])=FALSE,Table_SiteMilestoneTracking[[#This Row],[TXReady_AC]]-Table_SiteMilestoneTracking[[#This Row],[SiteReadyForPower_AC]],"-")</f>
        <v>-</v>
      </c>
      <c r="AU99" s="64">
        <f>$AU$2</f>
        <v>500</v>
      </c>
      <c r="AV99" s="82"/>
      <c r="AW99" s="63">
        <f>Table_SiteMilestoneTracking[[#This Row],[TXReady_BL]]+t5_TxintegrationBL</f>
        <v>44062</v>
      </c>
      <c r="AX99" s="84"/>
      <c r="AY99" s="64" t="str">
        <f>IF(ISBLANK(Table_SiteMilestoneTracking[[#This Row],[SiteReadyForInstallation_AC]])=FALSE,Table_SiteMilestoneTracking[[#This Row],[SiteReadyForInstallation_AC]]-Table_SiteMilestoneTracking[[#This Row],[SiteReadyForInstallation_BL]],"-")</f>
        <v>-</v>
      </c>
      <c r="AZ99" s="64" t="str">
        <f>IF(ISBLANK(Table_SiteMilestoneTracking[[#This Row],[SiteReadyForInstallation_AC]])=FALSE,Table_SiteMilestoneTracking[[#This Row],[SiteReadyForInstallation_AC]]-Table_SiteMilestoneTracking[[#This Row],[TXReady_AC]],"-")</f>
        <v>-</v>
      </c>
      <c r="BA99" s="64">
        <f>$BA$2</f>
        <v>2500</v>
      </c>
      <c r="BB99" s="82"/>
      <c r="BC99" s="63">
        <f>Table_SiteMilestoneTracking[[#This Row],[SiteReadyForInstallation_BL]]+t6_InstallationBL</f>
        <v>44066</v>
      </c>
      <c r="BD99" s="84"/>
      <c r="BE99" s="64" t="str">
        <f>IF(ISBLANK(Table_SiteMilestoneTracking[[#This Row],[SiteReadyForIntegration_AC]])=FALSE,Table_SiteMilestoneTracking[[#This Row],[SiteReadyForIntegration_AC]]-Table_SiteMilestoneTracking[[#This Row],[SiteReadyForIntegration_BL]],"-")</f>
        <v>-</v>
      </c>
      <c r="BF99" s="64" t="str">
        <f>IF(ISBLANK(Table_SiteMilestoneTracking[[#This Row],[SiteReadyForIntegration_AC]])=FALSE,Table_SiteMilestoneTracking[[#This Row],[SiteReadyForIntegration_AC]]-Table_SiteMilestoneTracking[[#This Row],[SiteReadyForInstallation_AC]],"-")</f>
        <v>-</v>
      </c>
      <c r="BG99" s="64">
        <f>$BG$2</f>
        <v>500</v>
      </c>
      <c r="BH99" s="82"/>
      <c r="BI99" s="63">
        <f>Table_SiteMilestoneTracking[[#This Row],[SiteReadyForIntegration_BL]]+t7_IntegrationBL</f>
        <v>44070</v>
      </c>
      <c r="BJ99" s="84"/>
      <c r="BK99" s="64" t="str">
        <f>IF(ISBLANK(Table_SiteMilestoneTracking[[#This Row],[SiteOnAir_AC]])=FALSE,Table_SiteMilestoneTracking[[#This Row],[SiteOnAir_AC]]-Table_SiteMilestoneTracking[[#This Row],[SiteOnAir_BL]],"-")</f>
        <v>-</v>
      </c>
      <c r="BL99" s="64" t="str">
        <f>IF(ISBLANK(Table_SiteMilestoneTracking[[#This Row],[SiteOnAir_AC]])=FALSE,Table_SiteMilestoneTracking[[#This Row],[SiteOnAir_AC]]-Table_SiteMilestoneTracking[[#This Row],[SiteReadyForIntegration_AC]],"-")</f>
        <v>-</v>
      </c>
      <c r="BM99" s="64">
        <f>$BM$2</f>
        <v>250</v>
      </c>
      <c r="BN99" s="82"/>
      <c r="BO99" s="63">
        <f>Table_SiteMilestoneTracking[[#This Row],[SiteOnAir_BL]]+t8_AcceptanceBL</f>
        <v>44074</v>
      </c>
      <c r="BP99" s="84"/>
      <c r="BQ99" s="64" t="str">
        <f>IF(ISBLANK(Table_SiteMilestoneTracking[[#This Row],[SiteAccepted_AC]])=FALSE,Table_SiteMilestoneTracking[[#This Row],[SiteAccepted_AC]]-Table_SiteMilestoneTracking[[#This Row],[SiteAccepted_BL]],"-")</f>
        <v>-</v>
      </c>
      <c r="BR99" s="64" t="str">
        <f>IF(ISBLANK(Table_SiteMilestoneTracking[[#This Row],[SiteAccepted_AC]])=FALSE,Table_SiteMilestoneTracking[[#This Row],[SiteAccepted_AC]]-Table_SiteMilestoneTracking[[#This Row],[SiteOnAir_AC]],"-")</f>
        <v>-</v>
      </c>
      <c r="BS99" s="64">
        <f>$BS$2</f>
        <v>200</v>
      </c>
      <c r="BT99" s="82"/>
      <c r="BU99" s="63">
        <f>Table_SiteMilestoneTracking[[#This Row],[SiteAccepted_BL]]+t9_HandoverBL</f>
        <v>44082</v>
      </c>
      <c r="BV99" s="84"/>
      <c r="BW99" s="64" t="str">
        <f>IF(ISBLANK(Table_SiteMilestoneTracking[[#This Row],[SiteInOperations_AC]])=FALSE,Table_SiteMilestoneTracking[[#This Row],[SiteInOperations_AC]]-Table_SiteMilestoneTracking[[#This Row],[SiteInOperations_BL]],"-")</f>
        <v>-</v>
      </c>
      <c r="BX99" s="66">
        <f>Table_SiteMilestoneTracking[[#This Row],[SiteInOperations_BL]]-Table_SiteMilestoneTracking[[#This Row],[SiteDesignReady_BL]]</f>
        <v>55</v>
      </c>
      <c r="BY99" s="66" t="str">
        <f>IF(Table_SiteMilestoneTracking[[#This Row],[CurrentSiteMilestone]]="SiteInOperations",Table_SiteMilestoneTracking[[#This Row],[SiteInOperations_AC]]-Table_SiteMilestoneTracking[[#This Row],[SiteDesignReady_AC]],"")</f>
        <v/>
      </c>
      <c r="BZ99" s="66" t="str">
        <f>IFERROR(Table_SiteMilestoneTracking[[#This Row],[E2E_Site_AC]]-Table_SiteMilestoneTracking[[#This Row],[E2E_Site_BL]],"")</f>
        <v/>
      </c>
      <c r="CA99" s="66" t="str">
        <f>IF(Table_SiteMilestoneTracking[[#This Row],[CurrentSiteMilestone]]="SiteInOperations",Table_SiteMilestoneTracking[[#This Row],[SiteInOperations_AC]]-Table_SiteMilestoneTracking[[#This Row],[SiteAccepted_AC]],"")</f>
        <v/>
      </c>
      <c r="CB99" s="79"/>
      <c r="CC99" s="89"/>
      <c r="CD99" s="89"/>
      <c r="CE99" s="70"/>
      <c r="CF99" s="70"/>
      <c r="CG99" s="70"/>
      <c r="CH99" s="70"/>
      <c r="CI99" s="70"/>
      <c r="CJ99" s="70"/>
      <c r="CK99" s="70"/>
      <c r="CL99" s="70"/>
      <c r="CM99" s="70"/>
      <c r="CN99" s="70"/>
      <c r="CO99" s="70"/>
      <c r="CP99" s="70"/>
      <c r="CQ99" s="70"/>
      <c r="CR99" s="70"/>
      <c r="CS99" s="70"/>
      <c r="CT99" s="70"/>
      <c r="CU99" s="70"/>
      <c r="CV99" s="70"/>
      <c r="CW99" s="70"/>
      <c r="CX99" s="70"/>
      <c r="CY99" s="70"/>
      <c r="CZ99" s="70"/>
      <c r="DA99" s="70"/>
      <c r="DB99" s="70"/>
      <c r="DC99" s="70"/>
      <c r="DD99" s="70"/>
      <c r="DE99" s="70"/>
      <c r="DF99" s="70"/>
      <c r="DG99" s="70"/>
      <c r="DH99" s="70"/>
      <c r="DI99" s="70"/>
      <c r="DJ99" s="70"/>
      <c r="DK99" s="70"/>
      <c r="DL99" s="70"/>
      <c r="DM99" s="70"/>
      <c r="DN99" s="70"/>
      <c r="DO99" s="70"/>
      <c r="DP99" s="70"/>
      <c r="DQ99" s="70"/>
      <c r="DR99" s="70"/>
      <c r="DS99" s="70"/>
      <c r="DT99" s="70"/>
      <c r="DU99" s="70"/>
      <c r="DV99" s="70"/>
    </row>
    <row r="100" spans="1:127" x14ac:dyDescent="0.3">
      <c r="A100" s="79" t="str">
        <f>'4. Design Tracking Summary'!A101</f>
        <v>PI00246</v>
      </c>
      <c r="B100" s="79" t="str">
        <f>'4. Design Tracking Summary'!B101</f>
        <v>North</v>
      </c>
      <c r="C100" s="79" t="str">
        <f>'4. Design Tracking Summary'!C101</f>
        <v>QRO</v>
      </c>
      <c r="D100" s="79" t="str">
        <f>'4. Design Tracking Summary'!D101</f>
        <v>MINI</v>
      </c>
      <c r="E100" s="79" t="s">
        <v>56</v>
      </c>
      <c r="F100" s="79"/>
      <c r="G100" s="60" t="str">
        <f>IFERROR(INDEX(Table_SiteMilestonesNames[SiteMilestoneName],COUNTA(Table_SiteMilestoneTracking[[#This Row],[SiteDesignStarted_AC]],Table_SiteMilestoneTracking[[#This Row],[SiteDesignReady_AC]],Table_SiteMilestoneTracking[[#This Row],[SiteSurveyCompleted_AC]],Table_SiteMilestoneTracking[[#This Row],[SiteAcquired_AC]],Table_SiteMilestoneTracking[[#This Row],[SiteReadyForCW_AC]],Table_SiteMilestoneTracking[[#This Row],[SiteReadyForPower_AC]],Table_SiteMilestoneTracking[[#This Row],[TXReady_AC]],Table_SiteMilestoneTracking[[#This Row],[SiteReadyForInstallation_AC]],Table_SiteMilestoneTracking[[#This Row],[SiteReadyForIntegration_AC]],Table_SiteMilestoneTracking[[#This Row],[SiteOnAir_AC]],Table_SiteMilestoneTracking[[#This Row],[SiteAccepted_AC]],Table_SiteMilestoneTracking[[#This Row],[SiteInOperations_AC]])+1),"Invalid Milestone")</f>
        <v>SiteDesignNotStarted</v>
      </c>
      <c r="H100" s="61">
        <f>Table_SiteMilestoneTracking[[#This Row],[c0_SiteDesignCostBL]]+Table_SiteMilestoneTracking[[#This Row],[c1_SiteSurveyCostBL]]+Table_SiteMilestoneTracking[[#This Row],[c2_SiteAcquisitionCostBL]]+Table_SiteMilestoneTracking[[#This Row],[c3_CivilWorksCostBL]]+Table_SiteMilestoneTracking[[#This Row],[c4_PowerInstallCostBL]]+Table_SiteMilestoneTracking[[#This Row],[c5_TxintegrationCostBL]]+Table_SiteMilestoneTracking[[#This Row],[c6_InstallationCostBL]]+Table_SiteMilestoneTracking[[#This Row],[c7_IntegrationCostBL]]+Table_SiteMilestoneTracking[[#This Row],[c8_AcceptanceCostBL]]+Table_SiteMilestoneTracking[[#This Row],[c9_HandoverCostBL]]</f>
        <v>7550</v>
      </c>
      <c r="I100" s="62">
        <f>Table_SiteMilestoneTracking[[#This Row],[c0_SiteDesignCostAC]]+Table_SiteMilestoneTracking[[#This Row],[c1_SiteSurveyCostAC]]+Table_SiteMilestoneTracking[[#This Row],[c2_SiteAcquisitionCostAC]]+Table_SiteMilestoneTracking[[#This Row],[c3_CivilWorksCostAC]]+Table_SiteMilestoneTracking[[#This Row],[c4_PowerInstallCostAC]]+Table_SiteMilestoneTracking[[#This Row],[c5_TxintegrationCostAC]]+Table_SiteMilestoneTracking[[#This Row],[c6_InstallationCostAC]]+Table_SiteMilestoneTracking[[#This Row],[c7_IntegrationCostAC]]+Table_SiteMilestoneTracking[[#This Row],[c8_AcceptanceCostAC]]+Table_SiteMilestoneTracking[[#This Row],[c9_HandoverCostAC]]</f>
        <v>0</v>
      </c>
      <c r="J100" s="84">
        <v>44025</v>
      </c>
      <c r="K100" s="84"/>
      <c r="L100" s="64" t="str">
        <f>IF(ISBLANK(Table_SiteMilestoneTracking[[#This Row],[SiteDesignStarted_AC]])=FALSE,Table_SiteMilestoneTracking[[#This Row],[SiteDesignStarted_AC]]-Table_SiteMilestoneTracking[[#This Row],[SiteDesignStarted_BL]],"")</f>
        <v/>
      </c>
      <c r="M100" s="64">
        <f t="shared" si="11"/>
        <v>500</v>
      </c>
      <c r="N100" s="87"/>
      <c r="O100" s="63">
        <f>Table_SiteMilestoneTracking[[#This Row],[SiteDesignStarted_BL]]+t0_SiteDesignDelayBL</f>
        <v>44027</v>
      </c>
      <c r="P100" s="84"/>
      <c r="Q100" s="64" t="str">
        <f>IF(ISBLANK(Table_SiteMilestoneTracking[[#This Row],[SiteDesignReady_AC]])=FALSE,Table_SiteMilestoneTracking[[#This Row],[SiteDesignReady_AC]]-Table_SiteMilestoneTracking[[#This Row],[SiteDesignReady_BL]],"-")</f>
        <v>-</v>
      </c>
      <c r="R100" s="64">
        <f t="shared" si="16"/>
        <v>500</v>
      </c>
      <c r="S100" s="82"/>
      <c r="T100" s="63">
        <f>Table_SiteMilestoneTracking[[#This Row],[SiteDesignReady_BL]]+t1_SiteSurveyBL</f>
        <v>44029</v>
      </c>
      <c r="U100" s="84"/>
      <c r="V100" s="64" t="str">
        <f>IF(ISBLANK(Table_SiteMilestoneTracking[[#This Row],[SiteSurveyCompleted_AC]])=FALSE,Table_SiteMilestoneTracking[[#This Row],[SiteSurveyCompleted_AC]]-Table_SiteMilestoneTracking[[#This Row],[SiteDesignReady_AC]],"-")</f>
        <v>-</v>
      </c>
      <c r="W100" s="64">
        <f t="shared" si="12"/>
        <v>600</v>
      </c>
      <c r="X100" s="82"/>
      <c r="Y100" s="63">
        <f>Table_SiteMilestoneTracking[[#This Row],[SiteSurveyCompleted_BL]]+t2_SiteAcquisitionBL</f>
        <v>44040</v>
      </c>
      <c r="Z100" s="84"/>
      <c r="AA100" s="65" t="str">
        <f>IF(ISBLANK(Table_SiteMilestoneTracking[[#This Row],[SiteAcquired_AC]])=FALSE,Table_SiteMilestoneTracking[[#This Row],[SiteAcquired_AC]]-Table_SiteMilestoneTracking[[#This Row],[SiteAcquired_BL]],"-")</f>
        <v>-</v>
      </c>
      <c r="AB100" s="65" t="str">
        <f>IF(ISBLANK(Table_SiteMilestoneTracking[[#This Row],[SiteAcquired_AC]])=FALSE,Table_SiteMilestoneTracking[[#This Row],[SiteAcquired_AC]]-Table_SiteMilestoneTracking[[#This Row],[SiteSurveyCompleted_AC]],"-")</f>
        <v>-</v>
      </c>
      <c r="AC100" s="64">
        <f t="shared" si="13"/>
        <v>150</v>
      </c>
      <c r="AD100" s="82"/>
      <c r="AE100" s="63">
        <f>Table_SiteMilestoneTracking[[#This Row],[SiteAcquired_BL]]+t2a_SiteCWReadinessBL</f>
        <v>44042</v>
      </c>
      <c r="AF100" s="84"/>
      <c r="AG100" s="66" t="str">
        <f>IF(ISBLANK(Table_SiteMilestoneTracking[[#This Row],[SiteReadyForCW_AC]])=FALSE,Table_SiteMilestoneTracking[[#This Row],[SiteReadyForCW_AC]]-Table_SiteMilestoneTracking[[#This Row],[SiteReadyForCW_BL]],"-")</f>
        <v>-</v>
      </c>
      <c r="AH100" s="66" t="str">
        <f>IF(ISBLANK(Table_SiteMilestoneTracking[[#This Row],[SiteReadyForCW_AC]])=FALSE,Table_SiteMilestoneTracking[[#This Row],[SiteReadyForCW_AC]]-Table_SiteMilestoneTracking[[#This Row],[SiteDesignReady_AC]],"-")</f>
        <v>-</v>
      </c>
      <c r="AI100" s="64">
        <f t="shared" si="14"/>
        <v>1500</v>
      </c>
      <c r="AJ100" s="82"/>
      <c r="AK100" s="63">
        <f>Table_SiteMilestoneTracking[[#This Row],[SiteReadyForCW_BL]]+t3_CivilWorksBL</f>
        <v>44050</v>
      </c>
      <c r="AL100" s="84"/>
      <c r="AM100" s="64" t="str">
        <f>IF(ISBLANK(Table_SiteMilestoneTracking[[#This Row],[SiteReadyForPower_AC]])=FALSE,Table_SiteMilestoneTracking[[#This Row],[SiteReadyForPower_AC]]-Table_SiteMilestoneTracking[[#This Row],[SiteReadyForPower_BL]],"-")</f>
        <v>-</v>
      </c>
      <c r="AN100" s="64" t="str">
        <f>IF(ISBLANK(Table_SiteMilestoneTracking[[#This Row],[SiteReadyForPower_AC]])=FALSE,Table_SiteMilestoneTracking[[#This Row],[SiteReadyForPower_AC]]-Table_SiteMilestoneTracking[[#This Row],[SiteReadyForCW_AC]],"-")</f>
        <v>-</v>
      </c>
      <c r="AO100" s="64">
        <f t="shared" si="15"/>
        <v>500</v>
      </c>
      <c r="AP100" s="82"/>
      <c r="AQ100" s="63">
        <f>Table_SiteMilestoneTracking[[#This Row],[SiteReadyForPower_BL]]+t4_PowerInstallBL</f>
        <v>44055</v>
      </c>
      <c r="AR100" s="84"/>
      <c r="AS100" s="64" t="str">
        <f>IF(ISBLANK(Table_SiteMilestoneTracking[[#This Row],[TXReady_AC]])=FALSE,Table_SiteMilestoneTracking[[#This Row],[TXReady_AC]]-Table_SiteMilestoneTracking[[#This Row],[TXReady_BL]],"-")</f>
        <v>-</v>
      </c>
      <c r="AT100" s="64" t="str">
        <f>IF(ISBLANK(Table_SiteMilestoneTracking[[#This Row],[TXReady_AC]])=FALSE,Table_SiteMilestoneTracking[[#This Row],[TXReady_AC]]-Table_SiteMilestoneTracking[[#This Row],[SiteReadyForPower_AC]],"-")</f>
        <v>-</v>
      </c>
      <c r="AU100" s="64">
        <f>$AU$2</f>
        <v>500</v>
      </c>
      <c r="AV100" s="82"/>
      <c r="AW100" s="63">
        <f>Table_SiteMilestoneTracking[[#This Row],[TXReady_BL]]+t5_TxintegrationBL</f>
        <v>44062</v>
      </c>
      <c r="AX100" s="84"/>
      <c r="AY100" s="64" t="str">
        <f>IF(ISBLANK(Table_SiteMilestoneTracking[[#This Row],[SiteReadyForInstallation_AC]])=FALSE,Table_SiteMilestoneTracking[[#This Row],[SiteReadyForInstallation_AC]]-Table_SiteMilestoneTracking[[#This Row],[SiteReadyForInstallation_BL]],"-")</f>
        <v>-</v>
      </c>
      <c r="AZ100" s="64" t="str">
        <f>IF(ISBLANK(Table_SiteMilestoneTracking[[#This Row],[SiteReadyForInstallation_AC]])=FALSE,Table_SiteMilestoneTracking[[#This Row],[SiteReadyForInstallation_AC]]-Table_SiteMilestoneTracking[[#This Row],[TXReady_AC]],"-")</f>
        <v>-</v>
      </c>
      <c r="BA100" s="64">
        <f>$BA$2</f>
        <v>2500</v>
      </c>
      <c r="BB100" s="82"/>
      <c r="BC100" s="63">
        <f>Table_SiteMilestoneTracking[[#This Row],[SiteReadyForInstallation_BL]]+t6_InstallationBL</f>
        <v>44066</v>
      </c>
      <c r="BD100" s="84"/>
      <c r="BE100" s="64" t="str">
        <f>IF(ISBLANK(Table_SiteMilestoneTracking[[#This Row],[SiteReadyForIntegration_AC]])=FALSE,Table_SiteMilestoneTracking[[#This Row],[SiteReadyForIntegration_AC]]-Table_SiteMilestoneTracking[[#This Row],[SiteReadyForIntegration_BL]],"-")</f>
        <v>-</v>
      </c>
      <c r="BF100" s="64" t="str">
        <f>IF(ISBLANK(Table_SiteMilestoneTracking[[#This Row],[SiteReadyForIntegration_AC]])=FALSE,Table_SiteMilestoneTracking[[#This Row],[SiteReadyForIntegration_AC]]-Table_SiteMilestoneTracking[[#This Row],[SiteReadyForInstallation_AC]],"-")</f>
        <v>-</v>
      </c>
      <c r="BG100" s="64">
        <f>$BG$2</f>
        <v>500</v>
      </c>
      <c r="BH100" s="82"/>
      <c r="BI100" s="63">
        <f>Table_SiteMilestoneTracking[[#This Row],[SiteReadyForIntegration_BL]]+t7_IntegrationBL</f>
        <v>44070</v>
      </c>
      <c r="BJ100" s="84"/>
      <c r="BK100" s="64" t="str">
        <f>IF(ISBLANK(Table_SiteMilestoneTracking[[#This Row],[SiteOnAir_AC]])=FALSE,Table_SiteMilestoneTracking[[#This Row],[SiteOnAir_AC]]-Table_SiteMilestoneTracking[[#This Row],[SiteOnAir_BL]],"-")</f>
        <v>-</v>
      </c>
      <c r="BL100" s="64" t="str">
        <f>IF(ISBLANK(Table_SiteMilestoneTracking[[#This Row],[SiteOnAir_AC]])=FALSE,Table_SiteMilestoneTracking[[#This Row],[SiteOnAir_AC]]-Table_SiteMilestoneTracking[[#This Row],[SiteReadyForIntegration_AC]],"-")</f>
        <v>-</v>
      </c>
      <c r="BM100" s="64">
        <f>$BM$2</f>
        <v>250</v>
      </c>
      <c r="BN100" s="82"/>
      <c r="BO100" s="63">
        <f>Table_SiteMilestoneTracking[[#This Row],[SiteOnAir_BL]]+t8_AcceptanceBL</f>
        <v>44074</v>
      </c>
      <c r="BP100" s="84"/>
      <c r="BQ100" s="64" t="str">
        <f>IF(ISBLANK(Table_SiteMilestoneTracking[[#This Row],[SiteAccepted_AC]])=FALSE,Table_SiteMilestoneTracking[[#This Row],[SiteAccepted_AC]]-Table_SiteMilestoneTracking[[#This Row],[SiteAccepted_BL]],"-")</f>
        <v>-</v>
      </c>
      <c r="BR100" s="64" t="str">
        <f>IF(ISBLANK(Table_SiteMilestoneTracking[[#This Row],[SiteAccepted_AC]])=FALSE,Table_SiteMilestoneTracking[[#This Row],[SiteAccepted_AC]]-Table_SiteMilestoneTracking[[#This Row],[SiteOnAir_AC]],"-")</f>
        <v>-</v>
      </c>
      <c r="BS100" s="64">
        <f>$BS$2</f>
        <v>200</v>
      </c>
      <c r="BT100" s="82"/>
      <c r="BU100" s="63">
        <f>Table_SiteMilestoneTracking[[#This Row],[SiteAccepted_BL]]+t9_HandoverBL</f>
        <v>44082</v>
      </c>
      <c r="BV100" s="84"/>
      <c r="BW100" s="64" t="str">
        <f>IF(ISBLANK(Table_SiteMilestoneTracking[[#This Row],[SiteInOperations_AC]])=FALSE,Table_SiteMilestoneTracking[[#This Row],[SiteInOperations_AC]]-Table_SiteMilestoneTracking[[#This Row],[SiteInOperations_BL]],"-")</f>
        <v>-</v>
      </c>
      <c r="BX100" s="66">
        <f>Table_SiteMilestoneTracking[[#This Row],[SiteInOperations_BL]]-Table_SiteMilestoneTracking[[#This Row],[SiteDesignReady_BL]]</f>
        <v>55</v>
      </c>
      <c r="BY100" s="66" t="str">
        <f>IF(Table_SiteMilestoneTracking[[#This Row],[CurrentSiteMilestone]]="SiteInOperations",Table_SiteMilestoneTracking[[#This Row],[SiteInOperations_AC]]-Table_SiteMilestoneTracking[[#This Row],[SiteDesignReady_AC]],"")</f>
        <v/>
      </c>
      <c r="BZ100" s="66" t="str">
        <f>IFERROR(Table_SiteMilestoneTracking[[#This Row],[E2E_Site_AC]]-Table_SiteMilestoneTracking[[#This Row],[E2E_Site_BL]],"")</f>
        <v/>
      </c>
      <c r="CA100" s="66" t="str">
        <f>IF(Table_SiteMilestoneTracking[[#This Row],[CurrentSiteMilestone]]="SiteInOperations",Table_SiteMilestoneTracking[[#This Row],[SiteInOperations_AC]]-Table_SiteMilestoneTracking[[#This Row],[SiteAccepted_AC]],"")</f>
        <v/>
      </c>
      <c r="CB100" s="79"/>
      <c r="CC100" s="89"/>
      <c r="CD100" s="89"/>
      <c r="CE100" s="70"/>
      <c r="CF100" s="70"/>
      <c r="CG100" s="70"/>
      <c r="CH100" s="70"/>
      <c r="CI100" s="70"/>
      <c r="CJ100" s="70"/>
      <c r="CK100" s="70"/>
      <c r="CL100" s="70"/>
      <c r="CM100" s="70"/>
      <c r="CN100" s="70"/>
      <c r="CO100" s="70"/>
      <c r="CP100" s="70"/>
      <c r="CQ100" s="70"/>
      <c r="CR100" s="70"/>
      <c r="CS100" s="70"/>
      <c r="CT100" s="70"/>
      <c r="CU100" s="70"/>
      <c r="CV100" s="70"/>
      <c r="CW100" s="70"/>
      <c r="CX100" s="70"/>
      <c r="CY100" s="70"/>
      <c r="CZ100" s="70"/>
      <c r="DA100" s="70"/>
      <c r="DB100" s="70"/>
      <c r="DC100" s="70"/>
      <c r="DD100" s="70"/>
      <c r="DE100" s="70"/>
      <c r="DF100" s="70"/>
      <c r="DG100" s="70"/>
      <c r="DH100" s="70"/>
      <c r="DI100" s="70"/>
      <c r="DJ100" s="70"/>
      <c r="DK100" s="70"/>
      <c r="DL100" s="70"/>
      <c r="DM100" s="70"/>
      <c r="DN100" s="70"/>
      <c r="DO100" s="70"/>
      <c r="DP100" s="70"/>
      <c r="DQ100" s="70"/>
      <c r="DR100" s="70"/>
      <c r="DS100" s="70"/>
      <c r="DT100" s="70"/>
      <c r="DU100" s="70"/>
      <c r="DV100" s="70"/>
    </row>
    <row r="101" spans="1:127" x14ac:dyDescent="0.3">
      <c r="A101" s="79" t="str">
        <f>'4. Design Tracking Summary'!A102</f>
        <v>AM00004</v>
      </c>
      <c r="B101" s="79" t="str">
        <f>'4. Design Tracking Summary'!B102</f>
        <v>North</v>
      </c>
      <c r="C101" s="79" t="str">
        <f>'4. Design Tracking Summary'!C102</f>
        <v>VER</v>
      </c>
      <c r="D101" s="79" t="str">
        <f>'4. Design Tracking Summary'!D102</f>
        <v>SMALL</v>
      </c>
      <c r="E101" s="79" t="s">
        <v>57</v>
      </c>
      <c r="F101" s="79"/>
      <c r="G101" s="60" t="str">
        <f>IFERROR(INDEX(Table_SiteMilestonesNames[SiteMilestoneName],COUNTA(Table_SiteMilestoneTracking[[#This Row],[SiteDesignStarted_AC]],Table_SiteMilestoneTracking[[#This Row],[SiteDesignReady_AC]],Table_SiteMilestoneTracking[[#This Row],[SiteSurveyCompleted_AC]],Table_SiteMilestoneTracking[[#This Row],[SiteAcquired_AC]],Table_SiteMilestoneTracking[[#This Row],[SiteReadyForCW_AC]],Table_SiteMilestoneTracking[[#This Row],[SiteReadyForPower_AC]],Table_SiteMilestoneTracking[[#This Row],[TXReady_AC]],Table_SiteMilestoneTracking[[#This Row],[SiteReadyForInstallation_AC]],Table_SiteMilestoneTracking[[#This Row],[SiteReadyForIntegration_AC]],Table_SiteMilestoneTracking[[#This Row],[SiteOnAir_AC]],Table_SiteMilestoneTracking[[#This Row],[SiteAccepted_AC]],Table_SiteMilestoneTracking[[#This Row],[SiteInOperations_AC]])+1),"Invalid Milestone")</f>
        <v>SiteDesignNotStarted</v>
      </c>
      <c r="H101" s="61">
        <f>Table_SiteMilestoneTracking[[#This Row],[c0_SiteDesignCostBL]]+Table_SiteMilestoneTracking[[#This Row],[c1_SiteSurveyCostBL]]+Table_SiteMilestoneTracking[[#This Row],[c2_SiteAcquisitionCostBL]]+Table_SiteMilestoneTracking[[#This Row],[c3_CivilWorksCostBL]]+Table_SiteMilestoneTracking[[#This Row],[c4_PowerInstallCostBL]]+Table_SiteMilestoneTracking[[#This Row],[c5_TxintegrationCostBL]]+Table_SiteMilestoneTracking[[#This Row],[c6_InstallationCostBL]]+Table_SiteMilestoneTracking[[#This Row],[c7_IntegrationCostBL]]+Table_SiteMilestoneTracking[[#This Row],[c8_AcceptanceCostBL]]+Table_SiteMilestoneTracking[[#This Row],[c9_HandoverCostBL]]</f>
        <v>7550</v>
      </c>
      <c r="I101" s="62">
        <f>Table_SiteMilestoneTracking[[#This Row],[c0_SiteDesignCostAC]]+Table_SiteMilestoneTracking[[#This Row],[c1_SiteSurveyCostAC]]+Table_SiteMilestoneTracking[[#This Row],[c2_SiteAcquisitionCostAC]]+Table_SiteMilestoneTracking[[#This Row],[c3_CivilWorksCostAC]]+Table_SiteMilestoneTracking[[#This Row],[c4_PowerInstallCostAC]]+Table_SiteMilestoneTracking[[#This Row],[c5_TxintegrationCostAC]]+Table_SiteMilestoneTracking[[#This Row],[c6_InstallationCostAC]]+Table_SiteMilestoneTracking[[#This Row],[c7_IntegrationCostAC]]+Table_SiteMilestoneTracking[[#This Row],[c8_AcceptanceCostAC]]+Table_SiteMilestoneTracking[[#This Row],[c9_HandoverCostAC]]</f>
        <v>0</v>
      </c>
      <c r="J101" s="84">
        <v>44025</v>
      </c>
      <c r="K101" s="84"/>
      <c r="L101" s="64" t="str">
        <f>IF(ISBLANK(Table_SiteMilestoneTracking[[#This Row],[SiteDesignStarted_AC]])=FALSE,Table_SiteMilestoneTracking[[#This Row],[SiteDesignStarted_AC]]-Table_SiteMilestoneTracking[[#This Row],[SiteDesignStarted_BL]],"")</f>
        <v/>
      </c>
      <c r="M101" s="64">
        <f t="shared" si="11"/>
        <v>500</v>
      </c>
      <c r="N101" s="87"/>
      <c r="O101" s="63">
        <f>Table_SiteMilestoneTracking[[#This Row],[SiteDesignStarted_BL]]+t0_SiteDesignDelayBL</f>
        <v>44027</v>
      </c>
      <c r="P101" s="84"/>
      <c r="Q101" s="64" t="str">
        <f>IF(ISBLANK(Table_SiteMilestoneTracking[[#This Row],[SiteDesignReady_AC]])=FALSE,Table_SiteMilestoneTracking[[#This Row],[SiteDesignReady_AC]]-Table_SiteMilestoneTracking[[#This Row],[SiteDesignReady_BL]],"-")</f>
        <v>-</v>
      </c>
      <c r="R101" s="64">
        <f t="shared" si="16"/>
        <v>500</v>
      </c>
      <c r="S101" s="82"/>
      <c r="T101" s="63">
        <f>Table_SiteMilestoneTracking[[#This Row],[SiteDesignReady_BL]]+t1_SiteSurveyBL</f>
        <v>44029</v>
      </c>
      <c r="U101" s="84"/>
      <c r="V101" s="64" t="str">
        <f>IF(ISBLANK(Table_SiteMilestoneTracking[[#This Row],[SiteSurveyCompleted_AC]])=FALSE,Table_SiteMilestoneTracking[[#This Row],[SiteSurveyCompleted_AC]]-Table_SiteMilestoneTracking[[#This Row],[SiteDesignReady_AC]],"-")</f>
        <v>-</v>
      </c>
      <c r="W101" s="64">
        <f t="shared" si="12"/>
        <v>600</v>
      </c>
      <c r="X101" s="82"/>
      <c r="Y101" s="63">
        <f>Table_SiteMilestoneTracking[[#This Row],[SiteSurveyCompleted_BL]]+t2_SiteAcquisitionBL</f>
        <v>44040</v>
      </c>
      <c r="Z101" s="84"/>
      <c r="AA101" s="65" t="str">
        <f>IF(ISBLANK(Table_SiteMilestoneTracking[[#This Row],[SiteAcquired_AC]])=FALSE,Table_SiteMilestoneTracking[[#This Row],[SiteAcquired_AC]]-Table_SiteMilestoneTracking[[#This Row],[SiteAcquired_BL]],"-")</f>
        <v>-</v>
      </c>
      <c r="AB101" s="65" t="str">
        <f>IF(ISBLANK(Table_SiteMilestoneTracking[[#This Row],[SiteAcquired_AC]])=FALSE,Table_SiteMilestoneTracking[[#This Row],[SiteAcquired_AC]]-Table_SiteMilestoneTracking[[#This Row],[SiteSurveyCompleted_AC]],"-")</f>
        <v>-</v>
      </c>
      <c r="AC101" s="64">
        <f t="shared" si="13"/>
        <v>150</v>
      </c>
      <c r="AD101" s="82"/>
      <c r="AE101" s="63">
        <f>Table_SiteMilestoneTracking[[#This Row],[SiteAcquired_BL]]+t2a_SiteCWReadinessBL</f>
        <v>44042</v>
      </c>
      <c r="AF101" s="84"/>
      <c r="AG101" s="66" t="str">
        <f>IF(ISBLANK(Table_SiteMilestoneTracking[[#This Row],[SiteReadyForCW_AC]])=FALSE,Table_SiteMilestoneTracking[[#This Row],[SiteReadyForCW_AC]]-Table_SiteMilestoneTracking[[#This Row],[SiteReadyForCW_BL]],"-")</f>
        <v>-</v>
      </c>
      <c r="AH101" s="66" t="str">
        <f>IF(ISBLANK(Table_SiteMilestoneTracking[[#This Row],[SiteReadyForCW_AC]])=FALSE,Table_SiteMilestoneTracking[[#This Row],[SiteReadyForCW_AC]]-Table_SiteMilestoneTracking[[#This Row],[SiteDesignReady_AC]],"-")</f>
        <v>-</v>
      </c>
      <c r="AI101" s="64">
        <f t="shared" si="14"/>
        <v>1500</v>
      </c>
      <c r="AJ101" s="82"/>
      <c r="AK101" s="63">
        <f>Table_SiteMilestoneTracking[[#This Row],[SiteReadyForCW_BL]]+t3_CivilWorksBL</f>
        <v>44050</v>
      </c>
      <c r="AL101" s="84"/>
      <c r="AM101" s="64" t="str">
        <f>IF(ISBLANK(Table_SiteMilestoneTracking[[#This Row],[SiteReadyForPower_AC]])=FALSE,Table_SiteMilestoneTracking[[#This Row],[SiteReadyForPower_AC]]-Table_SiteMilestoneTracking[[#This Row],[SiteReadyForPower_BL]],"-")</f>
        <v>-</v>
      </c>
      <c r="AN101" s="64" t="str">
        <f>IF(ISBLANK(Table_SiteMilestoneTracking[[#This Row],[SiteReadyForPower_AC]])=FALSE,Table_SiteMilestoneTracking[[#This Row],[SiteReadyForPower_AC]]-Table_SiteMilestoneTracking[[#This Row],[SiteReadyForCW_AC]],"-")</f>
        <v>-</v>
      </c>
      <c r="AO101" s="64">
        <f t="shared" si="15"/>
        <v>500</v>
      </c>
      <c r="AP101" s="82"/>
      <c r="AQ101" s="63">
        <f>Table_SiteMilestoneTracking[[#This Row],[SiteReadyForPower_BL]]+t4_PowerInstallBL</f>
        <v>44055</v>
      </c>
      <c r="AR101" s="84"/>
      <c r="AS101" s="64" t="str">
        <f>IF(ISBLANK(Table_SiteMilestoneTracking[[#This Row],[TXReady_AC]])=FALSE,Table_SiteMilestoneTracking[[#This Row],[TXReady_AC]]-Table_SiteMilestoneTracking[[#This Row],[TXReady_BL]],"-")</f>
        <v>-</v>
      </c>
      <c r="AT101" s="64" t="str">
        <f>IF(ISBLANK(Table_SiteMilestoneTracking[[#This Row],[TXReady_AC]])=FALSE,Table_SiteMilestoneTracking[[#This Row],[TXReady_AC]]-Table_SiteMilestoneTracking[[#This Row],[SiteReadyForPower_AC]],"-")</f>
        <v>-</v>
      </c>
      <c r="AU101" s="64">
        <f>$AU$2</f>
        <v>500</v>
      </c>
      <c r="AV101" s="82"/>
      <c r="AW101" s="63">
        <f>Table_SiteMilestoneTracking[[#This Row],[TXReady_BL]]+t5_TxintegrationBL</f>
        <v>44062</v>
      </c>
      <c r="AX101" s="84"/>
      <c r="AY101" s="64" t="str">
        <f>IF(ISBLANK(Table_SiteMilestoneTracking[[#This Row],[SiteReadyForInstallation_AC]])=FALSE,Table_SiteMilestoneTracking[[#This Row],[SiteReadyForInstallation_AC]]-Table_SiteMilestoneTracking[[#This Row],[SiteReadyForInstallation_BL]],"-")</f>
        <v>-</v>
      </c>
      <c r="AZ101" s="64" t="str">
        <f>IF(ISBLANK(Table_SiteMilestoneTracking[[#This Row],[SiteReadyForInstallation_AC]])=FALSE,Table_SiteMilestoneTracking[[#This Row],[SiteReadyForInstallation_AC]]-Table_SiteMilestoneTracking[[#This Row],[TXReady_AC]],"-")</f>
        <v>-</v>
      </c>
      <c r="BA101" s="64">
        <f>$BA$2</f>
        <v>2500</v>
      </c>
      <c r="BB101" s="82"/>
      <c r="BC101" s="63">
        <f>Table_SiteMilestoneTracking[[#This Row],[SiteReadyForInstallation_BL]]+t6_InstallationBL</f>
        <v>44066</v>
      </c>
      <c r="BD101" s="84"/>
      <c r="BE101" s="64" t="str">
        <f>IF(ISBLANK(Table_SiteMilestoneTracking[[#This Row],[SiteReadyForIntegration_AC]])=FALSE,Table_SiteMilestoneTracking[[#This Row],[SiteReadyForIntegration_AC]]-Table_SiteMilestoneTracking[[#This Row],[SiteReadyForIntegration_BL]],"-")</f>
        <v>-</v>
      </c>
      <c r="BF101" s="64" t="str">
        <f>IF(ISBLANK(Table_SiteMilestoneTracking[[#This Row],[SiteReadyForIntegration_AC]])=FALSE,Table_SiteMilestoneTracking[[#This Row],[SiteReadyForIntegration_AC]]-Table_SiteMilestoneTracking[[#This Row],[SiteReadyForInstallation_AC]],"-")</f>
        <v>-</v>
      </c>
      <c r="BG101" s="64">
        <f>$BG$2</f>
        <v>500</v>
      </c>
      <c r="BH101" s="82"/>
      <c r="BI101" s="63">
        <f>Table_SiteMilestoneTracking[[#This Row],[SiteReadyForIntegration_BL]]+t7_IntegrationBL</f>
        <v>44070</v>
      </c>
      <c r="BJ101" s="84"/>
      <c r="BK101" s="64" t="str">
        <f>IF(ISBLANK(Table_SiteMilestoneTracking[[#This Row],[SiteOnAir_AC]])=FALSE,Table_SiteMilestoneTracking[[#This Row],[SiteOnAir_AC]]-Table_SiteMilestoneTracking[[#This Row],[SiteOnAir_BL]],"-")</f>
        <v>-</v>
      </c>
      <c r="BL101" s="64" t="str">
        <f>IF(ISBLANK(Table_SiteMilestoneTracking[[#This Row],[SiteOnAir_AC]])=FALSE,Table_SiteMilestoneTracking[[#This Row],[SiteOnAir_AC]]-Table_SiteMilestoneTracking[[#This Row],[SiteReadyForIntegration_AC]],"-")</f>
        <v>-</v>
      </c>
      <c r="BM101" s="64">
        <f>$BM$2</f>
        <v>250</v>
      </c>
      <c r="BN101" s="82"/>
      <c r="BO101" s="63">
        <f>Table_SiteMilestoneTracking[[#This Row],[SiteOnAir_BL]]+t8_AcceptanceBL</f>
        <v>44074</v>
      </c>
      <c r="BP101" s="84"/>
      <c r="BQ101" s="64" t="str">
        <f>IF(ISBLANK(Table_SiteMilestoneTracking[[#This Row],[SiteAccepted_AC]])=FALSE,Table_SiteMilestoneTracking[[#This Row],[SiteAccepted_AC]]-Table_SiteMilestoneTracking[[#This Row],[SiteAccepted_BL]],"-")</f>
        <v>-</v>
      </c>
      <c r="BR101" s="64" t="str">
        <f>IF(ISBLANK(Table_SiteMilestoneTracking[[#This Row],[SiteAccepted_AC]])=FALSE,Table_SiteMilestoneTracking[[#This Row],[SiteAccepted_AC]]-Table_SiteMilestoneTracking[[#This Row],[SiteOnAir_AC]],"-")</f>
        <v>-</v>
      </c>
      <c r="BS101" s="64">
        <f>$BS$2</f>
        <v>200</v>
      </c>
      <c r="BT101" s="82"/>
      <c r="BU101" s="63">
        <f>Table_SiteMilestoneTracking[[#This Row],[SiteAccepted_BL]]+t9_HandoverBL</f>
        <v>44082</v>
      </c>
      <c r="BV101" s="84"/>
      <c r="BW101" s="64" t="str">
        <f>IF(ISBLANK(Table_SiteMilestoneTracking[[#This Row],[SiteInOperations_AC]])=FALSE,Table_SiteMilestoneTracking[[#This Row],[SiteInOperations_AC]]-Table_SiteMilestoneTracking[[#This Row],[SiteInOperations_BL]],"-")</f>
        <v>-</v>
      </c>
      <c r="BX101" s="66">
        <f>Table_SiteMilestoneTracking[[#This Row],[SiteInOperations_BL]]-Table_SiteMilestoneTracking[[#This Row],[SiteDesignReady_BL]]</f>
        <v>55</v>
      </c>
      <c r="BY101" s="66" t="str">
        <f>IF(Table_SiteMilestoneTracking[[#This Row],[CurrentSiteMilestone]]="SiteInOperations",Table_SiteMilestoneTracking[[#This Row],[SiteInOperations_AC]]-Table_SiteMilestoneTracking[[#This Row],[SiteDesignReady_AC]],"")</f>
        <v/>
      </c>
      <c r="BZ101" s="66" t="str">
        <f>IFERROR(Table_SiteMilestoneTracking[[#This Row],[E2E_Site_AC]]-Table_SiteMilestoneTracking[[#This Row],[E2E_Site_BL]],"")</f>
        <v/>
      </c>
      <c r="CA101" s="66" t="str">
        <f>IF(Table_SiteMilestoneTracking[[#This Row],[CurrentSiteMilestone]]="SiteInOperations",Table_SiteMilestoneTracking[[#This Row],[SiteInOperations_AC]]-Table_SiteMilestoneTracking[[#This Row],[SiteAccepted_AC]],"")</f>
        <v/>
      </c>
      <c r="CB101" s="79"/>
      <c r="CC101" s="89"/>
      <c r="CD101" s="89"/>
      <c r="CE101" s="70"/>
      <c r="CF101" s="70"/>
      <c r="CG101" s="70"/>
      <c r="CH101" s="70"/>
      <c r="CI101" s="70"/>
      <c r="CJ101" s="70"/>
      <c r="CK101" s="70"/>
      <c r="CL101" s="70"/>
      <c r="CM101" s="70"/>
      <c r="CN101" s="70"/>
      <c r="CO101" s="70"/>
      <c r="CP101" s="70"/>
      <c r="CQ101" s="70"/>
      <c r="CR101" s="70"/>
      <c r="CS101" s="70"/>
      <c r="CT101" s="70"/>
      <c r="CU101" s="70"/>
      <c r="CV101" s="70"/>
      <c r="CW101" s="70"/>
      <c r="CX101" s="70"/>
      <c r="CY101" s="70"/>
      <c r="CZ101" s="70"/>
      <c r="DA101" s="70"/>
      <c r="DB101" s="70"/>
      <c r="DC101" s="70"/>
      <c r="DD101" s="70"/>
      <c r="DE101" s="70"/>
      <c r="DF101" s="70"/>
      <c r="DG101" s="70"/>
      <c r="DH101" s="70"/>
      <c r="DI101" s="70"/>
      <c r="DJ101" s="70"/>
      <c r="DK101" s="70"/>
      <c r="DL101" s="70"/>
      <c r="DM101" s="70"/>
      <c r="DN101" s="70"/>
      <c r="DO101" s="70"/>
      <c r="DP101" s="70"/>
      <c r="DQ101" s="70"/>
      <c r="DR101" s="70"/>
      <c r="DS101" s="70"/>
      <c r="DT101" s="70"/>
      <c r="DU101" s="70"/>
      <c r="DV101" s="70"/>
    </row>
    <row r="102" spans="1:127" x14ac:dyDescent="0.3">
      <c r="A102" s="79" t="str">
        <f>'4. Design Tracking Summary'!A103</f>
        <v>AM00226</v>
      </c>
      <c r="B102" s="79" t="str">
        <f>'4. Design Tracking Summary'!B103</f>
        <v>Center</v>
      </c>
      <c r="C102" s="79" t="str">
        <f>'4. Design Tracking Summary'!C103</f>
        <v>CHI</v>
      </c>
      <c r="D102" s="79" t="str">
        <f>'4. Design Tracking Summary'!D103</f>
        <v>MACRO</v>
      </c>
      <c r="E102" s="79" t="s">
        <v>58</v>
      </c>
      <c r="F102" s="79"/>
      <c r="G102" s="60" t="str">
        <f>IFERROR(INDEX(Table_SiteMilestonesNames[SiteMilestoneName],COUNTA(Table_SiteMilestoneTracking[[#This Row],[SiteDesignStarted_AC]],Table_SiteMilestoneTracking[[#This Row],[SiteDesignReady_AC]],Table_SiteMilestoneTracking[[#This Row],[SiteSurveyCompleted_AC]],Table_SiteMilestoneTracking[[#This Row],[SiteAcquired_AC]],Table_SiteMilestoneTracking[[#This Row],[SiteReadyForCW_AC]],Table_SiteMilestoneTracking[[#This Row],[SiteReadyForPower_AC]],Table_SiteMilestoneTracking[[#This Row],[TXReady_AC]],Table_SiteMilestoneTracking[[#This Row],[SiteReadyForInstallation_AC]],Table_SiteMilestoneTracking[[#This Row],[SiteReadyForIntegration_AC]],Table_SiteMilestoneTracking[[#This Row],[SiteOnAir_AC]],Table_SiteMilestoneTracking[[#This Row],[SiteAccepted_AC]],Table_SiteMilestoneTracking[[#This Row],[SiteInOperations_AC]])+1),"Invalid Milestone")</f>
        <v>SiteDesignNotStarted</v>
      </c>
      <c r="H102" s="61">
        <f>Table_SiteMilestoneTracking[[#This Row],[c0_SiteDesignCostBL]]+Table_SiteMilestoneTracking[[#This Row],[c1_SiteSurveyCostBL]]+Table_SiteMilestoneTracking[[#This Row],[c2_SiteAcquisitionCostBL]]+Table_SiteMilestoneTracking[[#This Row],[c3_CivilWorksCostBL]]+Table_SiteMilestoneTracking[[#This Row],[c4_PowerInstallCostBL]]+Table_SiteMilestoneTracking[[#This Row],[c5_TxintegrationCostBL]]+Table_SiteMilestoneTracking[[#This Row],[c6_InstallationCostBL]]+Table_SiteMilestoneTracking[[#This Row],[c7_IntegrationCostBL]]+Table_SiteMilestoneTracking[[#This Row],[c8_AcceptanceCostBL]]+Table_SiteMilestoneTracking[[#This Row],[c9_HandoverCostBL]]</f>
        <v>7550</v>
      </c>
      <c r="I102" s="62">
        <f>Table_SiteMilestoneTracking[[#This Row],[c0_SiteDesignCostAC]]+Table_SiteMilestoneTracking[[#This Row],[c1_SiteSurveyCostAC]]+Table_SiteMilestoneTracking[[#This Row],[c2_SiteAcquisitionCostAC]]+Table_SiteMilestoneTracking[[#This Row],[c3_CivilWorksCostAC]]+Table_SiteMilestoneTracking[[#This Row],[c4_PowerInstallCostAC]]+Table_SiteMilestoneTracking[[#This Row],[c5_TxintegrationCostAC]]+Table_SiteMilestoneTracking[[#This Row],[c6_InstallationCostAC]]+Table_SiteMilestoneTracking[[#This Row],[c7_IntegrationCostAC]]+Table_SiteMilestoneTracking[[#This Row],[c8_AcceptanceCostAC]]+Table_SiteMilestoneTracking[[#This Row],[c9_HandoverCostAC]]</f>
        <v>0</v>
      </c>
      <c r="J102" s="84">
        <v>44025</v>
      </c>
      <c r="K102" s="84"/>
      <c r="L102" s="64" t="str">
        <f>IF(ISBLANK(Table_SiteMilestoneTracking[[#This Row],[SiteDesignStarted_AC]])=FALSE,Table_SiteMilestoneTracking[[#This Row],[SiteDesignStarted_AC]]-Table_SiteMilestoneTracking[[#This Row],[SiteDesignStarted_BL]],"")</f>
        <v/>
      </c>
      <c r="M102" s="64">
        <f t="shared" si="11"/>
        <v>500</v>
      </c>
      <c r="N102" s="87"/>
      <c r="O102" s="63">
        <f>Table_SiteMilestoneTracking[[#This Row],[SiteDesignStarted_BL]]+t0_SiteDesignDelayBL</f>
        <v>44027</v>
      </c>
      <c r="P102" s="84"/>
      <c r="Q102" s="64" t="str">
        <f>IF(ISBLANK(Table_SiteMilestoneTracking[[#This Row],[SiteDesignReady_AC]])=FALSE,Table_SiteMilestoneTracking[[#This Row],[SiteDesignReady_AC]]-Table_SiteMilestoneTracking[[#This Row],[SiteDesignReady_BL]],"-")</f>
        <v>-</v>
      </c>
      <c r="R102" s="64">
        <f t="shared" si="16"/>
        <v>500</v>
      </c>
      <c r="S102" s="82"/>
      <c r="T102" s="63">
        <f>Table_SiteMilestoneTracking[[#This Row],[SiteDesignReady_BL]]+t1_SiteSurveyBL</f>
        <v>44029</v>
      </c>
      <c r="U102" s="84"/>
      <c r="V102" s="64" t="str">
        <f>IF(ISBLANK(Table_SiteMilestoneTracking[[#This Row],[SiteSurveyCompleted_AC]])=FALSE,Table_SiteMilestoneTracking[[#This Row],[SiteSurveyCompleted_AC]]-Table_SiteMilestoneTracking[[#This Row],[SiteDesignReady_AC]],"-")</f>
        <v>-</v>
      </c>
      <c r="W102" s="64">
        <f t="shared" si="12"/>
        <v>600</v>
      </c>
      <c r="X102" s="82"/>
      <c r="Y102" s="63">
        <f>Table_SiteMilestoneTracking[[#This Row],[SiteSurveyCompleted_BL]]+t2_SiteAcquisitionBL</f>
        <v>44040</v>
      </c>
      <c r="Z102" s="84"/>
      <c r="AA102" s="65" t="str">
        <f>IF(ISBLANK(Table_SiteMilestoneTracking[[#This Row],[SiteAcquired_AC]])=FALSE,Table_SiteMilestoneTracking[[#This Row],[SiteAcquired_AC]]-Table_SiteMilestoneTracking[[#This Row],[SiteAcquired_BL]],"-")</f>
        <v>-</v>
      </c>
      <c r="AB102" s="65" t="str">
        <f>IF(ISBLANK(Table_SiteMilestoneTracking[[#This Row],[SiteAcquired_AC]])=FALSE,Table_SiteMilestoneTracking[[#This Row],[SiteAcquired_AC]]-Table_SiteMilestoneTracking[[#This Row],[SiteSurveyCompleted_AC]],"-")</f>
        <v>-</v>
      </c>
      <c r="AC102" s="64">
        <f t="shared" si="13"/>
        <v>150</v>
      </c>
      <c r="AD102" s="82"/>
      <c r="AE102" s="63">
        <f>Table_SiteMilestoneTracking[[#This Row],[SiteAcquired_BL]]+t2a_SiteCWReadinessBL</f>
        <v>44042</v>
      </c>
      <c r="AF102" s="84"/>
      <c r="AG102" s="66" t="str">
        <f>IF(ISBLANK(Table_SiteMilestoneTracking[[#This Row],[SiteReadyForCW_AC]])=FALSE,Table_SiteMilestoneTracking[[#This Row],[SiteReadyForCW_AC]]-Table_SiteMilestoneTracking[[#This Row],[SiteReadyForCW_BL]],"-")</f>
        <v>-</v>
      </c>
      <c r="AH102" s="66" t="str">
        <f>IF(ISBLANK(Table_SiteMilestoneTracking[[#This Row],[SiteReadyForCW_AC]])=FALSE,Table_SiteMilestoneTracking[[#This Row],[SiteReadyForCW_AC]]-Table_SiteMilestoneTracking[[#This Row],[SiteDesignReady_AC]],"-")</f>
        <v>-</v>
      </c>
      <c r="AI102" s="64">
        <f t="shared" si="14"/>
        <v>1500</v>
      </c>
      <c r="AJ102" s="82"/>
      <c r="AK102" s="63">
        <f>Table_SiteMilestoneTracking[[#This Row],[SiteReadyForCW_BL]]+t3_CivilWorksBL</f>
        <v>44050</v>
      </c>
      <c r="AL102" s="84"/>
      <c r="AM102" s="64" t="str">
        <f>IF(ISBLANK(Table_SiteMilestoneTracking[[#This Row],[SiteReadyForPower_AC]])=FALSE,Table_SiteMilestoneTracking[[#This Row],[SiteReadyForPower_AC]]-Table_SiteMilestoneTracking[[#This Row],[SiteReadyForPower_BL]],"-")</f>
        <v>-</v>
      </c>
      <c r="AN102" s="64" t="str">
        <f>IF(ISBLANK(Table_SiteMilestoneTracking[[#This Row],[SiteReadyForPower_AC]])=FALSE,Table_SiteMilestoneTracking[[#This Row],[SiteReadyForPower_AC]]-Table_SiteMilestoneTracking[[#This Row],[SiteReadyForCW_AC]],"-")</f>
        <v>-</v>
      </c>
      <c r="AO102" s="64">
        <f t="shared" si="15"/>
        <v>500</v>
      </c>
      <c r="AP102" s="82"/>
      <c r="AQ102" s="63">
        <f>Table_SiteMilestoneTracking[[#This Row],[SiteReadyForPower_BL]]+t4_PowerInstallBL</f>
        <v>44055</v>
      </c>
      <c r="AR102" s="84"/>
      <c r="AS102" s="64" t="str">
        <f>IF(ISBLANK(Table_SiteMilestoneTracking[[#This Row],[TXReady_AC]])=FALSE,Table_SiteMilestoneTracking[[#This Row],[TXReady_AC]]-Table_SiteMilestoneTracking[[#This Row],[TXReady_BL]],"-")</f>
        <v>-</v>
      </c>
      <c r="AT102" s="64" t="str">
        <f>IF(ISBLANK(Table_SiteMilestoneTracking[[#This Row],[TXReady_AC]])=FALSE,Table_SiteMilestoneTracking[[#This Row],[TXReady_AC]]-Table_SiteMilestoneTracking[[#This Row],[SiteReadyForPower_AC]],"-")</f>
        <v>-</v>
      </c>
      <c r="AU102" s="64">
        <f>$AU$2</f>
        <v>500</v>
      </c>
      <c r="AV102" s="82"/>
      <c r="AW102" s="63">
        <f>Table_SiteMilestoneTracking[[#This Row],[TXReady_BL]]+t5_TxintegrationBL</f>
        <v>44062</v>
      </c>
      <c r="AX102" s="84"/>
      <c r="AY102" s="64" t="str">
        <f>IF(ISBLANK(Table_SiteMilestoneTracking[[#This Row],[SiteReadyForInstallation_AC]])=FALSE,Table_SiteMilestoneTracking[[#This Row],[SiteReadyForInstallation_AC]]-Table_SiteMilestoneTracking[[#This Row],[SiteReadyForInstallation_BL]],"-")</f>
        <v>-</v>
      </c>
      <c r="AZ102" s="64" t="str">
        <f>IF(ISBLANK(Table_SiteMilestoneTracking[[#This Row],[SiteReadyForInstallation_AC]])=FALSE,Table_SiteMilestoneTracking[[#This Row],[SiteReadyForInstallation_AC]]-Table_SiteMilestoneTracking[[#This Row],[TXReady_AC]],"-")</f>
        <v>-</v>
      </c>
      <c r="BA102" s="64">
        <f>$BA$2</f>
        <v>2500</v>
      </c>
      <c r="BB102" s="82"/>
      <c r="BC102" s="63">
        <f>Table_SiteMilestoneTracking[[#This Row],[SiteReadyForInstallation_BL]]+t6_InstallationBL</f>
        <v>44066</v>
      </c>
      <c r="BD102" s="84"/>
      <c r="BE102" s="64" t="str">
        <f>IF(ISBLANK(Table_SiteMilestoneTracking[[#This Row],[SiteReadyForIntegration_AC]])=FALSE,Table_SiteMilestoneTracking[[#This Row],[SiteReadyForIntegration_AC]]-Table_SiteMilestoneTracking[[#This Row],[SiteReadyForIntegration_BL]],"-")</f>
        <v>-</v>
      </c>
      <c r="BF102" s="64" t="str">
        <f>IF(ISBLANK(Table_SiteMilestoneTracking[[#This Row],[SiteReadyForIntegration_AC]])=FALSE,Table_SiteMilestoneTracking[[#This Row],[SiteReadyForIntegration_AC]]-Table_SiteMilestoneTracking[[#This Row],[SiteReadyForInstallation_AC]],"-")</f>
        <v>-</v>
      </c>
      <c r="BG102" s="64">
        <f>$BG$2</f>
        <v>500</v>
      </c>
      <c r="BH102" s="82"/>
      <c r="BI102" s="63">
        <f>Table_SiteMilestoneTracking[[#This Row],[SiteReadyForIntegration_BL]]+t7_IntegrationBL</f>
        <v>44070</v>
      </c>
      <c r="BJ102" s="84"/>
      <c r="BK102" s="64" t="str">
        <f>IF(ISBLANK(Table_SiteMilestoneTracking[[#This Row],[SiteOnAir_AC]])=FALSE,Table_SiteMilestoneTracking[[#This Row],[SiteOnAir_AC]]-Table_SiteMilestoneTracking[[#This Row],[SiteOnAir_BL]],"-")</f>
        <v>-</v>
      </c>
      <c r="BL102" s="64" t="str">
        <f>IF(ISBLANK(Table_SiteMilestoneTracking[[#This Row],[SiteOnAir_AC]])=FALSE,Table_SiteMilestoneTracking[[#This Row],[SiteOnAir_AC]]-Table_SiteMilestoneTracking[[#This Row],[SiteReadyForIntegration_AC]],"-")</f>
        <v>-</v>
      </c>
      <c r="BM102" s="64">
        <f>$BM$2</f>
        <v>250</v>
      </c>
      <c r="BN102" s="82"/>
      <c r="BO102" s="63">
        <f>Table_SiteMilestoneTracking[[#This Row],[SiteOnAir_BL]]+t8_AcceptanceBL</f>
        <v>44074</v>
      </c>
      <c r="BP102" s="84"/>
      <c r="BQ102" s="64" t="str">
        <f>IF(ISBLANK(Table_SiteMilestoneTracking[[#This Row],[SiteAccepted_AC]])=FALSE,Table_SiteMilestoneTracking[[#This Row],[SiteAccepted_AC]]-Table_SiteMilestoneTracking[[#This Row],[SiteAccepted_BL]],"-")</f>
        <v>-</v>
      </c>
      <c r="BR102" s="64" t="str">
        <f>IF(ISBLANK(Table_SiteMilestoneTracking[[#This Row],[SiteAccepted_AC]])=FALSE,Table_SiteMilestoneTracking[[#This Row],[SiteAccepted_AC]]-Table_SiteMilestoneTracking[[#This Row],[SiteOnAir_AC]],"-")</f>
        <v>-</v>
      </c>
      <c r="BS102" s="64">
        <f>$BS$2</f>
        <v>200</v>
      </c>
      <c r="BT102" s="82"/>
      <c r="BU102" s="63">
        <f>Table_SiteMilestoneTracking[[#This Row],[SiteAccepted_BL]]+t9_HandoverBL</f>
        <v>44082</v>
      </c>
      <c r="BV102" s="84"/>
      <c r="BW102" s="64" t="str">
        <f>IF(ISBLANK(Table_SiteMilestoneTracking[[#This Row],[SiteInOperations_AC]])=FALSE,Table_SiteMilestoneTracking[[#This Row],[SiteInOperations_AC]]-Table_SiteMilestoneTracking[[#This Row],[SiteInOperations_BL]],"-")</f>
        <v>-</v>
      </c>
      <c r="BX102" s="66">
        <f>Table_SiteMilestoneTracking[[#This Row],[SiteInOperations_BL]]-Table_SiteMilestoneTracking[[#This Row],[SiteDesignReady_BL]]</f>
        <v>55</v>
      </c>
      <c r="BY102" s="66" t="str">
        <f>IF(Table_SiteMilestoneTracking[[#This Row],[CurrentSiteMilestone]]="SiteInOperations",Table_SiteMilestoneTracking[[#This Row],[SiteInOperations_AC]]-Table_SiteMilestoneTracking[[#This Row],[SiteDesignReady_AC]],"")</f>
        <v/>
      </c>
      <c r="BZ102" s="66" t="str">
        <f>IFERROR(Table_SiteMilestoneTracking[[#This Row],[E2E_Site_AC]]-Table_SiteMilestoneTracking[[#This Row],[E2E_Site_BL]],"")</f>
        <v/>
      </c>
      <c r="CA102" s="66" t="str">
        <f>IF(Table_SiteMilestoneTracking[[#This Row],[CurrentSiteMilestone]]="SiteInOperations",Table_SiteMilestoneTracking[[#This Row],[SiteInOperations_AC]]-Table_SiteMilestoneTracking[[#This Row],[SiteAccepted_AC]],"")</f>
        <v/>
      </c>
      <c r="CB102" s="79"/>
      <c r="CC102" s="89"/>
      <c r="CD102" s="89"/>
      <c r="CE102" s="70"/>
      <c r="CF102" s="70"/>
      <c r="CG102" s="70"/>
      <c r="CH102" s="70"/>
      <c r="CI102" s="70"/>
      <c r="CJ102" s="70"/>
      <c r="CK102" s="70"/>
      <c r="CL102" s="70"/>
      <c r="CM102" s="70"/>
      <c r="CN102" s="70"/>
      <c r="CO102" s="70"/>
      <c r="CP102" s="70"/>
      <c r="CQ102" s="70"/>
      <c r="CR102" s="70"/>
      <c r="CS102" s="70"/>
      <c r="CT102" s="70"/>
      <c r="CU102" s="70"/>
      <c r="CV102" s="70"/>
      <c r="CW102" s="70"/>
      <c r="CX102" s="70"/>
      <c r="CY102" s="70"/>
      <c r="CZ102" s="70"/>
      <c r="DA102" s="70"/>
      <c r="DB102" s="70"/>
      <c r="DC102" s="70"/>
      <c r="DD102" s="70"/>
      <c r="DE102" s="70"/>
      <c r="DF102" s="70"/>
      <c r="DG102" s="70"/>
      <c r="DH102" s="70"/>
      <c r="DI102" s="70"/>
      <c r="DJ102" s="70"/>
      <c r="DK102" s="70"/>
      <c r="DL102" s="70"/>
      <c r="DM102" s="70"/>
      <c r="DN102" s="70"/>
      <c r="DO102" s="70"/>
      <c r="DP102" s="70"/>
      <c r="DQ102" s="70"/>
      <c r="DR102" s="70"/>
      <c r="DS102" s="70"/>
      <c r="DT102" s="70"/>
      <c r="DU102" s="70"/>
      <c r="DV102" s="70"/>
    </row>
    <row r="103" spans="1:127" x14ac:dyDescent="0.3">
      <c r="A103" s="79" t="str">
        <f>'4. Design Tracking Summary'!A104</f>
        <v>AP00017</v>
      </c>
      <c r="B103" s="79" t="str">
        <f>'4. Design Tracking Summary'!B104</f>
        <v>Center</v>
      </c>
      <c r="C103" s="79" t="str">
        <f>'4. Design Tracking Summary'!C104</f>
        <v>MTY</v>
      </c>
      <c r="D103" s="79" t="str">
        <f>'4. Design Tracking Summary'!D104</f>
        <v>MINI</v>
      </c>
      <c r="E103" s="79" t="s">
        <v>58</v>
      </c>
      <c r="F103" s="79"/>
      <c r="G103" s="60" t="str">
        <f>IFERROR(INDEX(Table_SiteMilestonesNames[SiteMilestoneName],COUNTA(Table_SiteMilestoneTracking[[#This Row],[SiteDesignStarted_AC]],Table_SiteMilestoneTracking[[#This Row],[SiteDesignReady_AC]],Table_SiteMilestoneTracking[[#This Row],[SiteSurveyCompleted_AC]],Table_SiteMilestoneTracking[[#This Row],[SiteAcquired_AC]],Table_SiteMilestoneTracking[[#This Row],[SiteReadyForCW_AC]],Table_SiteMilestoneTracking[[#This Row],[SiteReadyForPower_AC]],Table_SiteMilestoneTracking[[#This Row],[TXReady_AC]],Table_SiteMilestoneTracking[[#This Row],[SiteReadyForInstallation_AC]],Table_SiteMilestoneTracking[[#This Row],[SiteReadyForIntegration_AC]],Table_SiteMilestoneTracking[[#This Row],[SiteOnAir_AC]],Table_SiteMilestoneTracking[[#This Row],[SiteAccepted_AC]],Table_SiteMilestoneTracking[[#This Row],[SiteInOperations_AC]])+1),"Invalid Milestone")</f>
        <v>SiteDesignNotStarted</v>
      </c>
      <c r="H103" s="61">
        <f>Table_SiteMilestoneTracking[[#This Row],[c0_SiteDesignCostBL]]+Table_SiteMilestoneTracking[[#This Row],[c1_SiteSurveyCostBL]]+Table_SiteMilestoneTracking[[#This Row],[c2_SiteAcquisitionCostBL]]+Table_SiteMilestoneTracking[[#This Row],[c3_CivilWorksCostBL]]+Table_SiteMilestoneTracking[[#This Row],[c4_PowerInstallCostBL]]+Table_SiteMilestoneTracking[[#This Row],[c5_TxintegrationCostBL]]+Table_SiteMilestoneTracking[[#This Row],[c6_InstallationCostBL]]+Table_SiteMilestoneTracking[[#This Row],[c7_IntegrationCostBL]]+Table_SiteMilestoneTracking[[#This Row],[c8_AcceptanceCostBL]]+Table_SiteMilestoneTracking[[#This Row],[c9_HandoverCostBL]]</f>
        <v>7550</v>
      </c>
      <c r="I103" s="62">
        <f>Table_SiteMilestoneTracking[[#This Row],[c0_SiteDesignCostAC]]+Table_SiteMilestoneTracking[[#This Row],[c1_SiteSurveyCostAC]]+Table_SiteMilestoneTracking[[#This Row],[c2_SiteAcquisitionCostAC]]+Table_SiteMilestoneTracking[[#This Row],[c3_CivilWorksCostAC]]+Table_SiteMilestoneTracking[[#This Row],[c4_PowerInstallCostAC]]+Table_SiteMilestoneTracking[[#This Row],[c5_TxintegrationCostAC]]+Table_SiteMilestoneTracking[[#This Row],[c6_InstallationCostAC]]+Table_SiteMilestoneTracking[[#This Row],[c7_IntegrationCostAC]]+Table_SiteMilestoneTracking[[#This Row],[c8_AcceptanceCostAC]]+Table_SiteMilestoneTracking[[#This Row],[c9_HandoverCostAC]]</f>
        <v>0</v>
      </c>
      <c r="J103" s="84">
        <v>44025</v>
      </c>
      <c r="K103" s="84"/>
      <c r="L103" s="64" t="str">
        <f>IF(ISBLANK(Table_SiteMilestoneTracking[[#This Row],[SiteDesignStarted_AC]])=FALSE,Table_SiteMilestoneTracking[[#This Row],[SiteDesignStarted_AC]]-Table_SiteMilestoneTracking[[#This Row],[SiteDesignStarted_BL]],"")</f>
        <v/>
      </c>
      <c r="M103" s="64">
        <f t="shared" si="11"/>
        <v>500</v>
      </c>
      <c r="N103" s="87"/>
      <c r="O103" s="63">
        <f>Table_SiteMilestoneTracking[[#This Row],[SiteDesignStarted_BL]]+t0_SiteDesignDelayBL</f>
        <v>44027</v>
      </c>
      <c r="P103" s="84"/>
      <c r="Q103" s="64" t="str">
        <f>IF(ISBLANK(Table_SiteMilestoneTracking[[#This Row],[SiteDesignReady_AC]])=FALSE,Table_SiteMilestoneTracking[[#This Row],[SiteDesignReady_AC]]-Table_SiteMilestoneTracking[[#This Row],[SiteDesignReady_BL]],"-")</f>
        <v>-</v>
      </c>
      <c r="R103" s="64">
        <f t="shared" si="16"/>
        <v>500</v>
      </c>
      <c r="S103" s="82"/>
      <c r="T103" s="63">
        <f>Table_SiteMilestoneTracking[[#This Row],[SiteDesignReady_BL]]+t1_SiteSurveyBL</f>
        <v>44029</v>
      </c>
      <c r="U103" s="84"/>
      <c r="V103" s="64" t="str">
        <f>IF(ISBLANK(Table_SiteMilestoneTracking[[#This Row],[SiteSurveyCompleted_AC]])=FALSE,Table_SiteMilestoneTracking[[#This Row],[SiteSurveyCompleted_AC]]-Table_SiteMilestoneTracking[[#This Row],[SiteDesignReady_AC]],"-")</f>
        <v>-</v>
      </c>
      <c r="W103" s="64">
        <f t="shared" si="12"/>
        <v>600</v>
      </c>
      <c r="X103" s="82"/>
      <c r="Y103" s="63">
        <f>Table_SiteMilestoneTracking[[#This Row],[SiteSurveyCompleted_BL]]+t2_SiteAcquisitionBL</f>
        <v>44040</v>
      </c>
      <c r="Z103" s="84"/>
      <c r="AA103" s="65" t="str">
        <f>IF(ISBLANK(Table_SiteMilestoneTracking[[#This Row],[SiteAcquired_AC]])=FALSE,Table_SiteMilestoneTracking[[#This Row],[SiteAcquired_AC]]-Table_SiteMilestoneTracking[[#This Row],[SiteAcquired_BL]],"-")</f>
        <v>-</v>
      </c>
      <c r="AB103" s="65" t="str">
        <f>IF(ISBLANK(Table_SiteMilestoneTracking[[#This Row],[SiteAcquired_AC]])=FALSE,Table_SiteMilestoneTracking[[#This Row],[SiteAcquired_AC]]-Table_SiteMilestoneTracking[[#This Row],[SiteSurveyCompleted_AC]],"-")</f>
        <v>-</v>
      </c>
      <c r="AC103" s="64">
        <f t="shared" si="13"/>
        <v>150</v>
      </c>
      <c r="AD103" s="82"/>
      <c r="AE103" s="63">
        <f>Table_SiteMilestoneTracking[[#This Row],[SiteAcquired_BL]]+t2a_SiteCWReadinessBL</f>
        <v>44042</v>
      </c>
      <c r="AF103" s="84"/>
      <c r="AG103" s="66" t="str">
        <f>IF(ISBLANK(Table_SiteMilestoneTracking[[#This Row],[SiteReadyForCW_AC]])=FALSE,Table_SiteMilestoneTracking[[#This Row],[SiteReadyForCW_AC]]-Table_SiteMilestoneTracking[[#This Row],[SiteReadyForCW_BL]],"-")</f>
        <v>-</v>
      </c>
      <c r="AH103" s="66" t="str">
        <f>IF(ISBLANK(Table_SiteMilestoneTracking[[#This Row],[SiteReadyForCW_AC]])=FALSE,Table_SiteMilestoneTracking[[#This Row],[SiteReadyForCW_AC]]-Table_SiteMilestoneTracking[[#This Row],[SiteDesignReady_AC]],"-")</f>
        <v>-</v>
      </c>
      <c r="AI103" s="64">
        <f t="shared" si="14"/>
        <v>1500</v>
      </c>
      <c r="AJ103" s="82"/>
      <c r="AK103" s="63">
        <f>Table_SiteMilestoneTracking[[#This Row],[SiteReadyForCW_BL]]+t3_CivilWorksBL</f>
        <v>44050</v>
      </c>
      <c r="AL103" s="84"/>
      <c r="AM103" s="64" t="str">
        <f>IF(ISBLANK(Table_SiteMilestoneTracking[[#This Row],[SiteReadyForPower_AC]])=FALSE,Table_SiteMilestoneTracking[[#This Row],[SiteReadyForPower_AC]]-Table_SiteMilestoneTracking[[#This Row],[SiteReadyForPower_BL]],"-")</f>
        <v>-</v>
      </c>
      <c r="AN103" s="64" t="str">
        <f>IF(ISBLANK(Table_SiteMilestoneTracking[[#This Row],[SiteReadyForPower_AC]])=FALSE,Table_SiteMilestoneTracking[[#This Row],[SiteReadyForPower_AC]]-Table_SiteMilestoneTracking[[#This Row],[SiteReadyForCW_AC]],"-")</f>
        <v>-</v>
      </c>
      <c r="AO103" s="64">
        <f t="shared" si="15"/>
        <v>500</v>
      </c>
      <c r="AP103" s="82"/>
      <c r="AQ103" s="63">
        <f>Table_SiteMilestoneTracking[[#This Row],[SiteReadyForPower_BL]]+t4_PowerInstallBL</f>
        <v>44055</v>
      </c>
      <c r="AR103" s="84"/>
      <c r="AS103" s="64" t="str">
        <f>IF(ISBLANK(Table_SiteMilestoneTracking[[#This Row],[TXReady_AC]])=FALSE,Table_SiteMilestoneTracking[[#This Row],[TXReady_AC]]-Table_SiteMilestoneTracking[[#This Row],[TXReady_BL]],"-")</f>
        <v>-</v>
      </c>
      <c r="AT103" s="64" t="str">
        <f>IF(ISBLANK(Table_SiteMilestoneTracking[[#This Row],[TXReady_AC]])=FALSE,Table_SiteMilestoneTracking[[#This Row],[TXReady_AC]]-Table_SiteMilestoneTracking[[#This Row],[SiteReadyForPower_AC]],"-")</f>
        <v>-</v>
      </c>
      <c r="AU103" s="64">
        <f>$AU$2</f>
        <v>500</v>
      </c>
      <c r="AV103" s="82"/>
      <c r="AW103" s="63">
        <f>Table_SiteMilestoneTracking[[#This Row],[TXReady_BL]]+t5_TxintegrationBL</f>
        <v>44062</v>
      </c>
      <c r="AX103" s="84"/>
      <c r="AY103" s="64" t="str">
        <f>IF(ISBLANK(Table_SiteMilestoneTracking[[#This Row],[SiteReadyForInstallation_AC]])=FALSE,Table_SiteMilestoneTracking[[#This Row],[SiteReadyForInstallation_AC]]-Table_SiteMilestoneTracking[[#This Row],[SiteReadyForInstallation_BL]],"-")</f>
        <v>-</v>
      </c>
      <c r="AZ103" s="64" t="str">
        <f>IF(ISBLANK(Table_SiteMilestoneTracking[[#This Row],[SiteReadyForInstallation_AC]])=FALSE,Table_SiteMilestoneTracking[[#This Row],[SiteReadyForInstallation_AC]]-Table_SiteMilestoneTracking[[#This Row],[TXReady_AC]],"-")</f>
        <v>-</v>
      </c>
      <c r="BA103" s="64">
        <f>$BA$2</f>
        <v>2500</v>
      </c>
      <c r="BB103" s="82"/>
      <c r="BC103" s="63">
        <f>Table_SiteMilestoneTracking[[#This Row],[SiteReadyForInstallation_BL]]+t6_InstallationBL</f>
        <v>44066</v>
      </c>
      <c r="BD103" s="84"/>
      <c r="BE103" s="64" t="str">
        <f>IF(ISBLANK(Table_SiteMilestoneTracking[[#This Row],[SiteReadyForIntegration_AC]])=FALSE,Table_SiteMilestoneTracking[[#This Row],[SiteReadyForIntegration_AC]]-Table_SiteMilestoneTracking[[#This Row],[SiteReadyForIntegration_BL]],"-")</f>
        <v>-</v>
      </c>
      <c r="BF103" s="64" t="str">
        <f>IF(ISBLANK(Table_SiteMilestoneTracking[[#This Row],[SiteReadyForIntegration_AC]])=FALSE,Table_SiteMilestoneTracking[[#This Row],[SiteReadyForIntegration_AC]]-Table_SiteMilestoneTracking[[#This Row],[SiteReadyForInstallation_AC]],"-")</f>
        <v>-</v>
      </c>
      <c r="BG103" s="64">
        <f>$BG$2</f>
        <v>500</v>
      </c>
      <c r="BH103" s="82"/>
      <c r="BI103" s="63">
        <f>Table_SiteMilestoneTracking[[#This Row],[SiteReadyForIntegration_BL]]+t7_IntegrationBL</f>
        <v>44070</v>
      </c>
      <c r="BJ103" s="84"/>
      <c r="BK103" s="64" t="str">
        <f>IF(ISBLANK(Table_SiteMilestoneTracking[[#This Row],[SiteOnAir_AC]])=FALSE,Table_SiteMilestoneTracking[[#This Row],[SiteOnAir_AC]]-Table_SiteMilestoneTracking[[#This Row],[SiteOnAir_BL]],"-")</f>
        <v>-</v>
      </c>
      <c r="BL103" s="64" t="str">
        <f>IF(ISBLANK(Table_SiteMilestoneTracking[[#This Row],[SiteOnAir_AC]])=FALSE,Table_SiteMilestoneTracking[[#This Row],[SiteOnAir_AC]]-Table_SiteMilestoneTracking[[#This Row],[SiteReadyForIntegration_AC]],"-")</f>
        <v>-</v>
      </c>
      <c r="BM103" s="64">
        <f>$BM$2</f>
        <v>250</v>
      </c>
      <c r="BN103" s="82"/>
      <c r="BO103" s="63">
        <f>Table_SiteMilestoneTracking[[#This Row],[SiteOnAir_BL]]+t8_AcceptanceBL</f>
        <v>44074</v>
      </c>
      <c r="BP103" s="84"/>
      <c r="BQ103" s="64" t="str">
        <f>IF(ISBLANK(Table_SiteMilestoneTracking[[#This Row],[SiteAccepted_AC]])=FALSE,Table_SiteMilestoneTracking[[#This Row],[SiteAccepted_AC]]-Table_SiteMilestoneTracking[[#This Row],[SiteAccepted_BL]],"-")</f>
        <v>-</v>
      </c>
      <c r="BR103" s="64" t="str">
        <f>IF(ISBLANK(Table_SiteMilestoneTracking[[#This Row],[SiteAccepted_AC]])=FALSE,Table_SiteMilestoneTracking[[#This Row],[SiteAccepted_AC]]-Table_SiteMilestoneTracking[[#This Row],[SiteOnAir_AC]],"-")</f>
        <v>-</v>
      </c>
      <c r="BS103" s="64">
        <f>$BS$2</f>
        <v>200</v>
      </c>
      <c r="BT103" s="82"/>
      <c r="BU103" s="63">
        <f>Table_SiteMilestoneTracking[[#This Row],[SiteAccepted_BL]]+t9_HandoverBL</f>
        <v>44082</v>
      </c>
      <c r="BV103" s="84"/>
      <c r="BW103" s="64" t="str">
        <f>IF(ISBLANK(Table_SiteMilestoneTracking[[#This Row],[SiteInOperations_AC]])=FALSE,Table_SiteMilestoneTracking[[#This Row],[SiteInOperations_AC]]-Table_SiteMilestoneTracking[[#This Row],[SiteInOperations_BL]],"-")</f>
        <v>-</v>
      </c>
      <c r="BX103" s="66">
        <f>Table_SiteMilestoneTracking[[#This Row],[SiteInOperations_BL]]-Table_SiteMilestoneTracking[[#This Row],[SiteDesignReady_BL]]</f>
        <v>55</v>
      </c>
      <c r="BY103" s="66" t="str">
        <f>IF(Table_SiteMilestoneTracking[[#This Row],[CurrentSiteMilestone]]="SiteInOperations",Table_SiteMilestoneTracking[[#This Row],[SiteInOperations_AC]]-Table_SiteMilestoneTracking[[#This Row],[SiteDesignReady_AC]],"")</f>
        <v/>
      </c>
      <c r="BZ103" s="66" t="str">
        <f>IFERROR(Table_SiteMilestoneTracking[[#This Row],[E2E_Site_AC]]-Table_SiteMilestoneTracking[[#This Row],[E2E_Site_BL]],"")</f>
        <v/>
      </c>
      <c r="CA103" s="66" t="str">
        <f>IF(Table_SiteMilestoneTracking[[#This Row],[CurrentSiteMilestone]]="SiteInOperations",Table_SiteMilestoneTracking[[#This Row],[SiteInOperations_AC]]-Table_SiteMilestoneTracking[[#This Row],[SiteAccepted_AC]],"")</f>
        <v/>
      </c>
      <c r="CB103" s="79"/>
      <c r="CC103" s="89"/>
      <c r="CD103" s="89"/>
      <c r="CE103" s="70"/>
      <c r="CF103" s="70"/>
      <c r="CG103" s="70"/>
      <c r="CH103" s="70"/>
      <c r="CI103" s="70"/>
      <c r="CJ103" s="70"/>
      <c r="CK103" s="70"/>
      <c r="CL103" s="70"/>
      <c r="CM103" s="70"/>
      <c r="CN103" s="70"/>
      <c r="CO103" s="70"/>
      <c r="CP103" s="70"/>
      <c r="CQ103" s="70"/>
      <c r="CR103" s="70"/>
      <c r="CS103" s="70"/>
      <c r="CT103" s="70"/>
      <c r="CU103" s="70"/>
      <c r="CV103" s="70"/>
      <c r="CW103" s="70"/>
      <c r="CX103" s="70"/>
      <c r="CY103" s="70"/>
      <c r="CZ103" s="70"/>
      <c r="DA103" s="70"/>
      <c r="DB103" s="70"/>
      <c r="DC103" s="70"/>
      <c r="DD103" s="70"/>
      <c r="DE103" s="70"/>
      <c r="DF103" s="70"/>
      <c r="DG103" s="70"/>
      <c r="DH103" s="70"/>
      <c r="DI103" s="70"/>
      <c r="DJ103" s="70"/>
      <c r="DK103" s="70"/>
      <c r="DL103" s="70"/>
      <c r="DM103" s="70"/>
      <c r="DN103" s="70"/>
      <c r="DO103" s="70"/>
      <c r="DP103" s="70"/>
      <c r="DQ103" s="70"/>
      <c r="DR103" s="70"/>
      <c r="DS103" s="70"/>
      <c r="DT103" s="70"/>
      <c r="DU103" s="70"/>
      <c r="DV103" s="70"/>
    </row>
    <row r="104" spans="1:127" x14ac:dyDescent="0.3">
      <c r="A104" s="89"/>
      <c r="B104" s="89"/>
      <c r="C104" s="89"/>
      <c r="D104" s="89"/>
      <c r="E104" s="89"/>
      <c r="F104" s="89"/>
      <c r="G104" s="89"/>
      <c r="H104" s="89"/>
      <c r="I104" s="89"/>
      <c r="J104" s="89"/>
      <c r="K104" s="89"/>
      <c r="L104" s="89"/>
      <c r="M104" s="89"/>
      <c r="N104" s="89"/>
      <c r="O104" s="89"/>
      <c r="P104" s="89"/>
      <c r="Q104" s="89"/>
      <c r="R104" s="89"/>
      <c r="S104" s="89"/>
      <c r="T104" s="89"/>
      <c r="U104" s="89"/>
      <c r="V104" s="89"/>
      <c r="W104" s="89"/>
      <c r="X104" s="89"/>
      <c r="Y104" s="89"/>
      <c r="Z104" s="89"/>
      <c r="AA104" s="89"/>
      <c r="AB104" s="89"/>
      <c r="AC104" s="89"/>
      <c r="AD104" s="89"/>
      <c r="AE104" s="89"/>
      <c r="AF104" s="89"/>
      <c r="AG104" s="89"/>
      <c r="AH104" s="89"/>
      <c r="AI104" s="89"/>
      <c r="AJ104" s="89"/>
      <c r="AK104" s="89"/>
      <c r="AL104" s="89"/>
      <c r="AM104" s="89"/>
      <c r="AN104" s="89"/>
      <c r="AO104" s="89"/>
      <c r="AP104" s="89"/>
      <c r="AQ104" s="89"/>
      <c r="AR104" s="89"/>
      <c r="AS104" s="89"/>
      <c r="AT104" s="89"/>
      <c r="AU104" s="89"/>
      <c r="AV104" s="89"/>
      <c r="AW104" s="89"/>
      <c r="AX104" s="89"/>
      <c r="AY104" s="89"/>
      <c r="AZ104" s="89"/>
      <c r="BA104" s="89"/>
      <c r="BB104" s="89"/>
      <c r="BC104" s="89"/>
      <c r="BD104" s="89"/>
      <c r="BE104" s="89"/>
      <c r="BF104" s="89"/>
      <c r="BG104" s="89"/>
      <c r="BH104" s="89"/>
      <c r="BI104" s="89"/>
      <c r="BJ104" s="89"/>
      <c r="BK104" s="89"/>
      <c r="BL104" s="89"/>
      <c r="BM104" s="89"/>
      <c r="BN104" s="89"/>
      <c r="BO104" s="89"/>
      <c r="BP104" s="89"/>
      <c r="BQ104" s="89"/>
      <c r="BR104" s="89"/>
      <c r="BS104" s="89"/>
      <c r="BT104" s="89"/>
      <c r="BU104" s="89"/>
      <c r="BV104" s="89"/>
      <c r="BW104" s="89"/>
      <c r="BX104" s="89"/>
      <c r="BY104" s="89"/>
      <c r="BZ104" s="89"/>
      <c r="CA104" s="89"/>
      <c r="CB104" s="89"/>
      <c r="CC104" s="89"/>
      <c r="CD104" s="89"/>
      <c r="CE104" s="89"/>
      <c r="CF104" s="70"/>
      <c r="CG104" s="70"/>
      <c r="CH104" s="70"/>
      <c r="CI104" s="70"/>
      <c r="CJ104" s="70"/>
      <c r="CK104" s="70"/>
      <c r="CL104" s="70"/>
      <c r="CM104" s="70"/>
      <c r="CN104" s="70"/>
      <c r="CO104" s="70"/>
      <c r="CP104" s="70"/>
      <c r="CQ104" s="70"/>
      <c r="CR104" s="70"/>
      <c r="CS104" s="70"/>
      <c r="CT104" s="70"/>
      <c r="CU104" s="70"/>
      <c r="CV104" s="70"/>
      <c r="CW104" s="70"/>
      <c r="CX104" s="70"/>
      <c r="CY104" s="70"/>
      <c r="CZ104" s="70"/>
      <c r="DA104" s="70"/>
      <c r="DB104" s="70"/>
      <c r="DC104" s="70"/>
      <c r="DD104" s="70"/>
      <c r="DE104" s="70"/>
      <c r="DF104" s="70"/>
      <c r="DG104" s="70"/>
      <c r="DH104" s="70"/>
      <c r="DI104" s="70"/>
      <c r="DJ104" s="70"/>
      <c r="DK104" s="70"/>
      <c r="DL104" s="70"/>
      <c r="DM104" s="70"/>
      <c r="DN104" s="70"/>
      <c r="DO104" s="70"/>
      <c r="DP104" s="70"/>
      <c r="DQ104" s="70"/>
      <c r="DR104" s="70"/>
      <c r="DS104" s="70"/>
      <c r="DT104" s="70"/>
      <c r="DU104" s="70"/>
      <c r="DV104" s="70"/>
      <c r="DW104" s="70"/>
    </row>
    <row r="105" spans="1:127" x14ac:dyDescent="0.3">
      <c r="K105" s="107"/>
      <c r="L105" s="107"/>
    </row>
  </sheetData>
  <sheetProtection sheet="1" objects="1" scenarios="1"/>
  <mergeCells count="12">
    <mergeCell ref="BM1:BR1"/>
    <mergeCell ref="AQ1:AV1"/>
    <mergeCell ref="AW1:BB1"/>
    <mergeCell ref="BC1:BL1"/>
    <mergeCell ref="BT1:BY1"/>
    <mergeCell ref="A1:F2"/>
    <mergeCell ref="H1:I2"/>
    <mergeCell ref="J1:P1"/>
    <mergeCell ref="R1:V1"/>
    <mergeCell ref="W1:AB1"/>
    <mergeCell ref="AC1:AJ1"/>
    <mergeCell ref="AK1:AP1"/>
  </mergeCells>
  <phoneticPr fontId="8" type="noConversion"/>
  <pageMargins left="0.7" right="0.7" top="0.75" bottom="0.75" header="0.3" footer="0.3"/>
  <pageSetup orientation="portrait" r:id="rId1"/>
  <ignoredErrors>
    <ignoredError sqref="V4" calculatedColumn="1"/>
    <ignoredError sqref="A4" unlockedFormula="1"/>
  </ignoredErrors>
  <legacyDrawing r:id="rId2"/>
  <tableParts count="1">
    <tablePart r:id="rId3"/>
  </tableParts>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C293D9-8926-4A19-AE12-8DFE791DAF2B}">
  <dimension ref="A1:DU44"/>
  <sheetViews>
    <sheetView tabSelected="1" zoomScale="80" zoomScaleNormal="80" workbookViewId="0">
      <pane xSplit="2" ySplit="3" topLeftCell="H4" activePane="bottomRight" state="frozen"/>
      <selection pane="topRight" activeCell="C1" sqref="C1"/>
      <selection pane="bottomLeft" activeCell="A4" sqref="A4"/>
      <selection pane="bottomRight" activeCell="L22" sqref="L22"/>
    </sheetView>
  </sheetViews>
  <sheetFormatPr defaultColWidth="8.88671875" defaultRowHeight="14.4" outlineLevelRow="1" x14ac:dyDescent="0.3"/>
  <cols>
    <col min="3" max="3" width="11.44140625" customWidth="1"/>
    <col min="4" max="4" width="11.44140625" bestFit="1" customWidth="1"/>
    <col min="5" max="5" width="22.44140625" bestFit="1" customWidth="1"/>
    <col min="6" max="6" width="28.44140625" bestFit="1" customWidth="1"/>
    <col min="7" max="7" width="22.88671875" bestFit="1" customWidth="1"/>
    <col min="8" max="8" width="28.88671875" bestFit="1" customWidth="1"/>
    <col min="9" max="9" width="18" bestFit="1" customWidth="1"/>
    <col min="10" max="10" width="24" bestFit="1" customWidth="1"/>
    <col min="11" max="11" width="21.6640625" bestFit="1" customWidth="1"/>
    <col min="12" max="12" width="27.5546875" bestFit="1" customWidth="1"/>
    <col min="13" max="13" width="22.109375" bestFit="1" customWidth="1"/>
    <col min="14" max="14" width="28.109375" bestFit="1" customWidth="1"/>
    <col min="15" max="15" width="21.44140625" bestFit="1" customWidth="1"/>
    <col min="16" max="16" width="27.33203125" bestFit="1" customWidth="1"/>
    <col min="17" max="17" width="21.88671875" bestFit="1" customWidth="1"/>
    <col min="18" max="18" width="27.88671875" bestFit="1" customWidth="1"/>
    <col min="19" max="28" width="27.88671875" customWidth="1"/>
    <col min="29" max="29" width="22.109375" bestFit="1" customWidth="1"/>
    <col min="30" max="30" width="28.109375" bestFit="1" customWidth="1"/>
    <col min="31" max="46" width="27.88671875" customWidth="1"/>
    <col min="47" max="47" width="17.88671875" bestFit="1" customWidth="1"/>
    <col min="48" max="48" width="23.88671875" bestFit="1" customWidth="1"/>
    <col min="49" max="49" width="18.33203125" bestFit="1" customWidth="1"/>
    <col min="50" max="50" width="24.33203125" bestFit="1" customWidth="1"/>
    <col min="51" max="56" width="24.33203125" customWidth="1"/>
    <col min="57" max="57" width="20.5546875" bestFit="1" customWidth="1"/>
    <col min="58" max="58" width="26.44140625" bestFit="1" customWidth="1"/>
    <col min="59" max="59" width="21" bestFit="1" customWidth="1"/>
    <col min="60" max="60" width="26.88671875" bestFit="1" customWidth="1"/>
    <col min="61" max="66" width="26.88671875" customWidth="1"/>
    <col min="67" max="67" width="13.88671875" bestFit="1" customWidth="1"/>
    <col min="68" max="68" width="19.88671875" bestFit="1" customWidth="1"/>
    <col min="69" max="69" width="14.33203125" bestFit="1" customWidth="1"/>
    <col min="70" max="70" width="20.33203125" bestFit="1" customWidth="1"/>
    <col min="71" max="74" width="20.33203125" customWidth="1"/>
    <col min="75" max="75" width="29.5546875" customWidth="1"/>
    <col min="76" max="76" width="30.6640625" customWidth="1"/>
    <col min="77" max="77" width="26.33203125" customWidth="1"/>
    <col min="78" max="78" width="31.6640625" customWidth="1"/>
    <col min="79" max="79" width="20.6640625" bestFit="1" customWidth="1"/>
    <col min="80" max="80" width="26.5546875" bestFit="1" customWidth="1"/>
    <col min="81" max="86" width="26.5546875" customWidth="1"/>
    <col min="87" max="87" width="24.88671875" bestFit="1" customWidth="1"/>
    <col min="88" max="88" width="30.6640625" bestFit="1" customWidth="1"/>
    <col min="89" max="89" width="25.33203125" bestFit="1" customWidth="1"/>
    <col min="90" max="90" width="31.109375" bestFit="1" customWidth="1"/>
    <col min="91" max="96" width="31.109375" customWidth="1"/>
    <col min="97" max="97" width="14.88671875" bestFit="1" customWidth="1"/>
    <col min="98" max="98" width="20.88671875" bestFit="1" customWidth="1"/>
    <col min="99" max="99" width="15.44140625" bestFit="1" customWidth="1"/>
    <col min="100" max="100" width="21.33203125" bestFit="1" customWidth="1"/>
    <col min="101" max="106" width="21.33203125" customWidth="1"/>
    <col min="107" max="107" width="17.5546875" bestFit="1" customWidth="1"/>
    <col min="108" max="108" width="23.44140625" bestFit="1" customWidth="1"/>
    <col min="109" max="109" width="18" bestFit="1" customWidth="1"/>
    <col min="110" max="110" width="24" bestFit="1" customWidth="1"/>
    <col min="111" max="116" width="24" customWidth="1"/>
    <col min="117" max="117" width="21.5546875" bestFit="1" customWidth="1"/>
    <col min="118" max="118" width="27.44140625" bestFit="1" customWidth="1"/>
    <col min="119" max="119" width="22" bestFit="1" customWidth="1"/>
    <col min="120" max="120" width="28" bestFit="1" customWidth="1"/>
    <col min="121" max="121" width="28" customWidth="1"/>
    <col min="122" max="122" width="26.6640625" bestFit="1" customWidth="1"/>
    <col min="123" max="123" width="24.6640625" bestFit="1" customWidth="1"/>
    <col min="124" max="125" width="24.6640625" customWidth="1"/>
  </cols>
  <sheetData>
    <row r="1" spans="1:125" ht="32.25" customHeight="1" x14ac:dyDescent="0.4">
      <c r="A1" s="15" t="s">
        <v>220</v>
      </c>
      <c r="B1" s="21"/>
      <c r="C1" s="21"/>
      <c r="D1" s="21"/>
      <c r="E1" s="21"/>
      <c r="F1" s="21"/>
      <c r="G1" s="21"/>
      <c r="H1" s="21"/>
      <c r="I1" s="21"/>
      <c r="J1" s="21"/>
      <c r="K1" s="21"/>
      <c r="L1" s="21"/>
      <c r="M1" s="21"/>
      <c r="N1" s="21"/>
      <c r="O1" s="21"/>
      <c r="P1" s="21"/>
      <c r="Q1" s="21"/>
      <c r="R1" s="21"/>
      <c r="S1" s="21"/>
      <c r="T1" s="21"/>
      <c r="U1" s="21"/>
      <c r="V1" s="21"/>
      <c r="W1" s="21"/>
      <c r="X1" s="21"/>
      <c r="Y1" s="21"/>
      <c r="Z1" s="21"/>
      <c r="AA1" s="21"/>
      <c r="AB1" s="21"/>
      <c r="AC1" s="21"/>
      <c r="AD1" s="21"/>
      <c r="AE1" s="21"/>
      <c r="AF1" s="21"/>
      <c r="AG1" s="21"/>
      <c r="AH1" s="21"/>
      <c r="AI1" s="21"/>
      <c r="AJ1" s="21"/>
      <c r="AK1" s="21"/>
      <c r="AL1" s="21"/>
      <c r="AM1" s="21"/>
      <c r="AN1" s="21"/>
      <c r="AO1" s="21"/>
      <c r="AP1" s="21"/>
      <c r="AQ1" s="21"/>
      <c r="AR1" s="21"/>
      <c r="AS1" s="21"/>
      <c r="AT1" s="21"/>
      <c r="AU1" s="21"/>
      <c r="AV1" s="21"/>
      <c r="AW1" s="21"/>
      <c r="AX1" s="21"/>
      <c r="AY1" s="21"/>
      <c r="AZ1" s="21"/>
      <c r="BA1" s="21"/>
      <c r="BB1" s="21"/>
      <c r="BC1" s="21"/>
      <c r="BD1" s="21"/>
      <c r="BE1" s="21"/>
      <c r="BF1" s="21"/>
      <c r="BG1" s="21"/>
      <c r="BH1" s="21"/>
      <c r="BI1" s="21"/>
      <c r="BJ1" s="21"/>
      <c r="BK1" s="21"/>
      <c r="BL1" s="21"/>
      <c r="BM1" s="21"/>
      <c r="BN1" s="21"/>
      <c r="BO1" s="21"/>
      <c r="BP1" s="21"/>
      <c r="BQ1" s="21"/>
      <c r="BR1" s="21"/>
      <c r="BS1" s="21"/>
      <c r="BT1" s="21"/>
      <c r="BU1" s="21"/>
      <c r="BV1" s="21"/>
      <c r="BW1" s="21"/>
      <c r="BX1" s="21"/>
      <c r="BY1" s="21"/>
      <c r="BZ1" s="21"/>
      <c r="CA1" s="21"/>
      <c r="CB1" s="21"/>
      <c r="CC1" s="21"/>
      <c r="CD1" s="21"/>
      <c r="CE1" s="21"/>
      <c r="CF1" s="21"/>
      <c r="CG1" s="21"/>
      <c r="CH1" s="21"/>
      <c r="CI1" s="21"/>
      <c r="CJ1" s="21"/>
      <c r="CK1" s="21"/>
      <c r="CL1" s="21"/>
      <c r="CM1" s="21"/>
      <c r="CN1" s="21"/>
      <c r="CO1" s="21"/>
      <c r="CP1" s="21"/>
      <c r="CQ1" s="21"/>
      <c r="CR1" s="21"/>
      <c r="CS1" s="21"/>
      <c r="CT1" s="21"/>
      <c r="CU1" s="21"/>
      <c r="CV1" s="21"/>
      <c r="CW1" s="21"/>
      <c r="CX1" s="21"/>
      <c r="CY1" s="21"/>
      <c r="CZ1" s="21"/>
      <c r="DA1" s="21"/>
      <c r="DB1" s="21"/>
      <c r="DC1" s="21"/>
      <c r="DD1" s="21"/>
      <c r="DE1" s="21"/>
      <c r="DF1" s="21"/>
      <c r="DG1" s="21"/>
      <c r="DH1" s="21"/>
      <c r="DI1" s="21"/>
      <c r="DJ1" s="21"/>
      <c r="DK1" s="21"/>
      <c r="DL1" s="21"/>
      <c r="DM1" s="21"/>
      <c r="DN1" s="21"/>
      <c r="DO1" s="21"/>
      <c r="DP1" s="21"/>
      <c r="DQ1" s="21"/>
      <c r="DR1" s="21"/>
      <c r="DS1" s="21"/>
      <c r="DT1" s="21"/>
      <c r="DU1" s="21"/>
    </row>
    <row r="2" spans="1:125" x14ac:dyDescent="0.3">
      <c r="E2" s="58">
        <f>SUBTOTAL(9,Table_SiteMilestoneTrackingSummary[SiteDesignStarted_BL])</f>
        <v>100</v>
      </c>
      <c r="F2" s="24"/>
      <c r="G2" s="58">
        <f>SUBTOTAL(9,Table_SiteMilestoneTrackingSummary[SiteDesignStarted_AC])</f>
        <v>96</v>
      </c>
      <c r="H2" s="24"/>
      <c r="I2" s="58">
        <f>INDEX(Table_CostThreePoint_Estimates[[Expected_Cost_Estimate]:[Expected_Cost_Estimate]],
MATCH(Table_SiteMilestoneTracking[[#Headers],[c7_IntegrationCostBL]],Table_CostThreePoint_Estimates[[ID]:[ID]],0))</f>
        <v>500</v>
      </c>
      <c r="J2" s="28" t="s">
        <v>560</v>
      </c>
      <c r="K2" s="28"/>
      <c r="L2" s="28" t="s">
        <v>558</v>
      </c>
      <c r="M2" s="24"/>
      <c r="N2" s="28" t="s">
        <v>557</v>
      </c>
      <c r="O2" s="58">
        <f>SUBTOTAL(9,Table_SiteMilestoneTrackingSummary[SiteDesignReady_BL])</f>
        <v>100</v>
      </c>
      <c r="Q2" s="58">
        <f>SUBTOTAL(9,Table_SiteMilestoneTrackingSummary[SiteDesignReady_AC])</f>
        <v>90</v>
      </c>
      <c r="S2" s="58">
        <f>INDEX(Table_CostThreePoint_Estimates[[Expected_Cost_Estimate]:[Expected_Cost_Estimate]],MATCH(Table_SiteMilestoneTracking[[#Headers],[c1_SiteSurveyCostBL]],Table_CostThreePoint_Estimates[[ID]:[ID]],0))</f>
        <v>500</v>
      </c>
      <c r="T2" s="28" t="s">
        <v>560</v>
      </c>
      <c r="V2" s="1" t="s">
        <v>558</v>
      </c>
      <c r="X2" s="28" t="s">
        <v>557</v>
      </c>
      <c r="AC2" s="58">
        <f>INDEX(Table_CostThreePoint_Estimates[[Expected_Cost_Estimate]:[Expected_Cost_Estimate]],MATCH(Table_SiteMilestoneTracking[[#Headers],[c2_SiteAcquisitionCostBL]],Table_CostThreePoint_Estimates[[ID]:[ID]],0))</f>
        <v>600</v>
      </c>
      <c r="AD2" s="28" t="s">
        <v>560</v>
      </c>
      <c r="AE2" s="31"/>
      <c r="AF2" s="35" t="s">
        <v>558</v>
      </c>
      <c r="AG2" s="31"/>
      <c r="AH2" s="28" t="s">
        <v>557</v>
      </c>
      <c r="AI2" s="28"/>
      <c r="AJ2" s="28"/>
      <c r="AK2" s="28"/>
      <c r="AL2" s="28"/>
      <c r="AM2" s="58">
        <f>INDEX(Table_CostThreePoint_Estimates[[Expected_Cost_Estimate]:[Expected_Cost_Estimate]],MATCH(Table_SiteMilestoneTracking[[#Headers],[c2a_SiteCWReadinessCost_BL]],Table_CostThreePoint_Estimates[[ID]:[ID]],0))</f>
        <v>150</v>
      </c>
      <c r="AN2" s="28" t="s">
        <v>559</v>
      </c>
      <c r="AO2" s="28"/>
      <c r="AP2" s="28" t="s">
        <v>558</v>
      </c>
      <c r="AQ2" s="28"/>
      <c r="AR2" s="28" t="s">
        <v>557</v>
      </c>
      <c r="AS2" s="58">
        <f>SUBTOTAL(9,Table_SiteMilestoneTrackingSummary[ReadyForCW_BL])</f>
        <v>100</v>
      </c>
      <c r="AU2" s="58">
        <f>SUBTOTAL(9,Table_SiteMilestoneTrackingSummary[ReadyForCW_AC])</f>
        <v>80</v>
      </c>
      <c r="AW2" s="58">
        <f>INDEX(Table_CostThreePoint_Estimates[[Expected_Cost_Estimate]:[Expected_Cost_Estimate]],MATCH(Table_SiteMilestoneTracking[[#Headers],[c3_CivilWorksCostBL]],Table_CostThreePoint_Estimates[[ID]:[ID]],0))</f>
        <v>1500</v>
      </c>
      <c r="AX2" s="28" t="s">
        <v>560</v>
      </c>
      <c r="AZ2" s="1" t="s">
        <v>558</v>
      </c>
      <c r="BB2" s="1" t="s">
        <v>557</v>
      </c>
      <c r="BC2" s="58">
        <f>SUBTOTAL(9,Table_SiteMilestoneTrackingSummary[ReadyForPower_BL])</f>
        <v>100</v>
      </c>
      <c r="BE2" s="58">
        <f>SUBTOTAL(9,Table_SiteMilestoneTrackingSummary[ReadyForPower_AC])</f>
        <v>70</v>
      </c>
      <c r="BG2" s="58">
        <f>INDEX(Table_CostThreePoint_Estimates[[Expected_Cost_Estimate]:[Expected_Cost_Estimate]],
MATCH(Table_SiteMilestoneTracking[[#Headers],[c4_PowerInstallCostBL]],Table_CostThreePoint_Estimates[[ID]:[ID]],0))</f>
        <v>500</v>
      </c>
      <c r="BH2" s="28" t="s">
        <v>560</v>
      </c>
      <c r="BJ2" s="1" t="s">
        <v>558</v>
      </c>
      <c r="BL2" s="1" t="s">
        <v>557</v>
      </c>
      <c r="BM2" s="58">
        <f>SUBTOTAL(9,Table_SiteMilestoneTrackingSummary[TXReady_BL])</f>
        <v>100</v>
      </c>
      <c r="BO2" s="58">
        <f>SUBTOTAL(9,Table_SiteMilestoneTrackingSummary[TXReady_AC])</f>
        <v>60</v>
      </c>
      <c r="BQ2" s="58">
        <f>INDEX(Table_CostThreePoint_Estimates[[Expected_Cost_Estimate]:[Expected_Cost_Estimate]],
MATCH(Table_SiteMilestoneTracking[[#Headers],[c5_TxintegrationCostBL]],Table_CostThreePoint_Estimates[[ID]:[ID]],0))</f>
        <v>500</v>
      </c>
      <c r="BR2" s="28" t="s">
        <v>560</v>
      </c>
      <c r="BT2" s="1" t="s">
        <v>558</v>
      </c>
      <c r="BV2" s="1" t="s">
        <v>557</v>
      </c>
      <c r="BW2" s="58">
        <f>SUBTOTAL(9,Table_SiteMilestoneTrackingSummary[ReadyForInstallation_BL])</f>
        <v>100</v>
      </c>
      <c r="BY2" s="58">
        <f>SUBTOTAL(9,Table_SiteMilestoneTrackingSummary[ReadyForInstallation_AC])</f>
        <v>51</v>
      </c>
      <c r="CA2" s="58">
        <f>INDEX(Table_CostThreePoint_Estimates[[Expected_Cost_Estimate]:[Expected_Cost_Estimate]],
MATCH(Table_SiteMilestoneTracking[[#Headers],[c6_InstallationCostBL]],Table_CostThreePoint_Estimates[[ID]:[ID]],0))</f>
        <v>2500</v>
      </c>
      <c r="CB2" s="28" t="s">
        <v>560</v>
      </c>
      <c r="CD2" s="1" t="s">
        <v>558</v>
      </c>
      <c r="CF2" s="1" t="s">
        <v>557</v>
      </c>
      <c r="CG2" s="58">
        <f>SUBTOTAL(9,Table_SiteMilestoneTrackingSummary[ReadyForIntegration_BL])</f>
        <v>100</v>
      </c>
      <c r="CI2" s="58">
        <f>SUBTOTAL(9,Table_SiteMilestoneTrackingSummary[ReadyForIntegration_AC])</f>
        <v>40</v>
      </c>
      <c r="CK2" s="58">
        <f>INDEX(Table_CostThreePoint_Estimates[[Expected_Cost_Estimate]:[Expected_Cost_Estimate]],
MATCH(Table_SiteMilestoneTracking[[#Headers],[c7_IntegrationCostBL]],Table_CostThreePoint_Estimates[[ID]:[ID]],0))</f>
        <v>500</v>
      </c>
      <c r="CL2" s="28" t="s">
        <v>560</v>
      </c>
      <c r="CN2" s="1" t="s">
        <v>558</v>
      </c>
      <c r="CP2" s="1" t="s">
        <v>557</v>
      </c>
      <c r="CQ2" s="58">
        <f>SUBTOTAL(9,Table_SiteMilestoneTrackingSummary[SiteOnAir_BL])</f>
        <v>100</v>
      </c>
      <c r="CS2" s="58">
        <f>SUBTOTAL(9,Table_SiteMilestoneTrackingSummary[SiteOnAir_AC])</f>
        <v>30</v>
      </c>
      <c r="CU2" s="58">
        <f>INDEX(Table_CostThreePoint_Estimates[[Expected_Cost_Estimate]:[Expected_Cost_Estimate]],
MATCH(Table_SiteMilestoneTracking[[#Headers],[c8_AcceptanceCostBL]],Table_CostThreePoint_Estimates[[ID]:[ID]],0))</f>
        <v>250</v>
      </c>
      <c r="CV2" s="28" t="s">
        <v>560</v>
      </c>
      <c r="CX2" s="1" t="s">
        <v>558</v>
      </c>
      <c r="CZ2" s="1" t="s">
        <v>557</v>
      </c>
      <c r="DA2" s="58">
        <f>SUBTOTAL(9,Table_SiteMilestoneTrackingSummary[SiteAccepted_BL])</f>
        <v>100</v>
      </c>
      <c r="DC2" s="58">
        <f>SUBTOTAL(9,Table_SiteMilestoneTrackingSummary[SiteAccepted_AC])</f>
        <v>20</v>
      </c>
      <c r="DE2" s="58">
        <f>INDEX(Table_CostThreePoint_Estimates[[Expected_Cost_Estimate]:[Expected_Cost_Estimate]],
MATCH(Table_SiteMilestoneTracking[[#Headers],[c9_HandoverCostBL]],Table_CostThreePoint_Estimates[[ID]:[ID]],0))</f>
        <v>200</v>
      </c>
      <c r="DF2" s="28" t="s">
        <v>560</v>
      </c>
      <c r="DH2" s="1" t="s">
        <v>558</v>
      </c>
      <c r="DJ2" s="1" t="s">
        <v>557</v>
      </c>
      <c r="DK2" s="58">
        <f>SUBTOTAL(9,Table_SiteMilestoneTrackingSummary[SiteInOperations_BL])</f>
        <v>100</v>
      </c>
      <c r="DM2" s="58">
        <f>SUBTOTAL(9,Table_SiteMilestoneTrackingSummary[SiteInOperations_AC])</f>
        <v>10</v>
      </c>
      <c r="DO2" s="44" t="s">
        <v>405</v>
      </c>
      <c r="DP2" s="43" t="s">
        <v>403</v>
      </c>
      <c r="DQ2" s="45" t="s">
        <v>404</v>
      </c>
    </row>
    <row r="3" spans="1:125" x14ac:dyDescent="0.3">
      <c r="A3" t="s">
        <v>163</v>
      </c>
      <c r="B3" t="s">
        <v>162</v>
      </c>
      <c r="C3" t="s">
        <v>164</v>
      </c>
      <c r="D3" t="s">
        <v>165</v>
      </c>
      <c r="E3" t="s">
        <v>337</v>
      </c>
      <c r="F3" t="s">
        <v>340</v>
      </c>
      <c r="G3" t="s">
        <v>338</v>
      </c>
      <c r="H3" t="s">
        <v>341</v>
      </c>
      <c r="I3" s="29" t="s">
        <v>406</v>
      </c>
      <c r="J3" s="29" t="s">
        <v>407</v>
      </c>
      <c r="K3" s="25" t="s">
        <v>353</v>
      </c>
      <c r="L3" s="25" t="s">
        <v>382</v>
      </c>
      <c r="M3" s="26" t="s">
        <v>372</v>
      </c>
      <c r="N3" s="26" t="s">
        <v>383</v>
      </c>
      <c r="O3" t="s">
        <v>166</v>
      </c>
      <c r="P3" t="s">
        <v>167</v>
      </c>
      <c r="Q3" t="s">
        <v>168</v>
      </c>
      <c r="R3" t="s">
        <v>169</v>
      </c>
      <c r="S3" s="29" t="s">
        <v>408</v>
      </c>
      <c r="T3" s="29" t="s">
        <v>409</v>
      </c>
      <c r="U3" s="25" t="s">
        <v>354</v>
      </c>
      <c r="V3" s="25" t="s">
        <v>384</v>
      </c>
      <c r="W3" s="26" t="s">
        <v>371</v>
      </c>
      <c r="X3" s="26" t="s">
        <v>385</v>
      </c>
      <c r="Y3" t="s">
        <v>568</v>
      </c>
      <c r="Z3" t="s">
        <v>578</v>
      </c>
      <c r="AA3" t="s">
        <v>569</v>
      </c>
      <c r="AB3" t="s">
        <v>579</v>
      </c>
      <c r="AC3" s="29" t="s">
        <v>410</v>
      </c>
      <c r="AD3" s="29" t="s">
        <v>411</v>
      </c>
      <c r="AE3" s="25" t="s">
        <v>355</v>
      </c>
      <c r="AF3" s="25" t="s">
        <v>387</v>
      </c>
      <c r="AG3" s="26" t="s">
        <v>370</v>
      </c>
      <c r="AH3" s="26" t="s">
        <v>388</v>
      </c>
      <c r="AI3" s="14" t="s">
        <v>543</v>
      </c>
      <c r="AJ3" s="14" t="s">
        <v>549</v>
      </c>
      <c r="AK3" s="14" t="s">
        <v>544</v>
      </c>
      <c r="AL3" s="14" t="s">
        <v>550</v>
      </c>
      <c r="AM3" s="29" t="s">
        <v>551</v>
      </c>
      <c r="AN3" s="29" t="s">
        <v>552</v>
      </c>
      <c r="AO3" s="25" t="s">
        <v>553</v>
      </c>
      <c r="AP3" s="25" t="s">
        <v>554</v>
      </c>
      <c r="AQ3" s="26" t="s">
        <v>555</v>
      </c>
      <c r="AR3" s="26" t="s">
        <v>556</v>
      </c>
      <c r="AS3" t="s">
        <v>170</v>
      </c>
      <c r="AT3" t="s">
        <v>171</v>
      </c>
      <c r="AU3" t="s">
        <v>172</v>
      </c>
      <c r="AV3" t="s">
        <v>173</v>
      </c>
      <c r="AW3" s="29" t="s">
        <v>412</v>
      </c>
      <c r="AX3" s="29" t="s">
        <v>413</v>
      </c>
      <c r="AY3" s="25" t="s">
        <v>356</v>
      </c>
      <c r="AZ3" s="25" t="s">
        <v>389</v>
      </c>
      <c r="BA3" s="26" t="s">
        <v>369</v>
      </c>
      <c r="BB3" s="26" t="s">
        <v>390</v>
      </c>
      <c r="BC3" t="s">
        <v>174</v>
      </c>
      <c r="BD3" t="s">
        <v>175</v>
      </c>
      <c r="BE3" t="s">
        <v>176</v>
      </c>
      <c r="BF3" t="s">
        <v>177</v>
      </c>
      <c r="BG3" s="29" t="s">
        <v>414</v>
      </c>
      <c r="BH3" s="29" t="s">
        <v>415</v>
      </c>
      <c r="BI3" s="25" t="s">
        <v>357</v>
      </c>
      <c r="BJ3" s="25" t="s">
        <v>391</v>
      </c>
      <c r="BK3" s="26" t="s">
        <v>381</v>
      </c>
      <c r="BL3" s="26" t="s">
        <v>392</v>
      </c>
      <c r="BM3" t="s">
        <v>178</v>
      </c>
      <c r="BN3" t="s">
        <v>179</v>
      </c>
      <c r="BO3" t="s">
        <v>180</v>
      </c>
      <c r="BP3" t="s">
        <v>181</v>
      </c>
      <c r="BQ3" s="29" t="s">
        <v>416</v>
      </c>
      <c r="BR3" s="29" t="s">
        <v>421</v>
      </c>
      <c r="BS3" s="25" t="s">
        <v>417</v>
      </c>
      <c r="BT3" s="25" t="s">
        <v>418</v>
      </c>
      <c r="BU3" s="26" t="s">
        <v>419</v>
      </c>
      <c r="BV3" s="26" t="s">
        <v>420</v>
      </c>
      <c r="BW3" t="s">
        <v>476</v>
      </c>
      <c r="BX3" t="s">
        <v>477</v>
      </c>
      <c r="BY3" t="s">
        <v>478</v>
      </c>
      <c r="BZ3" t="s">
        <v>479</v>
      </c>
      <c r="CA3" s="29" t="s">
        <v>422</v>
      </c>
      <c r="CB3" s="29" t="s">
        <v>423</v>
      </c>
      <c r="CC3" s="25" t="s">
        <v>359</v>
      </c>
      <c r="CD3" s="25" t="s">
        <v>393</v>
      </c>
      <c r="CE3" s="26" t="s">
        <v>374</v>
      </c>
      <c r="CF3" s="26" t="s">
        <v>394</v>
      </c>
      <c r="CG3" t="s">
        <v>182</v>
      </c>
      <c r="CH3" t="s">
        <v>183</v>
      </c>
      <c r="CI3" t="s">
        <v>184</v>
      </c>
      <c r="CJ3" t="s">
        <v>185</v>
      </c>
      <c r="CK3" s="29" t="s">
        <v>424</v>
      </c>
      <c r="CL3" s="29" t="s">
        <v>425</v>
      </c>
      <c r="CM3" s="25" t="s">
        <v>360</v>
      </c>
      <c r="CN3" s="25" t="s">
        <v>395</v>
      </c>
      <c r="CO3" s="26" t="s">
        <v>375</v>
      </c>
      <c r="CP3" s="26" t="s">
        <v>396</v>
      </c>
      <c r="CQ3" t="s">
        <v>186</v>
      </c>
      <c r="CR3" t="s">
        <v>187</v>
      </c>
      <c r="CS3" t="s">
        <v>188</v>
      </c>
      <c r="CT3" t="s">
        <v>189</v>
      </c>
      <c r="CU3" s="29" t="s">
        <v>426</v>
      </c>
      <c r="CV3" s="29" t="s">
        <v>427</v>
      </c>
      <c r="CW3" s="25" t="s">
        <v>361</v>
      </c>
      <c r="CX3" s="25" t="s">
        <v>397</v>
      </c>
      <c r="CY3" s="26" t="s">
        <v>376</v>
      </c>
      <c r="CZ3" s="26" t="s">
        <v>398</v>
      </c>
      <c r="DA3" t="s">
        <v>199</v>
      </c>
      <c r="DB3" t="s">
        <v>203</v>
      </c>
      <c r="DC3" t="s">
        <v>200</v>
      </c>
      <c r="DD3" t="s">
        <v>204</v>
      </c>
      <c r="DE3" s="29" t="s">
        <v>428</v>
      </c>
      <c r="DF3" s="29" t="s">
        <v>429</v>
      </c>
      <c r="DG3" s="25" t="s">
        <v>399</v>
      </c>
      <c r="DH3" s="25" t="s">
        <v>400</v>
      </c>
      <c r="DI3" s="26" t="s">
        <v>377</v>
      </c>
      <c r="DJ3" s="26" t="s">
        <v>401</v>
      </c>
      <c r="DK3" t="s">
        <v>201</v>
      </c>
      <c r="DL3" t="s">
        <v>205</v>
      </c>
      <c r="DM3" t="s">
        <v>202</v>
      </c>
      <c r="DN3" t="s">
        <v>206</v>
      </c>
      <c r="DO3" s="29" t="s">
        <v>430</v>
      </c>
      <c r="DP3" s="25" t="s">
        <v>431</v>
      </c>
      <c r="DQ3" s="27" t="s">
        <v>432</v>
      </c>
      <c r="DR3" t="s">
        <v>434</v>
      </c>
      <c r="DS3" t="s">
        <v>435</v>
      </c>
      <c r="DT3" t="s">
        <v>433</v>
      </c>
      <c r="DU3" t="s">
        <v>402</v>
      </c>
    </row>
    <row r="4" spans="1:125" s="3" customFormat="1" outlineLevel="1" x14ac:dyDescent="0.3">
      <c r="A4" s="134">
        <v>2020</v>
      </c>
      <c r="B4" s="134">
        <v>1</v>
      </c>
      <c r="C4" s="95">
        <f>DATE(Table_SiteMilestoneTrackingSummary[[#This Row],[Year]],1,-2)-WEEKDAY(DATE(Table_SiteMilestoneTrackingSummary[[#This Row],[Year]],1,3))+Table_SiteMilestoneTrackingSummary[[#This Row],[Week]]*7</f>
        <v>43829</v>
      </c>
      <c r="D4" s="95">
        <f>Table_SiteMilestoneTrackingSummary[[#This Row],[StartDate]]+6</f>
        <v>43835</v>
      </c>
      <c r="E4" s="96">
        <f>COUNTIFS(Table_SiteMilestoneTracking[SiteDesignStarted_BL],"&gt;#"&amp;Table_SiteMilestoneTrackingSummary[[#This Row],[StartDate]:[StartDate]],Table_SiteMilestoneTracking[SiteDesignStarted_BL],"&lt;"&amp;Table_SiteMilestoneTrackingSummary[[#This Row],[EndDate]:[EndDate]]+1)</f>
        <v>0</v>
      </c>
      <c r="F4" s="96">
        <f>0+Table_SiteMilestoneTrackingSummary[[#This Row],[SiteDesignStarted_BL]]</f>
        <v>0</v>
      </c>
      <c r="G4" s="96">
        <f>COUNTIFS(Table_SiteMilestoneTracking[SiteDesignStarted_AC],"&gt;="&amp;Table_SiteMilestoneTrackingSummary[[#This Row],[StartDate]:[StartDate]],Table_SiteMilestoneTracking[SiteDesignStarted_AC],"&lt;"&amp;Table_SiteMilestoneTrackingSummary[[#This Row],[EndDate]:[EndDate]]+1)</f>
        <v>0</v>
      </c>
      <c r="H4" s="96">
        <f>0+Table_SiteMilestoneTrackingSummary[[#This Row],[SiteDesignStarted_AC]]</f>
        <v>0</v>
      </c>
      <c r="I4" s="96">
        <f>Table_SiteMilestoneTrackingSummary[[#This Row],[SiteDesignReady_AC]]*$I$2</f>
        <v>0</v>
      </c>
      <c r="J4" s="96">
        <f>0+Table_SiteMilestoneTrackingSummary[[#This Row],[c0_SiteDesignEV]]</f>
        <v>0</v>
      </c>
      <c r="K4" s="97">
        <f>SUMIFS(Table_SiteMilestoneTracking[c0_SiteDesignCostBL],
Table_SiteMilestoneTracking[SiteDesignReady_BL],"&gt;="&amp;Table_SiteMilestoneTrackingSummary[[#This Row],[StartDate]:[StartDate]],
Table_SiteMilestoneTracking[SiteDesignReady_BL],"&lt;"&amp;Table_SiteMilestoneTrackingSummary[[#This Row],[EndDate]:[EndDate]]+1)</f>
        <v>0</v>
      </c>
      <c r="L4" s="96">
        <f>0+Table_SiteMilestoneTrackingSummary[[#This Row],[c0_SiteDesignCostBL]]</f>
        <v>0</v>
      </c>
      <c r="M4" s="97">
        <f>SUMIFS(Table_SiteMilestoneTracking[c0_SiteDesignCostAC],
Table_SiteMilestoneTracking[SiteDesignReady_AC],"&gt;="&amp;Table_SiteMilestoneTrackingSummary[[#This Row],[StartDate]:[StartDate]],
Table_SiteMilestoneTracking[SiteDesignReady_AC],"&lt;"&amp;Table_SiteMilestoneTrackingSummary[[#This Row],[EndDate]:[EndDate]]+1)</f>
        <v>0</v>
      </c>
      <c r="N4" s="97">
        <f>0+Table_SiteMilestoneTrackingSummary[[#This Row],[c0_SiteDesignCostAC]]</f>
        <v>0</v>
      </c>
      <c r="O4" s="96">
        <f>COUNTIFS(Table_SiteMilestoneTracking[SiteDesignReady_BL],"&gt;="&amp;Table_SiteMilestoneTrackingSummary[[#This Row],[StartDate]:[StartDate]],
Table_SiteMilestoneTracking[SiteDesignReady_BL],"&lt;"&amp;Table_SiteMilestoneTrackingSummary[[#This Row],[EndDate]:[EndDate]]+1)</f>
        <v>0</v>
      </c>
      <c r="P4" s="96">
        <f>Table_SiteMilestoneTrackingSummary[[#This Row],[SiteDesignReady_BL]]+0</f>
        <v>0</v>
      </c>
      <c r="Q4" s="96">
        <f>COUNTIFS(Table_SiteMilestoneTracking[SiteDesignReady_AC],"&gt;="&amp;Table_SiteMilestoneTrackingSummary[[#This Row],[StartDate]:[StartDate]],
Table_SiteMilestoneTracking[SiteDesignReady_AC],"&lt;"&amp;Table_SiteMilestoneTrackingSummary[[#This Row],[EndDate]:[EndDate]]+1)</f>
        <v>0</v>
      </c>
      <c r="R4" s="96">
        <f>0+Table_SiteMilestoneTrackingSummary[[#This Row],[SiteDesignReady_AC]]</f>
        <v>0</v>
      </c>
      <c r="S4" s="96">
        <f>Table_SiteMilestoneTrackingSummary[[#This Row],[ReadyForCW_AC]]*$S$2</f>
        <v>0</v>
      </c>
      <c r="T4" s="96">
        <f>0+Table_SiteMilestoneTrackingSummary[[#This Row],[c1_SiteSurveyEV]]</f>
        <v>0</v>
      </c>
      <c r="U4" s="96">
        <f>SUMIFS(Table_SiteMilestoneTracking[c1_SiteSurveyCostBL],
Table_SiteMilestoneTracking[SiteSurveyCompleted_BL],"&gt;="&amp;Table_SiteMilestoneTrackingSummary[[#This Row],[StartDate]:[StartDate]],
Table_SiteMilestoneTracking[SiteSurveyCompleted_BL],"&lt;"&amp;Table_SiteMilestoneTrackingSummary[[#This Row],[EndDate]:[EndDate]]+1)</f>
        <v>0</v>
      </c>
      <c r="V4" s="96">
        <f>0+Table_SiteMilestoneTrackingSummary[[#This Row],[c1_SiteSurveyCostBL]]</f>
        <v>0</v>
      </c>
      <c r="W4" s="96">
        <f>SUMIFS(Table_SiteMilestoneTracking[c1_SiteSurveyCostAC],
Table_SiteMilestoneTracking[SiteSurveyCompleted_AC],"&gt;="&amp;Table_SiteMilestoneTrackingSummary[[#This Row],[StartDate]:[StartDate]],
Table_SiteMilestoneTracking[SiteSurveyCompleted_AC],"&lt;"&amp;Table_SiteMilestoneTrackingSummary[[#This Row],[EndDate]:[EndDate]]+1)</f>
        <v>0</v>
      </c>
      <c r="X4" s="96">
        <f>0+Table_SiteMilestoneTrackingSummary[[#This Row],[c1_SiteSurveyCostAC]]</f>
        <v>0</v>
      </c>
      <c r="Y4" s="96">
        <f>COUNTIFS(Table_SiteMilestoneTracking[SiteSurveyCompleted_BL],"&gt;="&amp;Table_SiteMilestoneTrackingSummary[[#This Row],[StartDate]:[StartDate]],
Table_SiteMilestoneTracking[SiteSurveyCompleted_BL],"&lt;"&amp;Table_SiteMilestoneTrackingSummary[[#This Row],[EndDate]:[EndDate]]+1)</f>
        <v>0</v>
      </c>
      <c r="Z4" s="96">
        <f>0+Table_SiteMilestoneTrackingSummary[[#This Row],[SiteSurveyCompleted_BL]]</f>
        <v>0</v>
      </c>
      <c r="AA4" s="96">
        <f>COUNTIFS(Table_SiteMilestoneTracking[SiteSurveyCompleted_AC],"&gt;="&amp;Table_SiteMilestoneTrackingSummary[[#This Row],[StartDate]:[StartDate]],
Table_SiteMilestoneTracking[SiteSurveyCompleted_AC],"&lt;"&amp;Table_SiteMilestoneTrackingSummary[[#This Row],[EndDate]:[EndDate]]+1)</f>
        <v>0</v>
      </c>
      <c r="AB4" s="96">
        <f>0+Table_SiteMilestoneTrackingSummary[[#This Row],[SiteSurveyCompleted_AC]]</f>
        <v>0</v>
      </c>
      <c r="AC4" s="96">
        <f>$AC$2*Table_SiteMilestoneTrackingSummary[[#This Row],[SiteAcquired_AC]]</f>
        <v>0</v>
      </c>
      <c r="AD4" s="96">
        <f>0+Table_SiteMilestoneTrackingSummary[[#This Row],[c2_SiteAcquisitionEV]]</f>
        <v>0</v>
      </c>
      <c r="AE4" s="96">
        <f>SUMIFS(Table_SiteMilestoneTracking[c2_SiteAcquisitionCostBL],
Table_SiteMilestoneTracking[SiteAcquired_BL],"&gt;="&amp;Table_SiteMilestoneTrackingSummary[[#This Row],[StartDate]:[StartDate]],
Table_SiteMilestoneTracking[SiteAcquired_BL],"&lt;"&amp;Table_SiteMilestoneTrackingSummary[[#This Row],[EndDate]:[EndDate]]+1)</f>
        <v>0</v>
      </c>
      <c r="AF4" s="96">
        <f>0+Table_SiteMilestoneTrackingSummary[[#This Row],[c2_SiteAcquisitionCostBL]]</f>
        <v>0</v>
      </c>
      <c r="AG4" s="96">
        <f>SUMIFS(Table_SiteMilestoneTracking[c2_SiteAcquisitionCostAC],
Table_SiteMilestoneTracking[SiteAcquired_AC],"&gt;="&amp;Table_SiteMilestoneTrackingSummary[[#This Row],[StartDate]:[StartDate]],
Table_SiteMilestoneTracking[SiteAcquired_AC],"&lt;"&amp;Table_SiteMilestoneTrackingSummary[[#This Row],[EndDate]:[EndDate]]+1)</f>
        <v>0</v>
      </c>
      <c r="AH4" s="96">
        <f>0+Table_SiteMilestoneTrackingSummary[[#This Row],[c2_SiteAcquisitionCostAC]]</f>
        <v>0</v>
      </c>
      <c r="AI4" s="96">
        <f>COUNTIFS(Table_SiteMilestoneTracking[SiteAcquired_BL],"&gt;="&amp;Table_SiteMilestoneTrackingSummary[[#This Row],[StartDate]:[StartDate]],
Table_SiteMilestoneTracking[SiteAcquired_BL],"&lt;"&amp;Table_SiteMilestoneTrackingSummary[[#This Row],[EndDate]:[EndDate]]+1)</f>
        <v>0</v>
      </c>
      <c r="AJ4" s="96">
        <f>0+Table_SiteMilestoneTrackingSummary[[#This Row],[SiteAcquired_BL]]</f>
        <v>0</v>
      </c>
      <c r="AK4" s="96">
        <f>COUNTIFS(Table_SiteMilestoneTracking[SiteAcquired_AC],"&gt;="&amp;Table_SiteMilestoneTrackingSummary[[#This Row],[StartDate]:[StartDate]],
Table_SiteMilestoneTracking[SiteAcquired_AC],"&lt;"&amp;Table_SiteMilestoneTrackingSummary[[#This Row],[EndDate]:[EndDate]]+1)</f>
        <v>0</v>
      </c>
      <c r="AL4" s="96">
        <f>0+Table_SiteMilestoneTrackingSummary[[#This Row],[SiteAcquired_AC]]</f>
        <v>0</v>
      </c>
      <c r="AM4" s="96">
        <f>Table_SiteMilestoneTrackingSummary[[#This Row],[ReadyForCW_AC]]*$AM$2</f>
        <v>0</v>
      </c>
      <c r="AN4" s="96">
        <f>0+Table_SiteMilestoneTrackingSummary[[#This Row],[c2a_SiteCWReadinessEV]]</f>
        <v>0</v>
      </c>
      <c r="AO4" s="96">
        <f>SUMIFS(Table_SiteMilestoneTracking[c2a_SiteCWReadinessCost_BL],
Table_SiteMilestoneTracking[SiteReadyForCW_BL],"&gt;="&amp;Table_SiteMilestoneTrackingSummary[[#This Row],[StartDate]:[StartDate]],
Table_SiteMilestoneTracking[SiteReadyForCW_BL],"&lt;"&amp;Table_SiteMilestoneTrackingSummary[[#This Row],[EndDate]:[EndDate]]+1)</f>
        <v>0</v>
      </c>
      <c r="AP4" s="96">
        <f>0+Table_SiteMilestoneTrackingSummary[[#This Row],[c2a_SiteCWReadinessCostBL]]</f>
        <v>0</v>
      </c>
      <c r="AQ4" s="96">
        <f>SUMIFS(Table_SiteMilestoneTracking[c2a_SiteCWReadinessCost_AC],
Table_SiteMilestoneTracking[SiteReadyForCW_AC],"&gt;="&amp;Table_SiteMilestoneTrackingSummary[[#This Row],[StartDate]:[StartDate]],
Table_SiteMilestoneTracking[SiteReadyForCW_AC],"&lt;"&amp;Table_SiteMilestoneTrackingSummary[[#This Row],[EndDate]:[EndDate]]+1)</f>
        <v>0</v>
      </c>
      <c r="AR4" s="96">
        <f>0+Table_SiteMilestoneTrackingSummary[[#This Row],[c2a_SiteCWReadinessCostAC]]</f>
        <v>0</v>
      </c>
      <c r="AS4" s="96">
        <f>COUNTIFS(Table_SiteMilestoneTracking[SiteReadyForCW_BL],"&gt;="&amp;Table_SiteMilestoneTrackingSummary[[#This Row],[StartDate]:[StartDate]],
Table_SiteMilestoneTracking[SiteReadyForCW_BL],"&lt;"&amp;Table_SiteMilestoneTrackingSummary[[#This Row],[EndDate]:[EndDate]]+1)</f>
        <v>0</v>
      </c>
      <c r="AT4" s="96">
        <f>0+Table_SiteMilestoneTrackingSummary[[#This Row],[ReadyForCW_BL]]</f>
        <v>0</v>
      </c>
      <c r="AU4" s="96">
        <f>COUNTIFS(Table_SiteMilestoneTracking[SiteReadyForCW_AC],"&gt;="&amp;Table_SiteMilestoneTrackingSummary[[#This Row],[StartDate]:[StartDate]],
Table_SiteMilestoneTracking[SiteReadyForCW_AC],"&lt;"&amp;Table_SiteMilestoneTrackingSummary[[#This Row],[EndDate]:[EndDate]]+1)</f>
        <v>0</v>
      </c>
      <c r="AV4" s="96">
        <f>0+Table_SiteMilestoneTrackingSummary[[#This Row],[ReadyForCW_AC]]</f>
        <v>0</v>
      </c>
      <c r="AW4" s="96">
        <f>$AW$2*Table_SiteMilestoneTrackingSummary[[#This Row],[ReadyForPower_AC]]</f>
        <v>0</v>
      </c>
      <c r="AX4" s="96">
        <f>0+Table_SiteMilestoneTrackingSummary[[#This Row],[c3_CivilWorksEV]]</f>
        <v>0</v>
      </c>
      <c r="AY4" s="96">
        <f>SUMIFS(Table_SiteMilestoneTracking[c3_CivilWorksCostBL],
Table_SiteMilestoneTracking[SiteReadyForPower_BL],"&gt;="&amp;Table_SiteMilestoneTrackingSummary[[#This Row],[StartDate]:[StartDate]],
Table_SiteMilestoneTracking[SiteReadyForPower_BL],"&lt;"&amp;Table_SiteMilestoneTrackingSummary[[#This Row],[EndDate]:[EndDate]]+1)</f>
        <v>0</v>
      </c>
      <c r="AZ4" s="96">
        <f>0+Table_SiteMilestoneTrackingSummary[[#This Row],[c3_CivilWorksCostBL]]</f>
        <v>0</v>
      </c>
      <c r="BA4" s="96">
        <f>SUMIFS(Table_SiteMilestoneTracking[c3_CivilWorksCostAC],
Table_SiteMilestoneTracking[SiteReadyForPower_AC],"&gt;="&amp;Table_SiteMilestoneTrackingSummary[[#This Row],[StartDate]:[StartDate]],
Table_SiteMilestoneTracking[SiteReadyForPower_AC],"&lt;"&amp;Table_SiteMilestoneTrackingSummary[[#This Row],[EndDate]:[EndDate]]+1)</f>
        <v>0</v>
      </c>
      <c r="BB4" s="96">
        <f>0+Table_SiteMilestoneTrackingSummary[[#This Row],[c3_CivilWorksCostAC]]</f>
        <v>0</v>
      </c>
      <c r="BC4" s="96">
        <f>COUNTIFS(Table_SiteMilestoneTracking[SiteReadyForPower_BL],"&gt;="&amp;Table_SiteMilestoneTrackingSummary[[#This Row],[StartDate]:[StartDate]],
Table_SiteMilestoneTracking[SiteReadyForPower_BL],"&lt;"&amp;Table_SiteMilestoneTrackingSummary[[#This Row],[EndDate]:[EndDate]]+1)</f>
        <v>0</v>
      </c>
      <c r="BD4" s="96">
        <f>0+Table_SiteMilestoneTrackingSummary[[#This Row],[ReadyForPower_BL]]</f>
        <v>0</v>
      </c>
      <c r="BE4" s="96">
        <f>COUNTIFS(Table_SiteMilestoneTracking[SiteReadyForPower_AC],"&gt;="&amp;Table_SiteMilestoneTrackingSummary[[#This Row],[StartDate]:[StartDate]],
Table_SiteMilestoneTracking[SiteReadyForPower_AC],"&lt;"&amp;Table_SiteMilestoneTrackingSummary[[#This Row],[EndDate]:[EndDate]]+1)</f>
        <v>0</v>
      </c>
      <c r="BF4" s="96">
        <f>0+Table_SiteMilestoneTrackingSummary[[#This Row],[ReadyForPower_AC]]</f>
        <v>0</v>
      </c>
      <c r="BG4" s="96">
        <f>$BG$2*Table_SiteMilestoneTrackingSummary[[#This Row],[TXReady_AC]]</f>
        <v>0</v>
      </c>
      <c r="BH4" s="96">
        <f>0+Table_SiteMilestoneTrackingSummary[[#This Row],[c4_PowerInstallEV]]</f>
        <v>0</v>
      </c>
      <c r="BI4" s="96">
        <f>SUMIFS(Table_SiteMilestoneTracking[c4_PowerInstallCostBL],
Table_SiteMilestoneTracking[TXReady_BL],"&gt;="&amp;Table_SiteMilestoneTrackingSummary[[#This Row],[StartDate]:[StartDate]],
Table_SiteMilestoneTracking[TXReady_BL],"&lt;"&amp;Table_SiteMilestoneTrackingSummary[[#This Row],[EndDate]:[EndDate]]+1)</f>
        <v>0</v>
      </c>
      <c r="BJ4" s="96">
        <f>0+Table_SiteMilestoneTrackingSummary[[#This Row],[c4_PowerInstallCostBL]]</f>
        <v>0</v>
      </c>
      <c r="BK4" s="96">
        <f>SUMIFS(Table_SiteMilestoneTracking[c4_PowerInstallCostAC],
Table_SiteMilestoneTracking[TXReady_AC],"&gt;="&amp;Table_SiteMilestoneTrackingSummary[[#This Row],[StartDate]:[StartDate]],
Table_SiteMilestoneTracking[TXReady_AC],"&lt;"&amp;Table_SiteMilestoneTrackingSummary[[#This Row],[EndDate]:[EndDate]]+1)</f>
        <v>0</v>
      </c>
      <c r="BL4" s="96">
        <f>0+Table_SiteMilestoneTrackingSummary[[#This Row],[c4_PowerInstallCostAC]]</f>
        <v>0</v>
      </c>
      <c r="BM4" s="96">
        <f>COUNTIFS(Table_SiteMilestoneTracking[TXReady_BL],"&gt;="&amp;Table_SiteMilestoneTrackingSummary[[#This Row],[StartDate]:[StartDate]],
Table_SiteMilestoneTracking[TXReady_BL],"&lt;"&amp;Table_SiteMilestoneTrackingSummary[[#This Row],[EndDate]:[EndDate]]+1)</f>
        <v>0</v>
      </c>
      <c r="BN4" s="96">
        <f>0+Table_SiteMilestoneTrackingSummary[[#This Row],[TXReady_BL]]</f>
        <v>0</v>
      </c>
      <c r="BO4" s="96">
        <f>COUNTIFS(Table_SiteMilestoneTracking[TXReady_AC],"&gt;="&amp;Table_SiteMilestoneTrackingSummary[[#This Row],[StartDate]:[StartDate]],
Table_SiteMilestoneTracking[TXReady_AC],"&lt;"&amp;Table_SiteMilestoneTrackingSummary[[#This Row],[EndDate]:[EndDate]]+1)</f>
        <v>0</v>
      </c>
      <c r="BP4" s="96">
        <f>0+Table_SiteMilestoneTrackingSummary[[#This Row],[TXReady_AC]]</f>
        <v>0</v>
      </c>
      <c r="BQ4" s="96">
        <f>$BQ$2*Table_SiteMilestoneTrackingSummary[[#This Row],[ReadyForInstallation_AC]]</f>
        <v>0</v>
      </c>
      <c r="BR4" s="96">
        <f>0+Table_SiteMilestoneTrackingSummary[[#This Row],[c5_TxIntegrationEV]]</f>
        <v>0</v>
      </c>
      <c r="BS4" s="96">
        <f>SUMIFS(Table_SiteMilestoneTracking[c5_TxintegrationCostBL],
Table_SiteMilestoneTracking[SiteReadyForInstallation_BL],"&gt;="&amp;Table_SiteMilestoneTrackingSummary[[#This Row],[StartDate]:[StartDate]],
Table_SiteMilestoneTracking[SiteReadyForInstallation_BL],"&lt;"&amp;Table_SiteMilestoneTrackingSummary[[#This Row],[EndDate]:[EndDate]]+1)</f>
        <v>0</v>
      </c>
      <c r="BT4" s="96">
        <f>0+Table_SiteMilestoneTrackingSummary[[#This Row],[c5_TxIntegrationCostBL]]</f>
        <v>0</v>
      </c>
      <c r="BU4" s="96">
        <f>SUMIFS(Table_SiteMilestoneTracking[c5_TxintegrationCostAC],
Table_SiteMilestoneTracking[SiteReadyForInstallation_AC],"&gt;="&amp;Table_SiteMilestoneTrackingSummary[[#This Row],[StartDate]:[StartDate]],
Table_SiteMilestoneTracking[SiteReadyForInstallation_AC],"&lt;"&amp;Table_SiteMilestoneTrackingSummary[[#This Row],[EndDate]:[EndDate]]+1)</f>
        <v>0</v>
      </c>
      <c r="BV4" s="96">
        <f>0+Table_SiteMilestoneTrackingSummary[[#This Row],[c5_TxIntegrationCostAC]]</f>
        <v>0</v>
      </c>
      <c r="BW4" s="96">
        <f>COUNTIFS(Table_SiteMilestoneTracking[SiteReadyForInstallation_BL],"&gt;="&amp;Table_SiteMilestoneTrackingSummary[[#This Row],[StartDate]:[StartDate]],
Table_SiteMilestoneTracking[SiteReadyForInstallation_BL],"&lt;"&amp;Table_SiteMilestoneTrackingSummary[[#This Row],[EndDate]:[EndDate]]+1)</f>
        <v>0</v>
      </c>
      <c r="BX4" s="96">
        <f>0+Table_SiteMilestoneTrackingSummary[[#This Row],[ReadyForInstallation_BL]]</f>
        <v>0</v>
      </c>
      <c r="BY4" s="96">
        <f>COUNTIFS(Table_SiteMilestoneTracking[SiteReadyForInstallation_AC],"&gt;="&amp;Table_SiteMilestoneTrackingSummary[[#This Row],[StartDate]:[StartDate]],
Table_SiteMilestoneTracking[SiteReadyForInstallation_AC],"&lt;"&amp;Table_SiteMilestoneTrackingSummary[[#This Row],[EndDate]:[EndDate]]+1)</f>
        <v>0</v>
      </c>
      <c r="BZ4" s="96">
        <f>0+Table_SiteMilestoneTrackingSummary[[#This Row],[ReadyForInstallation_AC]]</f>
        <v>0</v>
      </c>
      <c r="CA4" s="96">
        <f>$CA$2*Table_SiteMilestoneTrackingSummary[[#This Row],[ReadyForIntegration_AC]]</f>
        <v>0</v>
      </c>
      <c r="CB4" s="96">
        <f>0+Table_SiteMilestoneTrackingSummary[[#This Row],[c6_InstallationEV]]</f>
        <v>0</v>
      </c>
      <c r="CC4" s="96">
        <f>SUMIFS(Table_SiteMilestoneTracking[c6_InstallationCostBL],
Table_SiteMilestoneTracking[SiteReadyForIntegration_BL],"&gt;="&amp;Table_SiteMilestoneTrackingSummary[[#This Row],[StartDate]:[StartDate]],
Table_SiteMilestoneTracking[SiteReadyForIntegration_BL],"&lt;"&amp;Table_SiteMilestoneTrackingSummary[[#This Row],[EndDate]:[EndDate]]+1)</f>
        <v>0</v>
      </c>
      <c r="CD4" s="96">
        <f>0+Table_SiteMilestoneTrackingSummary[[#This Row],[c6_InstallationCostBL]]</f>
        <v>0</v>
      </c>
      <c r="CE4" s="96">
        <f>SUMIFS(Table_SiteMilestoneTracking[c6_InstallationCostAC],
Table_SiteMilestoneTracking[SiteReadyForIntegration_AC],"&gt;="&amp;Table_SiteMilestoneTrackingSummary[[#This Row],[StartDate]:[StartDate]],
Table_SiteMilestoneTracking[SiteReadyForIntegration_AC],"&lt;"&amp;Table_SiteMilestoneTrackingSummary[[#This Row],[EndDate]:[EndDate]]+1)</f>
        <v>0</v>
      </c>
      <c r="CF4" s="96">
        <f>0+Table_SiteMilestoneTrackingSummary[[#This Row],[c6_InstallationCostAC]]</f>
        <v>0</v>
      </c>
      <c r="CG4" s="96">
        <f>COUNTIFS(Table_SiteMilestoneTracking[SiteReadyForIntegration_BL],"&gt;="&amp;Table_SiteMilestoneTrackingSummary[[#This Row],[StartDate]:[StartDate]],
Table_SiteMilestoneTracking[SiteReadyForIntegration_BL],"&lt;"&amp;Table_SiteMilestoneTrackingSummary[[#This Row],[EndDate]:[EndDate]]+1)</f>
        <v>0</v>
      </c>
      <c r="CH4" s="96">
        <f>0+Table_SiteMilestoneTrackingSummary[[#This Row],[ReadyForIntegration_BL]]</f>
        <v>0</v>
      </c>
      <c r="CI4" s="96">
        <f>COUNTIFS(Table_SiteMilestoneTracking[SiteReadyForIntegration_AC],"&gt;="&amp;Table_SiteMilestoneTrackingSummary[[#This Row],[StartDate]:[StartDate]],
Table_SiteMilestoneTracking[SiteReadyForIntegration_AC],"&lt;"&amp;Table_SiteMilestoneTrackingSummary[[#This Row],[EndDate]:[EndDate]]+1)</f>
        <v>0</v>
      </c>
      <c r="CJ4" s="96">
        <f>0+Table_SiteMilestoneTrackingSummary[[#This Row],[ReadyForIntegration_AC]]</f>
        <v>0</v>
      </c>
      <c r="CK4" s="96">
        <f>$CK$2*Table_SiteMilestoneTrackingSummary[[#This Row],[SiteOnAir_AC]]</f>
        <v>0</v>
      </c>
      <c r="CL4" s="96">
        <f>0+Table_SiteMilestoneTrackingSummary[[#This Row],[c7_IntegrationEV]]</f>
        <v>0</v>
      </c>
      <c r="CM4" s="96">
        <f>SUMIFS(Table_SiteMilestoneTracking[c7_IntegrationCostBL],
Table_SiteMilestoneTracking[SiteOnAir_BL],"&gt;="&amp;Table_SiteMilestoneTrackingSummary[[#This Row],[StartDate]:[StartDate]],
Table_SiteMilestoneTracking[SiteOnAir_BL],"&lt;"&amp;Table_SiteMilestoneTrackingSummary[[#This Row],[EndDate]:[EndDate]]+1)</f>
        <v>0</v>
      </c>
      <c r="CN4" s="96">
        <f>0+Table_SiteMilestoneTrackingSummary[[#This Row],[c7_IntegrationCostBL]]</f>
        <v>0</v>
      </c>
      <c r="CO4" s="96">
        <f>SUMIFS(Table_SiteMilestoneTracking[c7_IntegrationCostAC],
Table_SiteMilestoneTracking[SiteOnAir_AC],"&gt;="&amp;Table_SiteMilestoneTrackingSummary[[#This Row],[StartDate]:[StartDate]],
Table_SiteMilestoneTracking[SiteOnAir_AC],"&lt;"&amp;Table_SiteMilestoneTrackingSummary[[#This Row],[EndDate]:[EndDate]]+1)</f>
        <v>0</v>
      </c>
      <c r="CP4" s="96">
        <f>0+Table_SiteMilestoneTrackingSummary[[#This Row],[c7_IntegrationCostAC]]</f>
        <v>0</v>
      </c>
      <c r="CQ4" s="96">
        <f>COUNTIFS(Table_SiteMilestoneTracking[SiteOnAir_BL],"&gt;="&amp;Table_SiteMilestoneTrackingSummary[[#This Row],[StartDate]:[StartDate]],
Table_SiteMilestoneTracking[SiteOnAir_BL],"&lt;"&amp;Table_SiteMilestoneTrackingSummary[[#This Row],[EndDate]:[EndDate]]+1)</f>
        <v>0</v>
      </c>
      <c r="CR4" s="96">
        <f>0+Table_SiteMilestoneTrackingSummary[[#This Row],[SiteOnAir_BL]]</f>
        <v>0</v>
      </c>
      <c r="CS4" s="96">
        <f>COUNTIFS(Table_SiteMilestoneTracking[SiteOnAir_AC],"&gt;="&amp;Table_SiteMilestoneTrackingSummary[[#This Row],[StartDate]:[StartDate]],
Table_SiteMilestoneTracking[SiteOnAir_AC],"&lt;"&amp;Table_SiteMilestoneTrackingSummary[[#This Row],[EndDate]:[EndDate]]+1)</f>
        <v>0</v>
      </c>
      <c r="CT4" s="96">
        <f>0+Table_SiteMilestoneTrackingSummary[[#This Row],[SiteOnAir_AC]]</f>
        <v>0</v>
      </c>
      <c r="CU4" s="96">
        <f>$CU$2*Table_SiteMilestoneTrackingSummary[[#This Row],[SiteAccepted_AC]]</f>
        <v>0</v>
      </c>
      <c r="CV4" s="96">
        <f>0+Table_SiteMilestoneTrackingSummary[[#This Row],[c8_AcceptanceEV]]</f>
        <v>0</v>
      </c>
      <c r="CW4" s="96">
        <f>SUMIFS(Table_SiteMilestoneTracking[c8_AcceptanceCostBL],
Table_SiteMilestoneTracking[SiteAccepted_BL],"&gt;="&amp;Table_SiteMilestoneTrackingSummary[[#This Row],[StartDate]:[StartDate]],
Table_SiteMilestoneTracking[SiteAccepted_BL],"&lt;"&amp;Table_SiteMilestoneTrackingSummary[[#This Row],[EndDate]:[EndDate]]+1)</f>
        <v>0</v>
      </c>
      <c r="CX4" s="96">
        <f>0+Table_SiteMilestoneTrackingSummary[[#This Row],[c8_AcceptanceCostBL]]</f>
        <v>0</v>
      </c>
      <c r="CY4" s="96">
        <f>SUMIFS(Table_SiteMilestoneTracking[c8_AcceptanceCostAC],
Table_SiteMilestoneTracking[SiteAccepted_AC],"&gt;="&amp;Table_SiteMilestoneTrackingSummary[[#This Row],[StartDate]:[StartDate]],
Table_SiteMilestoneTracking[SiteAccepted_AC],"&lt;"&amp;Table_SiteMilestoneTrackingSummary[[#This Row],[EndDate]:[EndDate]]+1)</f>
        <v>0</v>
      </c>
      <c r="CZ4" s="96">
        <f>0+Table_SiteMilestoneTrackingSummary[[#This Row],[c8_AcceptanceCostAC]]</f>
        <v>0</v>
      </c>
      <c r="DA4" s="96">
        <f>COUNTIFS(Table_SiteMilestoneTracking[SiteAccepted_BL],"&gt;="&amp;Table_SiteMilestoneTrackingSummary[[#This Row],[StartDate]:[StartDate]],
Table_SiteMilestoneTracking[SiteAccepted_BL],"&lt;"&amp;Table_SiteMilestoneTrackingSummary[[#This Row],[EndDate]:[EndDate]]+1)</f>
        <v>0</v>
      </c>
      <c r="DB4" s="96">
        <f>0+Table_SiteMilestoneTrackingSummary[[#This Row],[SiteAccepted_BL]]</f>
        <v>0</v>
      </c>
      <c r="DC4" s="96">
        <f>COUNTIFS(Table_SiteMilestoneTracking[SiteAccepted_AC],"&gt;="&amp;Table_SiteMilestoneTrackingSummary[[#This Row],[StartDate]:[StartDate]],
Table_SiteMilestoneTracking[SiteAccepted_AC],"&lt;"&amp;Table_SiteMilestoneTrackingSummary[[#This Row],[EndDate]:[EndDate]]+1)</f>
        <v>0</v>
      </c>
      <c r="DD4" s="96">
        <f>0+Table_SiteMilestoneTrackingSummary[[#This Row],[SiteAccepted_AC]]</f>
        <v>0</v>
      </c>
      <c r="DE4" s="96">
        <f>$DE$2*Table_SiteMilestoneTrackingSummary[[#This Row],[SiteInOperations_AC]]</f>
        <v>0</v>
      </c>
      <c r="DF4" s="96">
        <f>0+Table_SiteMilestoneTrackingSummary[[#This Row],[c9_HandoverEV]]</f>
        <v>0</v>
      </c>
      <c r="DG4" s="96">
        <f>SUMIFS(Table_SiteMilestoneTracking[c9_HandoverCostBL],
Table_SiteMilestoneTracking[SiteInOperations_BL],"&gt;="&amp;Table_SiteMilestoneTrackingSummary[[#This Row],[StartDate]:[StartDate]],
Table_SiteMilestoneTracking[SiteInOperations_BL],"&lt;"&amp;Table_SiteMilestoneTrackingSummary[[#This Row],[EndDate]:[EndDate]]+1)</f>
        <v>0</v>
      </c>
      <c r="DH4" s="96">
        <f>0+Table_SiteMilestoneTrackingSummary[[#This Row],[c9_HandoverCostBL2]]</f>
        <v>0</v>
      </c>
      <c r="DI4" s="96">
        <f>SUMIFS(Table_SiteMilestoneTracking[c9_HandoverCostAC],
Table_SiteMilestoneTracking[SiteInOperations_AC],"&gt;="&amp;Table_SiteMilestoneTrackingSummary[[#This Row],[StartDate]:[StartDate]],
Table_SiteMilestoneTracking[SiteInOperations_AC],"&lt;"&amp;Table_SiteMilestoneTrackingSummary[[#This Row],[EndDate]:[EndDate]]+1)</f>
        <v>0</v>
      </c>
      <c r="DJ4" s="96">
        <f>0+Table_SiteMilestoneTrackingSummary[[#This Row],[c9_HandoverCostAC]]</f>
        <v>0</v>
      </c>
      <c r="DK4" s="96">
        <f>COUNTIFS(Table_SiteMilestoneTracking[SiteInOperations_BL],"&gt;="&amp;Table_SiteMilestoneTrackingSummary[[#This Row],[StartDate]:[StartDate]],
Table_SiteMilestoneTracking[SiteInOperations_BL],"&lt;"&amp;Table_SiteMilestoneTrackingSummary[[#This Row],[EndDate]:[EndDate]]+1)</f>
        <v>0</v>
      </c>
      <c r="DL4" s="96">
        <f>0+Table_SiteMilestoneTrackingSummary[[#This Row],[SiteInOperations_BL]]</f>
        <v>0</v>
      </c>
      <c r="DM4" s="96">
        <f>COUNTIFS(Table_SiteMilestoneTracking[SiteInOperations_AC],"&gt;="&amp;Table_SiteMilestoneTrackingSummary[[#This Row],[StartDate]:[StartDate]],
Table_SiteMilestoneTracking[SiteInOperations_AC],"&lt;"&amp;Table_SiteMilestoneTrackingSummary[[#This Row],[EndDate]:[EndDate]]+1)</f>
        <v>0</v>
      </c>
      <c r="DN4" s="96">
        <f>0+Table_SiteMilestoneTrackingSummary[[#This Row],[SiteInOperations_AC]]</f>
        <v>0</v>
      </c>
      <c r="DO4" s="97">
        <f>Table_SiteMilestoneTrackingSummary[[#This Row],[c0_SiteDesignEV(SUM)]]+Table_SiteMilestoneTrackingSummary[[#This Row],[c1_SiteSurveyEV(SUM)]]+Table_SiteMilestoneTrackingSummary[[#This Row],[c2_SiteAcquisitionEV(SUM)]]+Table_SiteMilestoneTrackingSummary[[#This Row],[c2a_SiteCWReadinessEV(SUM)]]+Table_SiteMilestoneTrackingSummary[[#This Row],[c3_CivilWorksEV(SUM)]]+Table_SiteMilestoneTrackingSummary[[#This Row],[c4_PowerInstallEV(SUM)]]+Table_SiteMilestoneTrackingSummary[[#This Row],[c5_TxIntegrationEV(SUM)]]+Table_SiteMilestoneTrackingSummary[[#This Row],[c6_InstallationEV(SUM)]]+Table_SiteMilestoneTrackingSummary[[#This Row],[c7_IntegrationEV(SUM)]]+Table_SiteMilestoneTrackingSummary[[#This Row],[c8_AcceptanceEV(SUM)]]+Table_SiteMilestoneTrackingSummary[[#This Row],[c9_HandoverEV(SUM)]]</f>
        <v>0</v>
      </c>
      <c r="DP4" s="97">
        <f>Table_SiteMilestoneTrackingSummary[[#This Row],[c0_SiteDesignCostBL(SUM)]]+Table_SiteMilestoneTrackingSummary[[#This Row],[c1_SiteSurveyCostBL(SUM)]]+Table_SiteMilestoneTrackingSummary[[#This Row],[c2_SiteAcquisitionCostBL(SUM)]]+Table_SiteMilestoneTrackingSummary[[#This Row],[c2a_SiteCWReadinessCostBL(SUM)]]+Table_SiteMilestoneTrackingSummary[[#This Row],[c3_CivilWorksCostBL(SUM)]]+Table_SiteMilestoneTrackingSummary[[#This Row],[c4_PowerInstallCostBL(SUM)]]+Table_SiteMilestoneTrackingSummary[[#This Row],[c5_TxIntegrationCostBL(SUM)]]+Table_SiteMilestoneTrackingSummary[[#This Row],[c6_InstallationCostBL(SUM)]]+Table_SiteMilestoneTrackingSummary[[#This Row],[c7_IntegrationCostBL(SUM)]]+Table_SiteMilestoneTrackingSummary[[#This Row],[c8_AcceptanceCostBL(SUM)]]+Table_SiteMilestoneTrackingSummary[[#This Row],[c9_HandoverCostBL(SUM)]]</f>
        <v>0</v>
      </c>
      <c r="DQ4" s="97">
        <f>Table_SiteMilestoneTrackingSummary[[#This Row],[c0_SiteDesignCostAC(SUM)]]+Table_SiteMilestoneTrackingSummary[[#This Row],[c1_SiteSurveyCostAC(SUM)]]+Table_SiteMilestoneTrackingSummary[[#This Row],[c2_SiteAcquisitionCostAC(SUM)]]+Table_SiteMilestoneTrackingSummary[[#This Row],[c2a_SiteCWReadinessCostAC(SUM)]]+Table_SiteMilestoneTrackingSummary[[#This Row],[c3_CivilWorksCostAC(SUM)]]+Table_SiteMilestoneTrackingSummary[[#This Row],[c4_PowerInstallCostAC(SUM)]]+Table_SiteMilestoneTrackingSummary[[#This Row],[c5_TxIntegrationCostAC(SUM)]]+Table_SiteMilestoneTrackingSummary[[#This Row],[c6_InstallationCostAC(SUM)]]+Table_SiteMilestoneTrackingSummary[[#This Row],[c7_IntegrationCostAC(SUM)]]+Table_SiteMilestoneTrackingSummary[[#This Row],[c8_AcceptanceCostAC(SUM)]]+Table_SiteMilestoneTrackingSummary[[#This Row],[c9_HandoverCostAC(SUM)]]</f>
        <v>0</v>
      </c>
      <c r="DR4" s="97">
        <f>Table_SiteMilestoneTrackingSummary[[#This Row],[AccumulatedEV]]-Table_SiteMilestoneTrackingSummary[[#This Row],[AccumulatedPV]]</f>
        <v>0</v>
      </c>
      <c r="DS4" s="97">
        <f>Table_SiteMilestoneTrackingSummary[[#This Row],[AccumulatedEV]]-Table_SiteMilestoneTrackingSummary[[#This Row],[AccumulatedAC]]</f>
        <v>0</v>
      </c>
      <c r="DT4" s="98" t="str">
        <f>IFERROR(Table_SiteMilestoneTrackingSummary[[#This Row],[AccumulatedEV]]/Table_SiteMilestoneTrackingSummary[[#This Row],[AccumulatedPV]],"/")</f>
        <v>/</v>
      </c>
      <c r="DU4" s="99" t="str">
        <f>IFERROR(Table_SiteMilestoneTrackingSummary[[#This Row],[AccumulatedEV]]/Table_SiteMilestoneTrackingSummary[[#This Row],[AccumulatedAC]],"/")</f>
        <v>/</v>
      </c>
    </row>
    <row r="5" spans="1:125" ht="18.600000000000001" customHeight="1" outlineLevel="1" x14ac:dyDescent="0.3">
      <c r="A5" s="79">
        <v>2020</v>
      </c>
      <c r="B5" s="79">
        <v>2</v>
      </c>
      <c r="C5" s="95">
        <f>DATE(Table_SiteMilestoneTrackingSummary[[#This Row],[Year]],1,-2)-WEEKDAY(DATE(Table_SiteMilestoneTrackingSummary[[#This Row],[Year]],1,3))+Table_SiteMilestoneTrackingSummary[[#This Row],[Week]]*7</f>
        <v>43836</v>
      </c>
      <c r="D5" s="95">
        <f>Table_SiteMilestoneTrackingSummary[[#This Row],[StartDate]]+6</f>
        <v>43842</v>
      </c>
      <c r="E5" s="100">
        <f>COUNTIFS(Table_SiteMilestoneTracking[SiteDesignStarted_BL],"&gt;="&amp;Table_SiteMilestoneTrackingSummary[[#This Row],[StartDate]:[StartDate]],Table_SiteMilestoneTracking[SiteDesignStarted_BL],"&lt;"&amp;Table_SiteMilestoneTrackingSummary[[#This Row],[EndDate]:[EndDate]]+1)</f>
        <v>0</v>
      </c>
      <c r="F5" s="100">
        <f>F4+Table_SiteMilestoneTrackingSummary[[#This Row],[SiteDesignStarted_BL]]</f>
        <v>0</v>
      </c>
      <c r="G5" s="100">
        <f>COUNTIFS(Table_SiteMilestoneTracking[SiteDesignStarted_AC],"&gt;="&amp;Table_SiteMilestoneTrackingSummary[[#This Row],[StartDate]:[StartDate]],Table_SiteMilestoneTracking[SiteDesignStarted_AC],"&lt;"&amp;Table_SiteMilestoneTrackingSummary[[#This Row],[EndDate]:[EndDate]]+1)</f>
        <v>0</v>
      </c>
      <c r="H5" s="100">
        <f>H4+Table_SiteMilestoneTrackingSummary[[#This Row],[SiteDesignStarted_AC]]</f>
        <v>0</v>
      </c>
      <c r="I5" s="100">
        <f>Table_SiteMilestoneTrackingSummary[[#This Row],[SiteDesignReady_AC]]*$I$2</f>
        <v>0</v>
      </c>
      <c r="J5" s="100">
        <f>J4+Table_SiteMilestoneTrackingSummary[[#This Row],[c0_SiteDesignEV]]</f>
        <v>0</v>
      </c>
      <c r="K5" s="97">
        <f>SUMIFS(Table_SiteMilestoneTracking[c0_SiteDesignCostBL],
Table_SiteMilestoneTracking[SiteDesignReady_BL],"&gt;="&amp;Table_SiteMilestoneTrackingSummary[[#This Row],[StartDate]:[StartDate]],
Table_SiteMilestoneTracking[SiteDesignReady_BL],"&lt;"&amp;Table_SiteMilestoneTrackingSummary[[#This Row],[EndDate]:[EndDate]]+1)</f>
        <v>0</v>
      </c>
      <c r="L5" s="59">
        <f>L4+Table_SiteMilestoneTrackingSummary[[#This Row],[c0_SiteDesignCostBL]]</f>
        <v>0</v>
      </c>
      <c r="M5" s="97">
        <f>SUMIFS(Table_SiteMilestoneTracking[c0_SiteDesignCostAC],
Table_SiteMilestoneTracking[SiteDesignReady_AC],"&gt;="&amp;Table_SiteMilestoneTrackingSummary[[#This Row],[StartDate]:[StartDate]],
Table_SiteMilestoneTracking[SiteDesignReady_AC],"&lt;"&amp;Table_SiteMilestoneTrackingSummary[[#This Row],[EndDate]:[EndDate]]+1)</f>
        <v>0</v>
      </c>
      <c r="N5" s="59">
        <f>N4+Table_SiteMilestoneTrackingSummary[[#This Row],[c0_SiteDesignCostAC]]</f>
        <v>0</v>
      </c>
      <c r="O5" s="96">
        <f>COUNTIFS(Table_SiteMilestoneTracking[SiteDesignReady_BL],"&gt;="&amp;Table_SiteMilestoneTrackingSummary[[#This Row],[StartDate]:[StartDate]],
Table_SiteMilestoneTracking[SiteDesignReady_BL],"&lt;"&amp;Table_SiteMilestoneTrackingSummary[[#This Row],[EndDate]:[EndDate]]+1)</f>
        <v>0</v>
      </c>
      <c r="P5" s="100">
        <f>P4+Table_SiteMilestoneTrackingSummary[[#This Row],[SiteDesignReady_BL]]</f>
        <v>0</v>
      </c>
      <c r="Q5" s="100">
        <f>COUNTIFS(Table_SiteMilestoneTracking[SiteDesignReady_AC],"&gt;="&amp;Table_SiteMilestoneTrackingSummary[[#This Row],[StartDate]:[StartDate]],Table_SiteMilestoneTracking[SiteDesignReady_AC],"&lt;"&amp;Table_SiteMilestoneTrackingSummary[[#This Row],[EndDate]:[EndDate]]+1)</f>
        <v>0</v>
      </c>
      <c r="R5" s="100">
        <f>R4+Table_SiteMilestoneTrackingSummary[[#This Row],[SiteDesignReady_AC]]</f>
        <v>0</v>
      </c>
      <c r="S5" s="100">
        <f>Table_SiteMilestoneTrackingSummary[[#This Row],[ReadyForCW_AC]]*$S$2</f>
        <v>0</v>
      </c>
      <c r="T5" s="100">
        <f>T4+Table_SiteMilestoneTrackingSummary[[#This Row],[c1_SiteSurveyEV]]</f>
        <v>0</v>
      </c>
      <c r="U5" s="96">
        <f>SUMIFS(Table_SiteMilestoneTracking[c1_SiteSurveyCostBL],
Table_SiteMilestoneTracking[SiteSurveyCompleted_BL],"&gt;="&amp;Table_SiteMilestoneTrackingSummary[[#This Row],[StartDate]:[StartDate]],
Table_SiteMilestoneTracking[SiteSurveyCompleted_BL],"&lt;"&amp;Table_SiteMilestoneTrackingSummary[[#This Row],[EndDate]:[EndDate]]+1)</f>
        <v>0</v>
      </c>
      <c r="V5" s="100">
        <f>V4+Table_SiteMilestoneTrackingSummary[[#This Row],[c1_SiteSurveyCostBL]]</f>
        <v>0</v>
      </c>
      <c r="W5" s="96">
        <f>SUMIFS(Table_SiteMilestoneTracking[c1_SiteSurveyCostAC],
Table_SiteMilestoneTracking[SiteSurveyCompleted_AC],"&gt;="&amp;Table_SiteMilestoneTrackingSummary[[#This Row],[StartDate]:[StartDate]],
Table_SiteMilestoneTracking[SiteSurveyCompleted_AC],"&lt;"&amp;Table_SiteMilestoneTrackingSummary[[#This Row],[EndDate]:[EndDate]]+1)</f>
        <v>0</v>
      </c>
      <c r="X5" s="100">
        <f>X4+Table_SiteMilestoneTrackingSummary[[#This Row],[c1_SiteSurveyCostAC]]</f>
        <v>0</v>
      </c>
      <c r="Y5" s="96">
        <f>COUNTIFS(Table_SiteMilestoneTracking[SiteSurveyCompleted_BL],"&gt;="&amp;Table_SiteMilestoneTrackingSummary[[#This Row],[StartDate]:[StartDate]],
Table_SiteMilestoneTracking[SiteSurveyCompleted_BL],"&lt;"&amp;Table_SiteMilestoneTrackingSummary[[#This Row],[EndDate]:[EndDate]]+1)</f>
        <v>0</v>
      </c>
      <c r="Z5" s="100">
        <f>Z4+Table_SiteMilestoneTrackingSummary[[#This Row],[SiteSurveyCompleted_BL]]</f>
        <v>0</v>
      </c>
      <c r="AA5" s="96">
        <f>COUNTIFS(Table_SiteMilestoneTracking[SiteSurveyCompleted_AC],"&gt;="&amp;Table_SiteMilestoneTrackingSummary[[#This Row],[StartDate]:[StartDate]],
Table_SiteMilestoneTracking[SiteSurveyCompleted_AC],"&lt;"&amp;Table_SiteMilestoneTrackingSummary[[#This Row],[EndDate]:[EndDate]]+1)</f>
        <v>0</v>
      </c>
      <c r="AB5" s="100">
        <f>AB4+Table_SiteMilestoneTrackingSummary[[#This Row],[SiteSurveyCompleted_AC]]</f>
        <v>0</v>
      </c>
      <c r="AC5" s="100">
        <f>$AC$2*Table_SiteMilestoneTrackingSummary[[#This Row],[SiteAcquired_AC]]</f>
        <v>0</v>
      </c>
      <c r="AD5" s="100">
        <f>AD4+Table_SiteMilestoneTrackingSummary[[#This Row],[c2_SiteAcquisitionEV]]</f>
        <v>0</v>
      </c>
      <c r="AE5" s="96">
        <f>SUMIFS(Table_SiteMilestoneTracking[c2_SiteAcquisitionCostBL],
Table_SiteMilestoneTracking[SiteAcquired_BL],"&gt;="&amp;Table_SiteMilestoneTrackingSummary[[#This Row],[StartDate]:[StartDate]],
Table_SiteMilestoneTracking[SiteAcquired_BL],"&lt;"&amp;Table_SiteMilestoneTrackingSummary[[#This Row],[EndDate]:[EndDate]]+1)</f>
        <v>0</v>
      </c>
      <c r="AF5" s="100">
        <f>AF4+Table_SiteMilestoneTrackingSummary[[#This Row],[c2_SiteAcquisitionCostBL]]</f>
        <v>0</v>
      </c>
      <c r="AG5" s="96">
        <f>SUMIFS(Table_SiteMilestoneTracking[c2_SiteAcquisitionCostAC],
Table_SiteMilestoneTracking[SiteAcquired_AC],"&gt;="&amp;Table_SiteMilestoneTrackingSummary[[#This Row],[StartDate]:[StartDate]],
Table_SiteMilestoneTracking[SiteAcquired_AC],"&lt;"&amp;Table_SiteMilestoneTrackingSummary[[#This Row],[EndDate]:[EndDate]]+1)</f>
        <v>0</v>
      </c>
      <c r="AH5" s="100">
        <f>AH4+Table_SiteMilestoneTrackingSummary[[#This Row],[c2_SiteAcquisitionCostAC]]</f>
        <v>0</v>
      </c>
      <c r="AI5" s="96">
        <f>COUNTIFS(Table_SiteMilestoneTracking[SiteAcquired_BL],"&gt;="&amp;Table_SiteMilestoneTrackingSummary[[#This Row],[StartDate]:[StartDate]],
Table_SiteMilestoneTracking[SiteAcquired_BL],"&lt;"&amp;Table_SiteMilestoneTrackingSummary[[#This Row],[EndDate]:[EndDate]]+1)</f>
        <v>0</v>
      </c>
      <c r="AJ5" s="100">
        <f>AJ4+Table_SiteMilestoneTrackingSummary[[#This Row],[SiteAcquired_BL]]</f>
        <v>0</v>
      </c>
      <c r="AK5" s="96">
        <f>COUNTIFS(Table_SiteMilestoneTracking[SiteAcquired_AC],"&gt;="&amp;Table_SiteMilestoneTrackingSummary[[#This Row],[StartDate]:[StartDate]],
Table_SiteMilestoneTracking[SiteAcquired_AC],"&lt;"&amp;Table_SiteMilestoneTrackingSummary[[#This Row],[EndDate]:[EndDate]]+1)</f>
        <v>0</v>
      </c>
      <c r="AL5" s="100">
        <f>AL4+Table_SiteMilestoneTrackingSummary[[#This Row],[SiteAcquired_AC]]</f>
        <v>0</v>
      </c>
      <c r="AM5" s="100">
        <f>Table_SiteMilestoneTrackingSummary[[#This Row],[ReadyForCW_AC]]*$AM$2</f>
        <v>0</v>
      </c>
      <c r="AN5" s="100">
        <f>AN4+Table_SiteMilestoneTrackingSummary[[#This Row],[c2a_SiteCWReadinessEV]]</f>
        <v>0</v>
      </c>
      <c r="AO5" s="96">
        <f>SUMIFS(Table_SiteMilestoneTracking[c2a_SiteCWReadinessCost_BL],
Table_SiteMilestoneTracking[SiteReadyForCW_BL],"&gt;="&amp;Table_SiteMilestoneTrackingSummary[[#This Row],[StartDate]:[StartDate]],
Table_SiteMilestoneTracking[SiteReadyForCW_BL],"&lt;"&amp;Table_SiteMilestoneTrackingSummary[[#This Row],[EndDate]:[EndDate]]+1)</f>
        <v>0</v>
      </c>
      <c r="AP5" s="100">
        <f>AP4+Table_SiteMilestoneTrackingSummary[[#This Row],[c2a_SiteCWReadinessCostBL]]</f>
        <v>0</v>
      </c>
      <c r="AQ5" s="96">
        <f>SUMIFS(Table_SiteMilestoneTracking[c2a_SiteCWReadinessCost_AC],
Table_SiteMilestoneTracking[SiteReadyForCW_AC],"&gt;="&amp;Table_SiteMilestoneTrackingSummary[[#This Row],[StartDate]:[StartDate]],
Table_SiteMilestoneTracking[SiteReadyForCW_AC],"&lt;"&amp;Table_SiteMilestoneTrackingSummary[[#This Row],[EndDate]:[EndDate]]+1)</f>
        <v>0</v>
      </c>
      <c r="AR5" s="100">
        <f>AR4+Table_SiteMilestoneTrackingSummary[[#This Row],[c2a_SiteCWReadinessCostAC]]</f>
        <v>0</v>
      </c>
      <c r="AS5" s="96">
        <f>COUNTIFS(Table_SiteMilestoneTracking[SiteReadyForCW_BL],"&gt;="&amp;Table_SiteMilestoneTrackingSummary[[#This Row],[StartDate]:[StartDate]],
Table_SiteMilestoneTracking[SiteReadyForCW_BL],"&lt;"&amp;Table_SiteMilestoneTrackingSummary[[#This Row],[EndDate]:[EndDate]]+1)</f>
        <v>0</v>
      </c>
      <c r="AT5" s="100">
        <f>AT4+Table_SiteMilestoneTrackingSummary[[#This Row],[ReadyForCW_BL]]</f>
        <v>0</v>
      </c>
      <c r="AU5" s="96">
        <f>COUNTIFS(Table_SiteMilestoneTracking[SiteReadyForCW_AC],"&gt;="&amp;Table_SiteMilestoneTrackingSummary[[#This Row],[StartDate]:[StartDate]],
Table_SiteMilestoneTracking[SiteReadyForCW_AC],"&lt;"&amp;Table_SiteMilestoneTrackingSummary[[#This Row],[EndDate]:[EndDate]]+1)</f>
        <v>0</v>
      </c>
      <c r="AV5" s="100">
        <f>AV4+Table_SiteMilestoneTrackingSummary[[#This Row],[ReadyForCW_AC]]</f>
        <v>0</v>
      </c>
      <c r="AW5" s="100">
        <f>$AW$2*Table_SiteMilestoneTrackingSummary[[#This Row],[ReadyForPower_AC]]</f>
        <v>0</v>
      </c>
      <c r="AX5" s="100">
        <f>AX4+Table_SiteMilestoneTrackingSummary[[#This Row],[c3_CivilWorksEV]]</f>
        <v>0</v>
      </c>
      <c r="AY5" s="96">
        <f>SUMIFS(Table_SiteMilestoneTracking[c3_CivilWorksCostBL],
Table_SiteMilestoneTracking[SiteReadyForPower_BL],"&gt;="&amp;Table_SiteMilestoneTrackingSummary[[#This Row],[StartDate]:[StartDate]],
Table_SiteMilestoneTracking[SiteReadyForPower_BL],"&lt;"&amp;Table_SiteMilestoneTrackingSummary[[#This Row],[EndDate]:[EndDate]]+1)</f>
        <v>0</v>
      </c>
      <c r="AZ5" s="100">
        <f>AZ4+Table_SiteMilestoneTrackingSummary[[#This Row],[c3_CivilWorksCostBL]]</f>
        <v>0</v>
      </c>
      <c r="BA5" s="96">
        <f>SUMIFS(Table_SiteMilestoneTracking[c3_CivilWorksCostAC],
Table_SiteMilestoneTracking[SiteReadyForPower_AC],"&gt;="&amp;Table_SiteMilestoneTrackingSummary[[#This Row],[StartDate]:[StartDate]],
Table_SiteMilestoneTracking[SiteReadyForPower_AC],"&lt;"&amp;Table_SiteMilestoneTrackingSummary[[#This Row],[EndDate]:[EndDate]]+1)</f>
        <v>0</v>
      </c>
      <c r="BB5" s="100">
        <f>BB4+Table_SiteMilestoneTrackingSummary[[#This Row],[c3_CivilWorksCostAC]]</f>
        <v>0</v>
      </c>
      <c r="BC5" s="96">
        <f>COUNTIFS(Table_SiteMilestoneTracking[SiteReadyForPower_BL],"&gt;="&amp;Table_SiteMilestoneTrackingSummary[[#This Row],[StartDate]:[StartDate]],
Table_SiteMilestoneTracking[SiteReadyForPower_BL],"&lt;"&amp;Table_SiteMilestoneTrackingSummary[[#This Row],[EndDate]:[EndDate]]+1)</f>
        <v>0</v>
      </c>
      <c r="BD5" s="100">
        <f>BD4+Table_SiteMilestoneTrackingSummary[[#This Row],[ReadyForPower_BL]]</f>
        <v>0</v>
      </c>
      <c r="BE5" s="96">
        <f>COUNTIFS(Table_SiteMilestoneTracking[SiteReadyForPower_AC],"&gt;="&amp;Table_SiteMilestoneTrackingSummary[[#This Row],[StartDate]:[StartDate]],
Table_SiteMilestoneTracking[SiteReadyForPower_AC],"&lt;"&amp;Table_SiteMilestoneTrackingSummary[[#This Row],[EndDate]:[EndDate]]+1)</f>
        <v>0</v>
      </c>
      <c r="BF5" s="100">
        <f>BF4+Table_SiteMilestoneTrackingSummary[[#This Row],[ReadyForPower_AC]]</f>
        <v>0</v>
      </c>
      <c r="BG5" s="100">
        <f>$BG$2*Table_SiteMilestoneTrackingSummary[[#This Row],[TXReady_AC]]</f>
        <v>0</v>
      </c>
      <c r="BH5" s="100">
        <f>BH4+Table_SiteMilestoneTrackingSummary[[#This Row],[c4_PowerInstallEV]]</f>
        <v>0</v>
      </c>
      <c r="BI5" s="96">
        <f>SUMIFS(Table_SiteMilestoneTracking[c4_PowerInstallCostBL],
Table_SiteMilestoneTracking[TXReady_BL],"&gt;="&amp;Table_SiteMilestoneTrackingSummary[[#This Row],[StartDate]:[StartDate]],
Table_SiteMilestoneTracking[TXReady_BL],"&lt;"&amp;Table_SiteMilestoneTrackingSummary[[#This Row],[EndDate]:[EndDate]]+1)</f>
        <v>0</v>
      </c>
      <c r="BJ5" s="100">
        <f>BJ4+Table_SiteMilestoneTrackingSummary[[#This Row],[c4_PowerInstallCostBL]]</f>
        <v>0</v>
      </c>
      <c r="BK5" s="96">
        <f>SUMIFS(Table_SiteMilestoneTracking[c4_PowerInstallCostAC],
Table_SiteMilestoneTracking[TXReady_AC],"&gt;="&amp;Table_SiteMilestoneTrackingSummary[[#This Row],[StartDate]:[StartDate]],
Table_SiteMilestoneTracking[TXReady_AC],"&lt;"&amp;Table_SiteMilestoneTrackingSummary[[#This Row],[EndDate]:[EndDate]]+1)</f>
        <v>0</v>
      </c>
      <c r="BL5" s="100">
        <f>BL4+Table_SiteMilestoneTrackingSummary[[#This Row],[c4_PowerInstallCostAC]]</f>
        <v>0</v>
      </c>
      <c r="BM5" s="96">
        <f>COUNTIFS(Table_SiteMilestoneTracking[TXReady_BL],"&gt;="&amp;Table_SiteMilestoneTrackingSummary[[#This Row],[StartDate]:[StartDate]],
Table_SiteMilestoneTracking[TXReady_BL],"&lt;"&amp;Table_SiteMilestoneTrackingSummary[[#This Row],[EndDate]:[EndDate]]+1)</f>
        <v>0</v>
      </c>
      <c r="BN5" s="100">
        <f>BN4+Table_SiteMilestoneTrackingSummary[[#This Row],[TXReady_BL]]</f>
        <v>0</v>
      </c>
      <c r="BO5" s="100">
        <f>COUNTIFS(Table_SiteMilestoneTracking[TXReady_AC],"&gt;="&amp;Table_SiteMilestoneTrackingSummary[[#This Row],[StartDate]:[StartDate]],Table_SiteMilestoneTracking[TXReady_AC],"&lt;"&amp;Table_SiteMilestoneTrackingSummary[[#This Row],[EndDate]:[EndDate]]+1)</f>
        <v>0</v>
      </c>
      <c r="BP5" s="100">
        <f>BP4+Table_SiteMilestoneTrackingSummary[[#This Row],[TXReady_AC]]</f>
        <v>0</v>
      </c>
      <c r="BQ5" s="100">
        <f>$BQ$2*Table_SiteMilestoneTrackingSummary[[#This Row],[ReadyForInstallation_AC]]</f>
        <v>0</v>
      </c>
      <c r="BR5" s="100">
        <f>BR4+Table_SiteMilestoneTrackingSummary[[#This Row],[c5_TxIntegrationEV]]</f>
        <v>0</v>
      </c>
      <c r="BS5" s="96">
        <f>SUMIFS(Table_SiteMilestoneTracking[c5_TxintegrationCostBL],
Table_SiteMilestoneTracking[SiteReadyForInstallation_BL],"&gt;="&amp;Table_SiteMilestoneTrackingSummary[[#This Row],[StartDate]:[StartDate]],
Table_SiteMilestoneTracking[SiteReadyForInstallation_BL],"&lt;"&amp;Table_SiteMilestoneTrackingSummary[[#This Row],[EndDate]:[EndDate]]+1)</f>
        <v>0</v>
      </c>
      <c r="BT5" s="100">
        <f>BT4+Table_SiteMilestoneTrackingSummary[[#This Row],[c5_TxIntegrationCostBL]]</f>
        <v>0</v>
      </c>
      <c r="BU5" s="96">
        <f>SUMIFS(Table_SiteMilestoneTracking[c5_TxintegrationCostAC],
Table_SiteMilestoneTracking[SiteReadyForInstallation_AC],"&gt;="&amp;Table_SiteMilestoneTrackingSummary[[#This Row],[StartDate]:[StartDate]],
Table_SiteMilestoneTracking[SiteReadyForInstallation_AC],"&lt;"&amp;Table_SiteMilestoneTrackingSummary[[#This Row],[EndDate]:[EndDate]]+1)</f>
        <v>0</v>
      </c>
      <c r="BV5" s="100">
        <f>BV4+Table_SiteMilestoneTrackingSummary[[#This Row],[c5_TxIntegrationCostAC]]</f>
        <v>0</v>
      </c>
      <c r="BW5" s="96">
        <f>COUNTIFS(Table_SiteMilestoneTracking[SiteReadyForInstallation_BL],"&gt;="&amp;Table_SiteMilestoneTrackingSummary[[#This Row],[StartDate]:[StartDate]],
Table_SiteMilestoneTracking[SiteReadyForInstallation_BL],"&lt;"&amp;Table_SiteMilestoneTrackingSummary[[#This Row],[EndDate]:[EndDate]]+1)</f>
        <v>0</v>
      </c>
      <c r="BX5" s="100">
        <f>BX4+Table_SiteMilestoneTrackingSummary[[#This Row],[ReadyForInstallation_BL]]</f>
        <v>0</v>
      </c>
      <c r="BY5" s="96">
        <f>COUNTIFS(Table_SiteMilestoneTracking[SiteReadyForInstallation_AC],"&gt;="&amp;Table_SiteMilestoneTrackingSummary[[#This Row],[StartDate]:[StartDate]],
Table_SiteMilestoneTracking[SiteReadyForInstallation_AC],"&lt;"&amp;Table_SiteMilestoneTrackingSummary[[#This Row],[EndDate]:[EndDate]]+1)</f>
        <v>0</v>
      </c>
      <c r="BZ5" s="100">
        <f>BZ4+Table_SiteMilestoneTrackingSummary[[#This Row],[ReadyForInstallation_AC]]</f>
        <v>0</v>
      </c>
      <c r="CA5" s="100">
        <f>$CA$2*Table_SiteMilestoneTrackingSummary[[#This Row],[ReadyForIntegration_AC]]</f>
        <v>0</v>
      </c>
      <c r="CB5" s="100">
        <f>CB4+Table_SiteMilestoneTrackingSummary[[#This Row],[c6_InstallationEV]]</f>
        <v>0</v>
      </c>
      <c r="CC5" s="96">
        <f>SUMIFS(Table_SiteMilestoneTracking[c6_InstallationCostBL],
Table_SiteMilestoneTracking[SiteReadyForIntegration_BL],"&gt;="&amp;Table_SiteMilestoneTrackingSummary[[#This Row],[StartDate]:[StartDate]],
Table_SiteMilestoneTracking[SiteReadyForIntegration_BL],"&lt;"&amp;Table_SiteMilestoneTrackingSummary[[#This Row],[EndDate]:[EndDate]]+1)</f>
        <v>0</v>
      </c>
      <c r="CD5" s="100">
        <f>CD4+Table_SiteMilestoneTrackingSummary[[#This Row],[c6_InstallationCostBL]]</f>
        <v>0</v>
      </c>
      <c r="CE5" s="96">
        <f>SUMIFS(Table_SiteMilestoneTracking[c6_InstallationCostAC],
Table_SiteMilestoneTracking[SiteReadyForIntegration_AC],"&gt;="&amp;Table_SiteMilestoneTrackingSummary[[#This Row],[StartDate]:[StartDate]],
Table_SiteMilestoneTracking[SiteReadyForIntegration_AC],"&lt;"&amp;Table_SiteMilestoneTrackingSummary[[#This Row],[EndDate]:[EndDate]]+1)</f>
        <v>0</v>
      </c>
      <c r="CF5" s="100">
        <f>CF4+Table_SiteMilestoneTrackingSummary[[#This Row],[c6_InstallationCostAC]]</f>
        <v>0</v>
      </c>
      <c r="CG5" s="96">
        <f>COUNTIFS(Table_SiteMilestoneTracking[SiteReadyForIntegration_BL],"&gt;="&amp;Table_SiteMilestoneTrackingSummary[[#This Row],[StartDate]:[StartDate]],
Table_SiteMilestoneTracking[SiteReadyForIntegration_BL],"&lt;"&amp;Table_SiteMilestoneTrackingSummary[[#This Row],[EndDate]:[EndDate]]+1)</f>
        <v>0</v>
      </c>
      <c r="CH5" s="100">
        <f>CH4+Table_SiteMilestoneTrackingSummary[[#This Row],[ReadyForIntegration_BL]]</f>
        <v>0</v>
      </c>
      <c r="CI5" s="96">
        <f>COUNTIFS(Table_SiteMilestoneTracking[SiteReadyForIntegration_AC],"&gt;="&amp;Table_SiteMilestoneTrackingSummary[[#This Row],[StartDate]:[StartDate]],
Table_SiteMilestoneTracking[SiteReadyForIntegration_AC],"&lt;"&amp;Table_SiteMilestoneTrackingSummary[[#This Row],[EndDate]:[EndDate]]+1)</f>
        <v>0</v>
      </c>
      <c r="CJ5" s="100">
        <f>CJ4+Table_SiteMilestoneTrackingSummary[[#This Row],[ReadyForIntegration_AC]]</f>
        <v>0</v>
      </c>
      <c r="CK5" s="100">
        <f>$CK$2*Table_SiteMilestoneTrackingSummary[[#This Row],[SiteOnAir_AC]]</f>
        <v>0</v>
      </c>
      <c r="CL5" s="100">
        <f>CL4+Table_SiteMilestoneTrackingSummary[[#This Row],[c7_IntegrationEV]]</f>
        <v>0</v>
      </c>
      <c r="CM5" s="96">
        <f>SUMIFS(Table_SiteMilestoneTracking[c7_IntegrationCostBL],
Table_SiteMilestoneTracking[SiteOnAir_BL],"&gt;="&amp;Table_SiteMilestoneTrackingSummary[[#This Row],[StartDate]:[StartDate]],
Table_SiteMilestoneTracking[SiteOnAir_BL],"&lt;"&amp;Table_SiteMilestoneTrackingSummary[[#This Row],[EndDate]:[EndDate]]+1)</f>
        <v>0</v>
      </c>
      <c r="CN5" s="100">
        <f>CN4+Table_SiteMilestoneTrackingSummary[[#This Row],[c7_IntegrationCostBL]]</f>
        <v>0</v>
      </c>
      <c r="CO5" s="96">
        <f>SUMIFS(Table_SiteMilestoneTracking[c7_IntegrationCostAC],
Table_SiteMilestoneTracking[SiteOnAir_AC],"&gt;="&amp;Table_SiteMilestoneTrackingSummary[[#This Row],[StartDate]:[StartDate]],
Table_SiteMilestoneTracking[SiteOnAir_AC],"&lt;"&amp;Table_SiteMilestoneTrackingSummary[[#This Row],[EndDate]:[EndDate]]+1)</f>
        <v>0</v>
      </c>
      <c r="CP5" s="100">
        <f>CP4+Table_SiteMilestoneTrackingSummary[[#This Row],[c7_IntegrationCostAC]]</f>
        <v>0</v>
      </c>
      <c r="CQ5" s="96">
        <f>COUNTIFS(Table_SiteMilestoneTracking[SiteOnAir_BL],"&gt;="&amp;Table_SiteMilestoneTrackingSummary[[#This Row],[StartDate]:[StartDate]],
Table_SiteMilestoneTracking[SiteOnAir_BL],"&lt;"&amp;Table_SiteMilestoneTrackingSummary[[#This Row],[EndDate]:[EndDate]]+1)</f>
        <v>0</v>
      </c>
      <c r="CR5" s="100">
        <f>CR4+Table_SiteMilestoneTrackingSummary[[#This Row],[SiteOnAir_BL]]</f>
        <v>0</v>
      </c>
      <c r="CS5" s="96">
        <f>COUNTIFS(Table_SiteMilestoneTracking[SiteOnAir_AC],"&gt;="&amp;Table_SiteMilestoneTrackingSummary[[#This Row],[StartDate]:[StartDate]],
Table_SiteMilestoneTracking[SiteOnAir_AC],"&lt;"&amp;Table_SiteMilestoneTrackingSummary[[#This Row],[EndDate]:[EndDate]]+1)</f>
        <v>0</v>
      </c>
      <c r="CT5" s="100">
        <f>CT4+Table_SiteMilestoneTrackingSummary[[#This Row],[SiteOnAir_AC]]</f>
        <v>0</v>
      </c>
      <c r="CU5" s="100">
        <f>$CU$2*Table_SiteMilestoneTrackingSummary[[#This Row],[SiteAccepted_AC]]</f>
        <v>0</v>
      </c>
      <c r="CV5" s="100">
        <f>CV4+Table_SiteMilestoneTrackingSummary[[#This Row],[c8_AcceptanceEV]]</f>
        <v>0</v>
      </c>
      <c r="CW5" s="96">
        <f>SUMIFS(Table_SiteMilestoneTracking[c8_AcceptanceCostBL],
Table_SiteMilestoneTracking[SiteAccepted_BL],"&gt;="&amp;Table_SiteMilestoneTrackingSummary[[#This Row],[StartDate]:[StartDate]],
Table_SiteMilestoneTracking[SiteAccepted_BL],"&lt;"&amp;Table_SiteMilestoneTrackingSummary[[#This Row],[EndDate]:[EndDate]]+1)</f>
        <v>0</v>
      </c>
      <c r="CX5" s="100">
        <f>CX4+Table_SiteMilestoneTrackingSummary[[#This Row],[c8_AcceptanceCostBL]]</f>
        <v>0</v>
      </c>
      <c r="CY5" s="96">
        <f>SUMIFS(Table_SiteMilestoneTracking[c8_AcceptanceCostAC],
Table_SiteMilestoneTracking[SiteAccepted_AC],"&gt;="&amp;Table_SiteMilestoneTrackingSummary[[#This Row],[StartDate]:[StartDate]],
Table_SiteMilestoneTracking[SiteAccepted_AC],"&lt;"&amp;Table_SiteMilestoneTrackingSummary[[#This Row],[EndDate]:[EndDate]]+1)</f>
        <v>0</v>
      </c>
      <c r="CZ5" s="100">
        <f>CZ4+Table_SiteMilestoneTrackingSummary[[#This Row],[c8_AcceptanceCostAC]]</f>
        <v>0</v>
      </c>
      <c r="DA5" s="96">
        <f>COUNTIFS(Table_SiteMilestoneTracking[SiteAccepted_BL],"&gt;="&amp;Table_SiteMilestoneTrackingSummary[[#This Row],[StartDate]:[StartDate]],
Table_SiteMilestoneTracking[SiteAccepted_BL],"&lt;"&amp;Table_SiteMilestoneTrackingSummary[[#This Row],[EndDate]:[EndDate]]+1)</f>
        <v>0</v>
      </c>
      <c r="DB5" s="100">
        <f>DB4+Table_SiteMilestoneTrackingSummary[[#This Row],[SiteAccepted_BL]]</f>
        <v>0</v>
      </c>
      <c r="DC5" s="96">
        <f>COUNTIFS(Table_SiteMilestoneTracking[SiteAccepted_AC],"&gt;="&amp;Table_SiteMilestoneTrackingSummary[[#This Row],[StartDate]:[StartDate]],
Table_SiteMilestoneTracking[SiteAccepted_AC],"&lt;"&amp;Table_SiteMilestoneTrackingSummary[[#This Row],[EndDate]:[EndDate]]+1)</f>
        <v>0</v>
      </c>
      <c r="DD5" s="100">
        <f>DD4+Table_SiteMilestoneTrackingSummary[[#This Row],[SiteAccepted_AC]]</f>
        <v>0</v>
      </c>
      <c r="DE5" s="100">
        <f>$DE$2*Table_SiteMilestoneTrackingSummary[[#This Row],[SiteInOperations_AC]]</f>
        <v>0</v>
      </c>
      <c r="DF5" s="100">
        <f>DF4+Table_SiteMilestoneTrackingSummary[[#This Row],[c9_HandoverEV]]</f>
        <v>0</v>
      </c>
      <c r="DG5" s="96">
        <f>SUMIFS(Table_SiteMilestoneTracking[c9_HandoverCostBL],
Table_SiteMilestoneTracking[SiteInOperations_BL],"&gt;="&amp;Table_SiteMilestoneTrackingSummary[[#This Row],[StartDate]:[StartDate]],
Table_SiteMilestoneTracking[SiteInOperations_BL],"&lt;"&amp;Table_SiteMilestoneTrackingSummary[[#This Row],[EndDate]:[EndDate]]+1)</f>
        <v>0</v>
      </c>
      <c r="DH5" s="100">
        <f>DH4+Table_SiteMilestoneTrackingSummary[[#This Row],[c9_HandoverCostBL2]]</f>
        <v>0</v>
      </c>
      <c r="DI5" s="96">
        <f>SUMIFS(Table_SiteMilestoneTracking[c9_HandoverCostAC],
Table_SiteMilestoneTracking[SiteInOperations_AC],"&gt;="&amp;Table_SiteMilestoneTrackingSummary[[#This Row],[StartDate]:[StartDate]],
Table_SiteMilestoneTracking[SiteInOperations_AC],"&lt;"&amp;Table_SiteMilestoneTrackingSummary[[#This Row],[EndDate]:[EndDate]]+1)</f>
        <v>0</v>
      </c>
      <c r="DJ5" s="100">
        <f>DJ4+Table_SiteMilestoneTrackingSummary[[#This Row],[c9_HandoverCostAC]]</f>
        <v>0</v>
      </c>
      <c r="DK5" s="96">
        <f>COUNTIFS(Table_SiteMilestoneTracking[SiteInOperations_BL],"&gt;="&amp;Table_SiteMilestoneTrackingSummary[[#This Row],[StartDate]:[StartDate]],
Table_SiteMilestoneTracking[SiteInOperations_BL],"&lt;"&amp;Table_SiteMilestoneTrackingSummary[[#This Row],[EndDate]:[EndDate]]+1)</f>
        <v>0</v>
      </c>
      <c r="DL5" s="100">
        <f>DL4+Table_SiteMilestoneTrackingSummary[[#This Row],[SiteInOperations_BL]]</f>
        <v>0</v>
      </c>
      <c r="DM5" s="96">
        <f>COUNTIFS(Table_SiteMilestoneTracking[SiteInOperations_AC],"&gt;="&amp;Table_SiteMilestoneTrackingSummary[[#This Row],[StartDate]:[StartDate]],
Table_SiteMilestoneTracking[SiteInOperations_AC],"&lt;"&amp;Table_SiteMilestoneTrackingSummary[[#This Row],[EndDate]:[EndDate]]+1)</f>
        <v>0</v>
      </c>
      <c r="DN5" s="100">
        <f>DN4+Table_SiteMilestoneTrackingSummary[[#This Row],[SiteInOperations_AC]]</f>
        <v>0</v>
      </c>
      <c r="DO5" s="59">
        <f>Table_SiteMilestoneTrackingSummary[[#This Row],[c0_SiteDesignEV(SUM)]]+Table_SiteMilestoneTrackingSummary[[#This Row],[c1_SiteSurveyEV(SUM)]]+Table_SiteMilestoneTrackingSummary[[#This Row],[c2_SiteAcquisitionEV(SUM)]]+Table_SiteMilestoneTrackingSummary[[#This Row],[c2a_SiteCWReadinessEV(SUM)]]+Table_SiteMilestoneTrackingSummary[[#This Row],[c3_CivilWorksEV(SUM)]]+Table_SiteMilestoneTrackingSummary[[#This Row],[c4_PowerInstallEV(SUM)]]+Table_SiteMilestoneTrackingSummary[[#This Row],[c5_TxIntegrationEV(SUM)]]+Table_SiteMilestoneTrackingSummary[[#This Row],[c6_InstallationEV(SUM)]]+Table_SiteMilestoneTrackingSummary[[#This Row],[c7_IntegrationEV(SUM)]]+Table_SiteMilestoneTrackingSummary[[#This Row],[c8_AcceptanceEV(SUM)]]+Table_SiteMilestoneTrackingSummary[[#This Row],[c9_HandoverEV(SUM)]]</f>
        <v>0</v>
      </c>
      <c r="DP5" s="59">
        <f>Table_SiteMilestoneTrackingSummary[[#This Row],[c0_SiteDesignCostBL(SUM)]]+Table_SiteMilestoneTrackingSummary[[#This Row],[c1_SiteSurveyCostBL(SUM)]]+Table_SiteMilestoneTrackingSummary[[#This Row],[c2_SiteAcquisitionCostBL(SUM)]]+Table_SiteMilestoneTrackingSummary[[#This Row],[c2a_SiteCWReadinessCostBL(SUM)]]+Table_SiteMilestoneTrackingSummary[[#This Row],[c3_CivilWorksCostBL(SUM)]]+Table_SiteMilestoneTrackingSummary[[#This Row],[c4_PowerInstallCostBL(SUM)]]+Table_SiteMilestoneTrackingSummary[[#This Row],[c5_TxIntegrationCostBL(SUM)]]+Table_SiteMilestoneTrackingSummary[[#This Row],[c6_InstallationCostBL(SUM)]]+Table_SiteMilestoneTrackingSummary[[#This Row],[c7_IntegrationCostBL(SUM)]]+Table_SiteMilestoneTrackingSummary[[#This Row],[c8_AcceptanceCostBL(SUM)]]+Table_SiteMilestoneTrackingSummary[[#This Row],[c9_HandoverCostBL(SUM)]]</f>
        <v>0</v>
      </c>
      <c r="DQ5" s="59">
        <f>Table_SiteMilestoneTrackingSummary[[#This Row],[c0_SiteDesignCostAC(SUM)]]+Table_SiteMilestoneTrackingSummary[[#This Row],[c1_SiteSurveyCostAC(SUM)]]+Table_SiteMilestoneTrackingSummary[[#This Row],[c2_SiteAcquisitionCostAC(SUM)]]+Table_SiteMilestoneTrackingSummary[[#This Row],[c2a_SiteCWReadinessCostAC(SUM)]]+Table_SiteMilestoneTrackingSummary[[#This Row],[c3_CivilWorksCostAC(SUM)]]+Table_SiteMilestoneTrackingSummary[[#This Row],[c4_PowerInstallCostAC(SUM)]]+Table_SiteMilestoneTrackingSummary[[#This Row],[c5_TxIntegrationCostAC(SUM)]]+Table_SiteMilestoneTrackingSummary[[#This Row],[c6_InstallationCostAC(SUM)]]+Table_SiteMilestoneTrackingSummary[[#This Row],[c7_IntegrationCostAC(SUM)]]+Table_SiteMilestoneTrackingSummary[[#This Row],[c8_AcceptanceCostAC(SUM)]]+Table_SiteMilestoneTrackingSummary[[#This Row],[c9_HandoverCostAC(SUM)]]</f>
        <v>0</v>
      </c>
      <c r="DR5" s="59">
        <f>Table_SiteMilestoneTrackingSummary[[#This Row],[AccumulatedEV]]-Table_SiteMilestoneTrackingSummary[[#This Row],[AccumulatedPV]]</f>
        <v>0</v>
      </c>
      <c r="DS5" s="59">
        <f>Table_SiteMilestoneTrackingSummary[[#This Row],[AccumulatedEV]]-Table_SiteMilestoneTrackingSummary[[#This Row],[AccumulatedAC]]</f>
        <v>0</v>
      </c>
      <c r="DT5" s="58" t="str">
        <f>IFERROR(Table_SiteMilestoneTrackingSummary[[#This Row],[AccumulatedEV]]/Table_SiteMilestoneTrackingSummary[[#This Row],[AccumulatedPV]],"/")</f>
        <v>/</v>
      </c>
      <c r="DU5" s="101" t="str">
        <f>IFERROR(Table_SiteMilestoneTrackingSummary[[#This Row],[AccumulatedEV]]/Table_SiteMilestoneTrackingSummary[[#This Row],[AccumulatedAC]],"/")</f>
        <v>/</v>
      </c>
    </row>
    <row r="6" spans="1:125" outlineLevel="1" x14ac:dyDescent="0.3">
      <c r="A6" s="79">
        <v>2020</v>
      </c>
      <c r="B6" s="79">
        <v>3</v>
      </c>
      <c r="C6" s="95">
        <f>DATE(Table_SiteMilestoneTrackingSummary[[#This Row],[Year]],1,-2)-WEEKDAY(DATE(Table_SiteMilestoneTrackingSummary[[#This Row],[Year]],1,3))+Table_SiteMilestoneTrackingSummary[[#This Row],[Week]]*7</f>
        <v>43843</v>
      </c>
      <c r="D6" s="95">
        <f>Table_SiteMilestoneTrackingSummary[[#This Row],[StartDate]]+6</f>
        <v>43849</v>
      </c>
      <c r="E6" s="100">
        <f>COUNTIFS(Table_SiteMilestoneTracking[SiteDesignStarted_BL],"&gt;="&amp;Table_SiteMilestoneTrackingSummary[[#This Row],[StartDate]:[StartDate]],Table_SiteMilestoneTracking[SiteDesignStarted_BL],"&lt;"&amp;Table_SiteMilestoneTrackingSummary[[#This Row],[EndDate]:[EndDate]]+1)</f>
        <v>0</v>
      </c>
      <c r="F6" s="100">
        <f>F5+Table_SiteMilestoneTrackingSummary[[#This Row],[SiteDesignStarted_BL]]</f>
        <v>0</v>
      </c>
      <c r="G6" s="100">
        <f>COUNTIFS(Table_SiteMilestoneTracking[SiteDesignStarted_AC],"&gt;="&amp;Table_SiteMilestoneTrackingSummary[[#This Row],[StartDate]:[StartDate]],Table_SiteMilestoneTracking[SiteDesignStarted_AC],"&lt;"&amp;Table_SiteMilestoneTrackingSummary[[#This Row],[EndDate]:[EndDate]]+1)</f>
        <v>0</v>
      </c>
      <c r="H6" s="100">
        <f>H5+Table_SiteMilestoneTrackingSummary[[#This Row],[SiteDesignStarted_AC]]</f>
        <v>0</v>
      </c>
      <c r="I6" s="100">
        <f>Table_SiteMilestoneTrackingSummary[[#This Row],[SiteDesignReady_AC]]*$I$2</f>
        <v>0</v>
      </c>
      <c r="J6" s="100">
        <f>J5+Table_SiteMilestoneTrackingSummary[[#This Row],[c0_SiteDesignEV]]</f>
        <v>0</v>
      </c>
      <c r="K6" s="97">
        <f>SUMIFS(Table_SiteMilestoneTracking[c0_SiteDesignCostBL],
Table_SiteMilestoneTracking[SiteDesignReady_BL],"&gt;="&amp;Table_SiteMilestoneTrackingSummary[[#This Row],[StartDate]:[StartDate]],
Table_SiteMilestoneTracking[SiteDesignReady_BL],"&lt;"&amp;Table_SiteMilestoneTrackingSummary[[#This Row],[EndDate]:[EndDate]]+1)</f>
        <v>0</v>
      </c>
      <c r="L6" s="59">
        <f>L5+Table_SiteMilestoneTrackingSummary[[#This Row],[c0_SiteDesignCostBL]]</f>
        <v>0</v>
      </c>
      <c r="M6" s="97">
        <f>SUMIFS(Table_SiteMilestoneTracking[c0_SiteDesignCostAC],
Table_SiteMilestoneTracking[SiteDesignReady_AC],"&gt;="&amp;Table_SiteMilestoneTrackingSummary[[#This Row],[StartDate]:[StartDate]],
Table_SiteMilestoneTracking[SiteDesignReady_AC],"&lt;"&amp;Table_SiteMilestoneTrackingSummary[[#This Row],[EndDate]:[EndDate]]+1)</f>
        <v>0</v>
      </c>
      <c r="N6" s="59">
        <f>N5+Table_SiteMilestoneTrackingSummary[[#This Row],[c0_SiteDesignCostAC]]</f>
        <v>0</v>
      </c>
      <c r="O6" s="96">
        <f>COUNTIFS(Table_SiteMilestoneTracking[SiteDesignReady_BL],"&gt;="&amp;Table_SiteMilestoneTrackingSummary[[#This Row],[StartDate]:[StartDate]],
Table_SiteMilestoneTracking[SiteDesignReady_BL],"&lt;"&amp;Table_SiteMilestoneTrackingSummary[[#This Row],[EndDate]:[EndDate]]+1)</f>
        <v>0</v>
      </c>
      <c r="P6" s="100">
        <f>P5+Table_SiteMilestoneTrackingSummary[[#This Row],[SiteDesignReady_BL]]</f>
        <v>0</v>
      </c>
      <c r="Q6" s="100">
        <f>COUNTIFS(Table_SiteMilestoneTracking[SiteDesignReady_AC],"&gt;="&amp;Table_SiteMilestoneTrackingSummary[[#This Row],[StartDate]:[StartDate]],Table_SiteMilestoneTracking[SiteDesignReady_AC],"&lt;"&amp;Table_SiteMilestoneTrackingSummary[[#This Row],[EndDate]:[EndDate]]+1)</f>
        <v>0</v>
      </c>
      <c r="R6" s="100">
        <f>R5+Table_SiteMilestoneTrackingSummary[[#This Row],[SiteDesignReady_AC]]</f>
        <v>0</v>
      </c>
      <c r="S6" s="100">
        <f>Table_SiteMilestoneTrackingSummary[[#This Row],[ReadyForCW_AC]]*$S$2</f>
        <v>0</v>
      </c>
      <c r="T6" s="100">
        <f>T5+Table_SiteMilestoneTrackingSummary[[#This Row],[c1_SiteSurveyEV]]</f>
        <v>0</v>
      </c>
      <c r="U6" s="96">
        <f>SUMIFS(Table_SiteMilestoneTracking[c1_SiteSurveyCostBL],
Table_SiteMilestoneTracking[SiteSurveyCompleted_BL],"&gt;="&amp;Table_SiteMilestoneTrackingSummary[[#This Row],[StartDate]:[StartDate]],
Table_SiteMilestoneTracking[SiteSurveyCompleted_BL],"&lt;"&amp;Table_SiteMilestoneTrackingSummary[[#This Row],[EndDate]:[EndDate]]+1)</f>
        <v>0</v>
      </c>
      <c r="V6" s="100">
        <f>V5+Table_SiteMilestoneTrackingSummary[[#This Row],[c1_SiteSurveyCostBL]]</f>
        <v>0</v>
      </c>
      <c r="W6" s="96">
        <f>SUMIFS(Table_SiteMilestoneTracking[c1_SiteSurveyCostAC],
Table_SiteMilestoneTracking[SiteSurveyCompleted_AC],"&gt;="&amp;Table_SiteMilestoneTrackingSummary[[#This Row],[StartDate]:[StartDate]],
Table_SiteMilestoneTracking[SiteSurveyCompleted_AC],"&lt;"&amp;Table_SiteMilestoneTrackingSummary[[#This Row],[EndDate]:[EndDate]]+1)</f>
        <v>0</v>
      </c>
      <c r="X6" s="100">
        <f>X5+Table_SiteMilestoneTrackingSummary[[#This Row],[c1_SiteSurveyCostAC]]</f>
        <v>0</v>
      </c>
      <c r="Y6" s="96">
        <f>COUNTIFS(Table_SiteMilestoneTracking[SiteSurveyCompleted_BL],"&gt;="&amp;Table_SiteMilestoneTrackingSummary[[#This Row],[StartDate]:[StartDate]],
Table_SiteMilestoneTracking[SiteSurveyCompleted_BL],"&lt;"&amp;Table_SiteMilestoneTrackingSummary[[#This Row],[EndDate]:[EndDate]]+1)</f>
        <v>0</v>
      </c>
      <c r="Z6" s="100">
        <f>Z5+Table_SiteMilestoneTrackingSummary[[#This Row],[SiteSurveyCompleted_BL]]</f>
        <v>0</v>
      </c>
      <c r="AA6" s="96">
        <f>COUNTIFS(Table_SiteMilestoneTracking[SiteSurveyCompleted_AC],"&gt;="&amp;Table_SiteMilestoneTrackingSummary[[#This Row],[StartDate]:[StartDate]],
Table_SiteMilestoneTracking[SiteSurveyCompleted_AC],"&lt;"&amp;Table_SiteMilestoneTrackingSummary[[#This Row],[EndDate]:[EndDate]]+1)</f>
        <v>0</v>
      </c>
      <c r="AB6" s="100">
        <f>AB5+Table_SiteMilestoneTrackingSummary[[#This Row],[SiteSurveyCompleted_AC]]</f>
        <v>0</v>
      </c>
      <c r="AC6" s="100">
        <f>$AC$2*Table_SiteMilestoneTrackingSummary[[#This Row],[SiteAcquired_AC]]</f>
        <v>0</v>
      </c>
      <c r="AD6" s="100">
        <f>AD5+Table_SiteMilestoneTrackingSummary[[#This Row],[c2_SiteAcquisitionEV]]</f>
        <v>0</v>
      </c>
      <c r="AE6" s="96">
        <f>SUMIFS(Table_SiteMilestoneTracking[c2_SiteAcquisitionCostBL],
Table_SiteMilestoneTracking[SiteAcquired_BL],"&gt;="&amp;Table_SiteMilestoneTrackingSummary[[#This Row],[StartDate]:[StartDate]],
Table_SiteMilestoneTracking[SiteAcquired_BL],"&lt;"&amp;Table_SiteMilestoneTrackingSummary[[#This Row],[EndDate]:[EndDate]]+1)</f>
        <v>0</v>
      </c>
      <c r="AF6" s="100">
        <f>AF5+Table_SiteMilestoneTrackingSummary[[#This Row],[c2_SiteAcquisitionCostBL]]</f>
        <v>0</v>
      </c>
      <c r="AG6" s="96">
        <f>SUMIFS(Table_SiteMilestoneTracking[c2_SiteAcquisitionCostAC],
Table_SiteMilestoneTracking[SiteAcquired_AC],"&gt;="&amp;Table_SiteMilestoneTrackingSummary[[#This Row],[StartDate]:[StartDate]],
Table_SiteMilestoneTracking[SiteAcquired_AC],"&lt;"&amp;Table_SiteMilestoneTrackingSummary[[#This Row],[EndDate]:[EndDate]]+1)</f>
        <v>0</v>
      </c>
      <c r="AH6" s="100">
        <f>AH5+Table_SiteMilestoneTrackingSummary[[#This Row],[c2_SiteAcquisitionCostAC]]</f>
        <v>0</v>
      </c>
      <c r="AI6" s="96">
        <f>COUNTIFS(Table_SiteMilestoneTracking[SiteAcquired_BL],"&gt;="&amp;Table_SiteMilestoneTrackingSummary[[#This Row],[StartDate]:[StartDate]],
Table_SiteMilestoneTracking[SiteAcquired_BL],"&lt;"&amp;Table_SiteMilestoneTrackingSummary[[#This Row],[EndDate]:[EndDate]]+1)</f>
        <v>0</v>
      </c>
      <c r="AJ6" s="100">
        <f>AJ5+Table_SiteMilestoneTrackingSummary[[#This Row],[SiteAcquired_BL]]</f>
        <v>0</v>
      </c>
      <c r="AK6" s="96">
        <f>COUNTIFS(Table_SiteMilestoneTracking[SiteAcquired_AC],"&gt;="&amp;Table_SiteMilestoneTrackingSummary[[#This Row],[StartDate]:[StartDate]],
Table_SiteMilestoneTracking[SiteAcquired_AC],"&lt;"&amp;Table_SiteMilestoneTrackingSummary[[#This Row],[EndDate]:[EndDate]]+1)</f>
        <v>0</v>
      </c>
      <c r="AL6" s="100">
        <f>AL5+Table_SiteMilestoneTrackingSummary[[#This Row],[SiteAcquired_AC]]</f>
        <v>0</v>
      </c>
      <c r="AM6" s="100">
        <f>Table_SiteMilestoneTrackingSummary[[#This Row],[ReadyForCW_AC]]*$AM$2</f>
        <v>0</v>
      </c>
      <c r="AN6" s="100">
        <f>AN5+Table_SiteMilestoneTrackingSummary[[#This Row],[c2a_SiteCWReadinessEV]]</f>
        <v>0</v>
      </c>
      <c r="AO6" s="96">
        <f>SUMIFS(Table_SiteMilestoneTracking[c2a_SiteCWReadinessCost_BL],
Table_SiteMilestoneTracking[SiteReadyForCW_BL],"&gt;="&amp;Table_SiteMilestoneTrackingSummary[[#This Row],[StartDate]:[StartDate]],
Table_SiteMilestoneTracking[SiteReadyForCW_BL],"&lt;"&amp;Table_SiteMilestoneTrackingSummary[[#This Row],[EndDate]:[EndDate]]+1)</f>
        <v>0</v>
      </c>
      <c r="AP6" s="100">
        <f>AP5+Table_SiteMilestoneTrackingSummary[[#This Row],[c2a_SiteCWReadinessCostBL]]</f>
        <v>0</v>
      </c>
      <c r="AQ6" s="96">
        <f>SUMIFS(Table_SiteMilestoneTracking[c2a_SiteCWReadinessCost_AC],
Table_SiteMilestoneTracking[SiteReadyForCW_AC],"&gt;="&amp;Table_SiteMilestoneTrackingSummary[[#This Row],[StartDate]:[StartDate]],
Table_SiteMilestoneTracking[SiteReadyForCW_AC],"&lt;"&amp;Table_SiteMilestoneTrackingSummary[[#This Row],[EndDate]:[EndDate]]+1)</f>
        <v>0</v>
      </c>
      <c r="AR6" s="100">
        <f>AR5+Table_SiteMilestoneTrackingSummary[[#This Row],[c2a_SiteCWReadinessCostAC]]</f>
        <v>0</v>
      </c>
      <c r="AS6" s="96">
        <f>COUNTIFS(Table_SiteMilestoneTracking[SiteReadyForCW_BL],"&gt;="&amp;Table_SiteMilestoneTrackingSummary[[#This Row],[StartDate]:[StartDate]],
Table_SiteMilestoneTracking[SiteReadyForCW_BL],"&lt;"&amp;Table_SiteMilestoneTrackingSummary[[#This Row],[EndDate]:[EndDate]]+1)</f>
        <v>0</v>
      </c>
      <c r="AT6" s="100">
        <f>AT5+Table_SiteMilestoneTrackingSummary[[#This Row],[ReadyForCW_BL]]</f>
        <v>0</v>
      </c>
      <c r="AU6" s="96">
        <f>COUNTIFS(Table_SiteMilestoneTracking[SiteReadyForCW_AC],"&gt;="&amp;Table_SiteMilestoneTrackingSummary[[#This Row],[StartDate]:[StartDate]],
Table_SiteMilestoneTracking[SiteReadyForCW_AC],"&lt;"&amp;Table_SiteMilestoneTrackingSummary[[#This Row],[EndDate]:[EndDate]]+1)</f>
        <v>0</v>
      </c>
      <c r="AV6" s="100">
        <f>AV5+Table_SiteMilestoneTrackingSummary[[#This Row],[ReadyForCW_AC]]</f>
        <v>0</v>
      </c>
      <c r="AW6" s="100">
        <f>$AW$2*Table_SiteMilestoneTrackingSummary[[#This Row],[ReadyForPower_AC]]</f>
        <v>0</v>
      </c>
      <c r="AX6" s="100">
        <f>AX5+Table_SiteMilestoneTrackingSummary[[#This Row],[c3_CivilWorksEV]]</f>
        <v>0</v>
      </c>
      <c r="AY6" s="96">
        <f>SUMIFS(Table_SiteMilestoneTracking[c3_CivilWorksCostBL],
Table_SiteMilestoneTracking[SiteReadyForPower_BL],"&gt;="&amp;Table_SiteMilestoneTrackingSummary[[#This Row],[StartDate]:[StartDate]],
Table_SiteMilestoneTracking[SiteReadyForPower_BL],"&lt;"&amp;Table_SiteMilestoneTrackingSummary[[#This Row],[EndDate]:[EndDate]]+1)</f>
        <v>0</v>
      </c>
      <c r="AZ6" s="100">
        <f>AZ5+Table_SiteMilestoneTrackingSummary[[#This Row],[c3_CivilWorksCostBL]]</f>
        <v>0</v>
      </c>
      <c r="BA6" s="96">
        <f>SUMIFS(Table_SiteMilestoneTracking[c3_CivilWorksCostAC],
Table_SiteMilestoneTracking[SiteReadyForPower_AC],"&gt;="&amp;Table_SiteMilestoneTrackingSummary[[#This Row],[StartDate]:[StartDate]],
Table_SiteMilestoneTracking[SiteReadyForPower_AC],"&lt;"&amp;Table_SiteMilestoneTrackingSummary[[#This Row],[EndDate]:[EndDate]]+1)</f>
        <v>0</v>
      </c>
      <c r="BB6" s="100">
        <f>BB5+Table_SiteMilestoneTrackingSummary[[#This Row],[c3_CivilWorksCostAC]]</f>
        <v>0</v>
      </c>
      <c r="BC6" s="96">
        <f>COUNTIFS(Table_SiteMilestoneTracking[SiteReadyForPower_BL],"&gt;="&amp;Table_SiteMilestoneTrackingSummary[[#This Row],[StartDate]:[StartDate]],
Table_SiteMilestoneTracking[SiteReadyForPower_BL],"&lt;"&amp;Table_SiteMilestoneTrackingSummary[[#This Row],[EndDate]:[EndDate]]+1)</f>
        <v>0</v>
      </c>
      <c r="BD6" s="100">
        <f>BD5+Table_SiteMilestoneTrackingSummary[[#This Row],[ReadyForPower_BL]]</f>
        <v>0</v>
      </c>
      <c r="BE6" s="96">
        <f>COUNTIFS(Table_SiteMilestoneTracking[SiteReadyForPower_AC],"&gt;="&amp;Table_SiteMilestoneTrackingSummary[[#This Row],[StartDate]:[StartDate]],
Table_SiteMilestoneTracking[SiteReadyForPower_AC],"&lt;"&amp;Table_SiteMilestoneTrackingSummary[[#This Row],[EndDate]:[EndDate]]+1)</f>
        <v>0</v>
      </c>
      <c r="BF6" s="100">
        <f>BF5+Table_SiteMilestoneTrackingSummary[[#This Row],[ReadyForPower_AC]]</f>
        <v>0</v>
      </c>
      <c r="BG6" s="100">
        <f>$BG$2*Table_SiteMilestoneTrackingSummary[[#This Row],[TXReady_AC]]</f>
        <v>0</v>
      </c>
      <c r="BH6" s="100">
        <f>BH5+Table_SiteMilestoneTrackingSummary[[#This Row],[c4_PowerInstallEV]]</f>
        <v>0</v>
      </c>
      <c r="BI6" s="96">
        <f>SUMIFS(Table_SiteMilestoneTracking[c4_PowerInstallCostBL],
Table_SiteMilestoneTracking[TXReady_BL],"&gt;="&amp;Table_SiteMilestoneTrackingSummary[[#This Row],[StartDate]:[StartDate]],
Table_SiteMilestoneTracking[TXReady_BL],"&lt;"&amp;Table_SiteMilestoneTrackingSummary[[#This Row],[EndDate]:[EndDate]]+1)</f>
        <v>0</v>
      </c>
      <c r="BJ6" s="100">
        <f>BJ5+Table_SiteMilestoneTrackingSummary[[#This Row],[c4_PowerInstallCostBL]]</f>
        <v>0</v>
      </c>
      <c r="BK6" s="96">
        <f>SUMIFS(Table_SiteMilestoneTracking[c4_PowerInstallCostAC],
Table_SiteMilestoneTracking[TXReady_AC],"&gt;="&amp;Table_SiteMilestoneTrackingSummary[[#This Row],[StartDate]:[StartDate]],
Table_SiteMilestoneTracking[TXReady_AC],"&lt;"&amp;Table_SiteMilestoneTrackingSummary[[#This Row],[EndDate]:[EndDate]]+1)</f>
        <v>0</v>
      </c>
      <c r="BL6" s="100">
        <f>BL5+Table_SiteMilestoneTrackingSummary[[#This Row],[c4_PowerInstallCostAC]]</f>
        <v>0</v>
      </c>
      <c r="BM6" s="96">
        <f>COUNTIFS(Table_SiteMilestoneTracking[TXReady_BL],"&gt;="&amp;Table_SiteMilestoneTrackingSummary[[#This Row],[StartDate]:[StartDate]],
Table_SiteMilestoneTracking[TXReady_BL],"&lt;"&amp;Table_SiteMilestoneTrackingSummary[[#This Row],[EndDate]:[EndDate]]+1)</f>
        <v>0</v>
      </c>
      <c r="BN6" s="100">
        <f>BN5+Table_SiteMilestoneTrackingSummary[[#This Row],[TXReady_BL]]</f>
        <v>0</v>
      </c>
      <c r="BO6" s="100">
        <f>COUNTIFS(Table_SiteMilestoneTracking[TXReady_AC],"&gt;="&amp;Table_SiteMilestoneTrackingSummary[[#This Row],[StartDate]:[StartDate]],Table_SiteMilestoneTracking[TXReady_AC],"&lt;"&amp;Table_SiteMilestoneTrackingSummary[[#This Row],[EndDate]:[EndDate]]+1)</f>
        <v>0</v>
      </c>
      <c r="BP6" s="100">
        <f>BP5+Table_SiteMilestoneTrackingSummary[[#This Row],[TXReady_AC]]</f>
        <v>0</v>
      </c>
      <c r="BQ6" s="100">
        <f>$BQ$2*Table_SiteMilestoneTrackingSummary[[#This Row],[ReadyForInstallation_AC]]</f>
        <v>0</v>
      </c>
      <c r="BR6" s="100">
        <f>BR5+Table_SiteMilestoneTrackingSummary[[#This Row],[c5_TxIntegrationEV]]</f>
        <v>0</v>
      </c>
      <c r="BS6" s="96">
        <f>SUMIFS(Table_SiteMilestoneTracking[c5_TxintegrationCostBL],
Table_SiteMilestoneTracking[SiteReadyForInstallation_BL],"&gt;="&amp;Table_SiteMilestoneTrackingSummary[[#This Row],[StartDate]:[StartDate]],
Table_SiteMilestoneTracking[SiteReadyForInstallation_BL],"&lt;"&amp;Table_SiteMilestoneTrackingSummary[[#This Row],[EndDate]:[EndDate]]+1)</f>
        <v>0</v>
      </c>
      <c r="BT6" s="100">
        <f>BT5+Table_SiteMilestoneTrackingSummary[[#This Row],[c5_TxIntegrationCostBL]]</f>
        <v>0</v>
      </c>
      <c r="BU6" s="96">
        <f>SUMIFS(Table_SiteMilestoneTracking[c5_TxintegrationCostAC],
Table_SiteMilestoneTracking[SiteReadyForInstallation_AC],"&gt;="&amp;Table_SiteMilestoneTrackingSummary[[#This Row],[StartDate]:[StartDate]],
Table_SiteMilestoneTracking[SiteReadyForInstallation_AC],"&lt;"&amp;Table_SiteMilestoneTrackingSummary[[#This Row],[EndDate]:[EndDate]]+1)</f>
        <v>0</v>
      </c>
      <c r="BV6" s="100">
        <f>BV5+Table_SiteMilestoneTrackingSummary[[#This Row],[c5_TxIntegrationCostAC]]</f>
        <v>0</v>
      </c>
      <c r="BW6" s="96">
        <f>COUNTIFS(Table_SiteMilestoneTracking[SiteReadyForInstallation_BL],"&gt;="&amp;Table_SiteMilestoneTrackingSummary[[#This Row],[StartDate]:[StartDate]],
Table_SiteMilestoneTracking[SiteReadyForInstallation_BL],"&lt;"&amp;Table_SiteMilestoneTrackingSummary[[#This Row],[EndDate]:[EndDate]]+1)</f>
        <v>0</v>
      </c>
      <c r="BX6" s="100">
        <f>BX5+Table_SiteMilestoneTrackingSummary[[#This Row],[ReadyForInstallation_BL]]</f>
        <v>0</v>
      </c>
      <c r="BY6" s="96">
        <f>COUNTIFS(Table_SiteMilestoneTracking[SiteReadyForInstallation_AC],"&gt;="&amp;Table_SiteMilestoneTrackingSummary[[#This Row],[StartDate]:[StartDate]],
Table_SiteMilestoneTracking[SiteReadyForInstallation_AC],"&lt;"&amp;Table_SiteMilestoneTrackingSummary[[#This Row],[EndDate]:[EndDate]]+1)</f>
        <v>0</v>
      </c>
      <c r="BZ6" s="100">
        <f>BZ5+Table_SiteMilestoneTrackingSummary[[#This Row],[ReadyForInstallation_AC]]</f>
        <v>0</v>
      </c>
      <c r="CA6" s="100">
        <f>$CA$2*Table_SiteMilestoneTrackingSummary[[#This Row],[ReadyForIntegration_AC]]</f>
        <v>0</v>
      </c>
      <c r="CB6" s="100">
        <f>CB5+Table_SiteMilestoneTrackingSummary[[#This Row],[c6_InstallationEV]]</f>
        <v>0</v>
      </c>
      <c r="CC6" s="96">
        <f>SUMIFS(Table_SiteMilestoneTracking[c6_InstallationCostBL],
Table_SiteMilestoneTracking[SiteReadyForIntegration_BL],"&gt;="&amp;Table_SiteMilestoneTrackingSummary[[#This Row],[StartDate]:[StartDate]],
Table_SiteMilestoneTracking[SiteReadyForIntegration_BL],"&lt;"&amp;Table_SiteMilestoneTrackingSummary[[#This Row],[EndDate]:[EndDate]]+1)</f>
        <v>0</v>
      </c>
      <c r="CD6" s="100">
        <f>CD5+Table_SiteMilestoneTrackingSummary[[#This Row],[c6_InstallationCostBL]]</f>
        <v>0</v>
      </c>
      <c r="CE6" s="96">
        <f>SUMIFS(Table_SiteMilestoneTracking[c6_InstallationCostAC],
Table_SiteMilestoneTracking[SiteReadyForIntegration_AC],"&gt;="&amp;Table_SiteMilestoneTrackingSummary[[#This Row],[StartDate]:[StartDate]],
Table_SiteMilestoneTracking[SiteReadyForIntegration_AC],"&lt;"&amp;Table_SiteMilestoneTrackingSummary[[#This Row],[EndDate]:[EndDate]]+1)</f>
        <v>0</v>
      </c>
      <c r="CF6" s="100">
        <f>CF5+Table_SiteMilestoneTrackingSummary[[#This Row],[c6_InstallationCostAC]]</f>
        <v>0</v>
      </c>
      <c r="CG6" s="96">
        <f>COUNTIFS(Table_SiteMilestoneTracking[SiteReadyForIntegration_BL],"&gt;="&amp;Table_SiteMilestoneTrackingSummary[[#This Row],[StartDate]:[StartDate]],
Table_SiteMilestoneTracking[SiteReadyForIntegration_BL],"&lt;"&amp;Table_SiteMilestoneTrackingSummary[[#This Row],[EndDate]:[EndDate]]+1)</f>
        <v>0</v>
      </c>
      <c r="CH6" s="100">
        <f>CH5+Table_SiteMilestoneTrackingSummary[[#This Row],[ReadyForIntegration_BL]]</f>
        <v>0</v>
      </c>
      <c r="CI6" s="96">
        <f>COUNTIFS(Table_SiteMilestoneTracking[SiteReadyForIntegration_AC],"&gt;="&amp;Table_SiteMilestoneTrackingSummary[[#This Row],[StartDate]:[StartDate]],
Table_SiteMilestoneTracking[SiteReadyForIntegration_AC],"&lt;"&amp;Table_SiteMilestoneTrackingSummary[[#This Row],[EndDate]:[EndDate]]+1)</f>
        <v>0</v>
      </c>
      <c r="CJ6" s="100">
        <f>CJ5+Table_SiteMilestoneTrackingSummary[[#This Row],[ReadyForIntegration_AC]]</f>
        <v>0</v>
      </c>
      <c r="CK6" s="100">
        <f>$CK$2*Table_SiteMilestoneTrackingSummary[[#This Row],[SiteOnAir_AC]]</f>
        <v>0</v>
      </c>
      <c r="CL6" s="100">
        <f>CL5+Table_SiteMilestoneTrackingSummary[[#This Row],[c7_IntegrationEV]]</f>
        <v>0</v>
      </c>
      <c r="CM6" s="96">
        <f>SUMIFS(Table_SiteMilestoneTracking[c7_IntegrationCostBL],
Table_SiteMilestoneTracking[SiteOnAir_BL],"&gt;="&amp;Table_SiteMilestoneTrackingSummary[[#This Row],[StartDate]:[StartDate]],
Table_SiteMilestoneTracking[SiteOnAir_BL],"&lt;"&amp;Table_SiteMilestoneTrackingSummary[[#This Row],[EndDate]:[EndDate]]+1)</f>
        <v>0</v>
      </c>
      <c r="CN6" s="100">
        <f>CN5+Table_SiteMilestoneTrackingSummary[[#This Row],[c7_IntegrationCostBL]]</f>
        <v>0</v>
      </c>
      <c r="CO6" s="96">
        <f>SUMIFS(Table_SiteMilestoneTracking[c7_IntegrationCostAC],
Table_SiteMilestoneTracking[SiteOnAir_AC],"&gt;="&amp;Table_SiteMilestoneTrackingSummary[[#This Row],[StartDate]:[StartDate]],
Table_SiteMilestoneTracking[SiteOnAir_AC],"&lt;"&amp;Table_SiteMilestoneTrackingSummary[[#This Row],[EndDate]:[EndDate]]+1)</f>
        <v>0</v>
      </c>
      <c r="CP6" s="100">
        <f>CP5+Table_SiteMilestoneTrackingSummary[[#This Row],[c7_IntegrationCostAC]]</f>
        <v>0</v>
      </c>
      <c r="CQ6" s="96">
        <f>COUNTIFS(Table_SiteMilestoneTracking[SiteOnAir_BL],"&gt;="&amp;Table_SiteMilestoneTrackingSummary[[#This Row],[StartDate]:[StartDate]],
Table_SiteMilestoneTracking[SiteOnAir_BL],"&lt;"&amp;Table_SiteMilestoneTrackingSummary[[#This Row],[EndDate]:[EndDate]]+1)</f>
        <v>0</v>
      </c>
      <c r="CR6" s="100">
        <f>CR5+Table_SiteMilestoneTrackingSummary[[#This Row],[SiteOnAir_BL]]</f>
        <v>0</v>
      </c>
      <c r="CS6" s="96">
        <f>COUNTIFS(Table_SiteMilestoneTracking[SiteOnAir_AC],"&gt;="&amp;Table_SiteMilestoneTrackingSummary[[#This Row],[StartDate]:[StartDate]],
Table_SiteMilestoneTracking[SiteOnAir_AC],"&lt;"&amp;Table_SiteMilestoneTrackingSummary[[#This Row],[EndDate]:[EndDate]]+1)</f>
        <v>0</v>
      </c>
      <c r="CT6" s="100">
        <f>CT5+Table_SiteMilestoneTrackingSummary[[#This Row],[SiteOnAir_AC]]</f>
        <v>0</v>
      </c>
      <c r="CU6" s="100">
        <f>$CU$2*Table_SiteMilestoneTrackingSummary[[#This Row],[SiteAccepted_AC]]</f>
        <v>0</v>
      </c>
      <c r="CV6" s="100">
        <f>CV5+Table_SiteMilestoneTrackingSummary[[#This Row],[c8_AcceptanceEV]]</f>
        <v>0</v>
      </c>
      <c r="CW6" s="96">
        <f>SUMIFS(Table_SiteMilestoneTracking[c8_AcceptanceCostBL],
Table_SiteMilestoneTracking[SiteAccepted_BL],"&gt;="&amp;Table_SiteMilestoneTrackingSummary[[#This Row],[StartDate]:[StartDate]],
Table_SiteMilestoneTracking[SiteAccepted_BL],"&lt;"&amp;Table_SiteMilestoneTrackingSummary[[#This Row],[EndDate]:[EndDate]]+1)</f>
        <v>0</v>
      </c>
      <c r="CX6" s="100">
        <f>CX5+Table_SiteMilestoneTrackingSummary[[#This Row],[c8_AcceptanceCostBL]]</f>
        <v>0</v>
      </c>
      <c r="CY6" s="96">
        <f>SUMIFS(Table_SiteMilestoneTracking[c8_AcceptanceCostAC],
Table_SiteMilestoneTracking[SiteAccepted_AC],"&gt;="&amp;Table_SiteMilestoneTrackingSummary[[#This Row],[StartDate]:[StartDate]],
Table_SiteMilestoneTracking[SiteAccepted_AC],"&lt;"&amp;Table_SiteMilestoneTrackingSummary[[#This Row],[EndDate]:[EndDate]]+1)</f>
        <v>0</v>
      </c>
      <c r="CZ6" s="100">
        <f>CZ5+Table_SiteMilestoneTrackingSummary[[#This Row],[c8_AcceptanceCostAC]]</f>
        <v>0</v>
      </c>
      <c r="DA6" s="96">
        <f>COUNTIFS(Table_SiteMilestoneTracking[SiteAccepted_BL],"&gt;="&amp;Table_SiteMilestoneTrackingSummary[[#This Row],[StartDate]:[StartDate]],
Table_SiteMilestoneTracking[SiteAccepted_BL],"&lt;"&amp;Table_SiteMilestoneTrackingSummary[[#This Row],[EndDate]:[EndDate]]+1)</f>
        <v>0</v>
      </c>
      <c r="DB6" s="100">
        <f>DB5+Table_SiteMilestoneTrackingSummary[[#This Row],[SiteAccepted_BL]]</f>
        <v>0</v>
      </c>
      <c r="DC6" s="96">
        <f>COUNTIFS(Table_SiteMilestoneTracking[SiteAccepted_AC],"&gt;="&amp;Table_SiteMilestoneTrackingSummary[[#This Row],[StartDate]:[StartDate]],
Table_SiteMilestoneTracking[SiteAccepted_AC],"&lt;"&amp;Table_SiteMilestoneTrackingSummary[[#This Row],[EndDate]:[EndDate]]+1)</f>
        <v>0</v>
      </c>
      <c r="DD6" s="100">
        <f>DD5+Table_SiteMilestoneTrackingSummary[[#This Row],[SiteAccepted_AC]]</f>
        <v>0</v>
      </c>
      <c r="DE6" s="100">
        <f>$DE$2*Table_SiteMilestoneTrackingSummary[[#This Row],[SiteInOperations_AC]]</f>
        <v>0</v>
      </c>
      <c r="DF6" s="100">
        <f>DF5+Table_SiteMilestoneTrackingSummary[[#This Row],[c9_HandoverEV]]</f>
        <v>0</v>
      </c>
      <c r="DG6" s="96">
        <f>SUMIFS(Table_SiteMilestoneTracking[c9_HandoverCostBL],
Table_SiteMilestoneTracking[SiteInOperations_BL],"&gt;="&amp;Table_SiteMilestoneTrackingSummary[[#This Row],[StartDate]:[StartDate]],
Table_SiteMilestoneTracking[SiteInOperations_BL],"&lt;"&amp;Table_SiteMilestoneTrackingSummary[[#This Row],[EndDate]:[EndDate]]+1)</f>
        <v>0</v>
      </c>
      <c r="DH6" s="100">
        <f>DH5+Table_SiteMilestoneTrackingSummary[[#This Row],[c9_HandoverCostBL2]]</f>
        <v>0</v>
      </c>
      <c r="DI6" s="96">
        <f>SUMIFS(Table_SiteMilestoneTracking[c9_HandoverCostAC],
Table_SiteMilestoneTracking[SiteInOperations_AC],"&gt;="&amp;Table_SiteMilestoneTrackingSummary[[#This Row],[StartDate]:[StartDate]],
Table_SiteMilestoneTracking[SiteInOperations_AC],"&lt;"&amp;Table_SiteMilestoneTrackingSummary[[#This Row],[EndDate]:[EndDate]]+1)</f>
        <v>0</v>
      </c>
      <c r="DJ6" s="100">
        <f>DJ5+Table_SiteMilestoneTrackingSummary[[#This Row],[c9_HandoverCostAC]]</f>
        <v>0</v>
      </c>
      <c r="DK6" s="96">
        <f>COUNTIFS(Table_SiteMilestoneTracking[SiteInOperations_BL],"&gt;="&amp;Table_SiteMilestoneTrackingSummary[[#This Row],[StartDate]:[StartDate]],
Table_SiteMilestoneTracking[SiteInOperations_BL],"&lt;"&amp;Table_SiteMilestoneTrackingSummary[[#This Row],[EndDate]:[EndDate]]+1)</f>
        <v>0</v>
      </c>
      <c r="DL6" s="100">
        <f>DL5+Table_SiteMilestoneTrackingSummary[[#This Row],[SiteInOperations_BL]]</f>
        <v>0</v>
      </c>
      <c r="DM6" s="96">
        <f>COUNTIFS(Table_SiteMilestoneTracking[SiteInOperations_AC],"&gt;="&amp;Table_SiteMilestoneTrackingSummary[[#This Row],[StartDate]:[StartDate]],
Table_SiteMilestoneTracking[SiteInOperations_AC],"&lt;"&amp;Table_SiteMilestoneTrackingSummary[[#This Row],[EndDate]:[EndDate]]+1)</f>
        <v>0</v>
      </c>
      <c r="DN6" s="100">
        <f>DN5+Table_SiteMilestoneTrackingSummary[[#This Row],[SiteInOperations_AC]]</f>
        <v>0</v>
      </c>
      <c r="DO6" s="59">
        <f>Table_SiteMilestoneTrackingSummary[[#This Row],[c0_SiteDesignEV(SUM)]]+Table_SiteMilestoneTrackingSummary[[#This Row],[c1_SiteSurveyEV(SUM)]]+Table_SiteMilestoneTrackingSummary[[#This Row],[c2_SiteAcquisitionEV(SUM)]]+Table_SiteMilestoneTrackingSummary[[#This Row],[c2a_SiteCWReadinessEV(SUM)]]+Table_SiteMilestoneTrackingSummary[[#This Row],[c3_CivilWorksEV(SUM)]]+Table_SiteMilestoneTrackingSummary[[#This Row],[c4_PowerInstallEV(SUM)]]+Table_SiteMilestoneTrackingSummary[[#This Row],[c5_TxIntegrationEV(SUM)]]+Table_SiteMilestoneTrackingSummary[[#This Row],[c6_InstallationEV(SUM)]]+Table_SiteMilestoneTrackingSummary[[#This Row],[c7_IntegrationEV(SUM)]]+Table_SiteMilestoneTrackingSummary[[#This Row],[c8_AcceptanceEV(SUM)]]+Table_SiteMilestoneTrackingSummary[[#This Row],[c9_HandoverEV(SUM)]]</f>
        <v>0</v>
      </c>
      <c r="DP6" s="59">
        <f>Table_SiteMilestoneTrackingSummary[[#This Row],[c0_SiteDesignCostBL(SUM)]]+Table_SiteMilestoneTrackingSummary[[#This Row],[c1_SiteSurveyCostBL(SUM)]]+Table_SiteMilestoneTrackingSummary[[#This Row],[c2_SiteAcquisitionCostBL(SUM)]]+Table_SiteMilestoneTrackingSummary[[#This Row],[c2a_SiteCWReadinessCostBL(SUM)]]+Table_SiteMilestoneTrackingSummary[[#This Row],[c3_CivilWorksCostBL(SUM)]]+Table_SiteMilestoneTrackingSummary[[#This Row],[c4_PowerInstallCostBL(SUM)]]+Table_SiteMilestoneTrackingSummary[[#This Row],[c5_TxIntegrationCostBL(SUM)]]+Table_SiteMilestoneTrackingSummary[[#This Row],[c6_InstallationCostBL(SUM)]]+Table_SiteMilestoneTrackingSummary[[#This Row],[c7_IntegrationCostBL(SUM)]]+Table_SiteMilestoneTrackingSummary[[#This Row],[c8_AcceptanceCostBL(SUM)]]+Table_SiteMilestoneTrackingSummary[[#This Row],[c9_HandoverCostBL(SUM)]]</f>
        <v>0</v>
      </c>
      <c r="DQ6" s="59">
        <f>Table_SiteMilestoneTrackingSummary[[#This Row],[c0_SiteDesignCostAC(SUM)]]+Table_SiteMilestoneTrackingSummary[[#This Row],[c1_SiteSurveyCostAC(SUM)]]+Table_SiteMilestoneTrackingSummary[[#This Row],[c2_SiteAcquisitionCostAC(SUM)]]+Table_SiteMilestoneTrackingSummary[[#This Row],[c2a_SiteCWReadinessCostAC(SUM)]]+Table_SiteMilestoneTrackingSummary[[#This Row],[c3_CivilWorksCostAC(SUM)]]+Table_SiteMilestoneTrackingSummary[[#This Row],[c4_PowerInstallCostAC(SUM)]]+Table_SiteMilestoneTrackingSummary[[#This Row],[c5_TxIntegrationCostAC(SUM)]]+Table_SiteMilestoneTrackingSummary[[#This Row],[c6_InstallationCostAC(SUM)]]+Table_SiteMilestoneTrackingSummary[[#This Row],[c7_IntegrationCostAC(SUM)]]+Table_SiteMilestoneTrackingSummary[[#This Row],[c8_AcceptanceCostAC(SUM)]]+Table_SiteMilestoneTrackingSummary[[#This Row],[c9_HandoverCostAC(SUM)]]</f>
        <v>0</v>
      </c>
      <c r="DR6" s="59">
        <f>Table_SiteMilestoneTrackingSummary[[#This Row],[AccumulatedEV]]-Table_SiteMilestoneTrackingSummary[[#This Row],[AccumulatedPV]]</f>
        <v>0</v>
      </c>
      <c r="DS6" s="59">
        <f>Table_SiteMilestoneTrackingSummary[[#This Row],[AccumulatedEV]]-Table_SiteMilestoneTrackingSummary[[#This Row],[AccumulatedAC]]</f>
        <v>0</v>
      </c>
      <c r="DT6" s="58" t="str">
        <f>IFERROR(Table_SiteMilestoneTrackingSummary[[#This Row],[AccumulatedEV]]/Table_SiteMilestoneTrackingSummary[[#This Row],[AccumulatedPV]],"/")</f>
        <v>/</v>
      </c>
      <c r="DU6" s="101" t="str">
        <f>IFERROR(Table_SiteMilestoneTrackingSummary[[#This Row],[AccumulatedEV]]/Table_SiteMilestoneTrackingSummary[[#This Row],[AccumulatedAC]],"/")</f>
        <v>/</v>
      </c>
    </row>
    <row r="7" spans="1:125" outlineLevel="1" x14ac:dyDescent="0.3">
      <c r="A7" s="79">
        <v>2020</v>
      </c>
      <c r="B7" s="79">
        <v>4</v>
      </c>
      <c r="C7" s="95">
        <f>DATE(Table_SiteMilestoneTrackingSummary[[#This Row],[Year]],1,-2)-WEEKDAY(DATE(Table_SiteMilestoneTrackingSummary[[#This Row],[Year]],1,3))+Table_SiteMilestoneTrackingSummary[[#This Row],[Week]]*7</f>
        <v>43850</v>
      </c>
      <c r="D7" s="95">
        <f>Table_SiteMilestoneTrackingSummary[[#This Row],[StartDate]]+6</f>
        <v>43856</v>
      </c>
      <c r="E7" s="100">
        <f>COUNTIFS(Table_SiteMilestoneTracking[SiteDesignStarted_BL],"&gt;="&amp;Table_SiteMilestoneTrackingSummary[[#This Row],[StartDate]:[StartDate]],Table_SiteMilestoneTracking[SiteDesignStarted_BL],"&lt;"&amp;Table_SiteMilestoneTrackingSummary[[#This Row],[EndDate]:[EndDate]]+1)</f>
        <v>0</v>
      </c>
      <c r="F7" s="100">
        <f>F6+Table_SiteMilestoneTrackingSummary[[#This Row],[SiteDesignStarted_BL]]</f>
        <v>0</v>
      </c>
      <c r="G7" s="100">
        <f>COUNTIFS(Table_SiteMilestoneTracking[SiteDesignStarted_AC],"&gt;="&amp;Table_SiteMilestoneTrackingSummary[[#This Row],[StartDate]:[StartDate]],Table_SiteMilestoneTracking[SiteDesignStarted_AC],"&lt;"&amp;Table_SiteMilestoneTrackingSummary[[#This Row],[EndDate]:[EndDate]]+1)</f>
        <v>0</v>
      </c>
      <c r="H7" s="100">
        <f>H6+Table_SiteMilestoneTrackingSummary[[#This Row],[SiteDesignStarted_AC]]</f>
        <v>0</v>
      </c>
      <c r="I7" s="100">
        <f>Table_SiteMilestoneTrackingSummary[[#This Row],[SiteDesignReady_AC]]*$I$2</f>
        <v>0</v>
      </c>
      <c r="J7" s="100">
        <f>J6+Table_SiteMilestoneTrackingSummary[[#This Row],[c0_SiteDesignEV]]</f>
        <v>0</v>
      </c>
      <c r="K7" s="97">
        <f>SUMIFS(Table_SiteMilestoneTracking[c0_SiteDesignCostBL],
Table_SiteMilestoneTracking[SiteDesignReady_BL],"&gt;="&amp;Table_SiteMilestoneTrackingSummary[[#This Row],[StartDate]:[StartDate]],
Table_SiteMilestoneTracking[SiteDesignReady_BL],"&lt;"&amp;Table_SiteMilestoneTrackingSummary[[#This Row],[EndDate]:[EndDate]]+1)</f>
        <v>0</v>
      </c>
      <c r="L7" s="59">
        <f>L6+Table_SiteMilestoneTrackingSummary[[#This Row],[c0_SiteDesignCostBL]]</f>
        <v>0</v>
      </c>
      <c r="M7" s="97">
        <f>SUMIFS(Table_SiteMilestoneTracking[c0_SiteDesignCostAC],
Table_SiteMilestoneTracking[SiteDesignReady_AC],"&gt;="&amp;Table_SiteMilestoneTrackingSummary[[#This Row],[StartDate]:[StartDate]],
Table_SiteMilestoneTracking[SiteDesignReady_AC],"&lt;"&amp;Table_SiteMilestoneTrackingSummary[[#This Row],[EndDate]:[EndDate]]+1)</f>
        <v>0</v>
      </c>
      <c r="N7" s="59">
        <f>N6+Table_SiteMilestoneTrackingSummary[[#This Row],[c0_SiteDesignCostAC]]</f>
        <v>0</v>
      </c>
      <c r="O7" s="96">
        <f>COUNTIFS(Table_SiteMilestoneTracking[SiteDesignReady_BL],"&gt;="&amp;Table_SiteMilestoneTrackingSummary[[#This Row],[StartDate]:[StartDate]],
Table_SiteMilestoneTracking[SiteDesignReady_BL],"&lt;"&amp;Table_SiteMilestoneTrackingSummary[[#This Row],[EndDate]:[EndDate]]+1)</f>
        <v>0</v>
      </c>
      <c r="P7" s="100">
        <f>P6+Table_SiteMilestoneTrackingSummary[[#This Row],[SiteDesignReady_BL]]</f>
        <v>0</v>
      </c>
      <c r="Q7" s="100">
        <f>COUNTIFS(Table_SiteMilestoneTracking[SiteDesignReady_AC],"&gt;="&amp;Table_SiteMilestoneTrackingSummary[[#This Row],[StartDate]:[StartDate]],Table_SiteMilestoneTracking[SiteDesignReady_AC],"&lt;"&amp;Table_SiteMilestoneTrackingSummary[[#This Row],[EndDate]:[EndDate]]+1)</f>
        <v>0</v>
      </c>
      <c r="R7" s="100">
        <f>R6+Table_SiteMilestoneTrackingSummary[[#This Row],[SiteDesignReady_AC]]</f>
        <v>0</v>
      </c>
      <c r="S7" s="100">
        <f>Table_SiteMilestoneTrackingSummary[[#This Row],[ReadyForCW_AC]]*$S$2</f>
        <v>0</v>
      </c>
      <c r="T7" s="100">
        <f>T6+Table_SiteMilestoneTrackingSummary[[#This Row],[c1_SiteSurveyEV]]</f>
        <v>0</v>
      </c>
      <c r="U7" s="96">
        <f>SUMIFS(Table_SiteMilestoneTracking[c1_SiteSurveyCostBL],
Table_SiteMilestoneTracking[SiteSurveyCompleted_BL],"&gt;="&amp;Table_SiteMilestoneTrackingSummary[[#This Row],[StartDate]:[StartDate]],
Table_SiteMilestoneTracking[SiteSurveyCompleted_BL],"&lt;"&amp;Table_SiteMilestoneTrackingSummary[[#This Row],[EndDate]:[EndDate]]+1)</f>
        <v>0</v>
      </c>
      <c r="V7" s="100">
        <f>V6+Table_SiteMilestoneTrackingSummary[[#This Row],[c1_SiteSurveyCostBL]]</f>
        <v>0</v>
      </c>
      <c r="W7" s="96">
        <f>SUMIFS(Table_SiteMilestoneTracking[c1_SiteSurveyCostAC],
Table_SiteMilestoneTracking[SiteSurveyCompleted_AC],"&gt;="&amp;Table_SiteMilestoneTrackingSummary[[#This Row],[StartDate]:[StartDate]],
Table_SiteMilestoneTracking[SiteSurveyCompleted_AC],"&lt;"&amp;Table_SiteMilestoneTrackingSummary[[#This Row],[EndDate]:[EndDate]]+1)</f>
        <v>0</v>
      </c>
      <c r="X7" s="100">
        <f>X6+Table_SiteMilestoneTrackingSummary[[#This Row],[c1_SiteSurveyCostAC]]</f>
        <v>0</v>
      </c>
      <c r="Y7" s="96">
        <f>COUNTIFS(Table_SiteMilestoneTracking[SiteSurveyCompleted_BL],"&gt;="&amp;Table_SiteMilestoneTrackingSummary[[#This Row],[StartDate]:[StartDate]],
Table_SiteMilestoneTracking[SiteSurveyCompleted_BL],"&lt;"&amp;Table_SiteMilestoneTrackingSummary[[#This Row],[EndDate]:[EndDate]]+1)</f>
        <v>0</v>
      </c>
      <c r="Z7" s="100">
        <f>Z6+Table_SiteMilestoneTrackingSummary[[#This Row],[SiteSurveyCompleted_BL]]</f>
        <v>0</v>
      </c>
      <c r="AA7" s="96">
        <f>COUNTIFS(Table_SiteMilestoneTracking[SiteSurveyCompleted_AC],"&gt;="&amp;Table_SiteMilestoneTrackingSummary[[#This Row],[StartDate]:[StartDate]],
Table_SiteMilestoneTracking[SiteSurveyCompleted_AC],"&lt;"&amp;Table_SiteMilestoneTrackingSummary[[#This Row],[EndDate]:[EndDate]]+1)</f>
        <v>0</v>
      </c>
      <c r="AB7" s="100">
        <f>AB6+Table_SiteMilestoneTrackingSummary[[#This Row],[SiteSurveyCompleted_AC]]</f>
        <v>0</v>
      </c>
      <c r="AC7" s="100">
        <f>$AC$2*Table_SiteMilestoneTrackingSummary[[#This Row],[SiteAcquired_AC]]</f>
        <v>0</v>
      </c>
      <c r="AD7" s="100">
        <f>AD6+Table_SiteMilestoneTrackingSummary[[#This Row],[c2_SiteAcquisitionEV]]</f>
        <v>0</v>
      </c>
      <c r="AE7" s="96">
        <f>SUMIFS(Table_SiteMilestoneTracking[c2_SiteAcquisitionCostBL],
Table_SiteMilestoneTracking[SiteAcquired_BL],"&gt;="&amp;Table_SiteMilestoneTrackingSummary[[#This Row],[StartDate]:[StartDate]],
Table_SiteMilestoneTracking[SiteAcquired_BL],"&lt;"&amp;Table_SiteMilestoneTrackingSummary[[#This Row],[EndDate]:[EndDate]]+1)</f>
        <v>0</v>
      </c>
      <c r="AF7" s="100">
        <f>AF6+Table_SiteMilestoneTrackingSummary[[#This Row],[c2_SiteAcquisitionCostBL]]</f>
        <v>0</v>
      </c>
      <c r="AG7" s="96">
        <f>SUMIFS(Table_SiteMilestoneTracking[c2_SiteAcquisitionCostAC],
Table_SiteMilestoneTracking[SiteAcquired_AC],"&gt;="&amp;Table_SiteMilestoneTrackingSummary[[#This Row],[StartDate]:[StartDate]],
Table_SiteMilestoneTracking[SiteAcquired_AC],"&lt;"&amp;Table_SiteMilestoneTrackingSummary[[#This Row],[EndDate]:[EndDate]]+1)</f>
        <v>0</v>
      </c>
      <c r="AH7" s="100">
        <f>AH6+Table_SiteMilestoneTrackingSummary[[#This Row],[c2_SiteAcquisitionCostAC]]</f>
        <v>0</v>
      </c>
      <c r="AI7" s="96">
        <f>COUNTIFS(Table_SiteMilestoneTracking[SiteAcquired_BL],"&gt;="&amp;Table_SiteMilestoneTrackingSummary[[#This Row],[StartDate]:[StartDate]],
Table_SiteMilestoneTracking[SiteAcquired_BL],"&lt;"&amp;Table_SiteMilestoneTrackingSummary[[#This Row],[EndDate]:[EndDate]]+1)</f>
        <v>0</v>
      </c>
      <c r="AJ7" s="100">
        <f>AJ6+Table_SiteMilestoneTrackingSummary[[#This Row],[SiteAcquired_BL]]</f>
        <v>0</v>
      </c>
      <c r="AK7" s="96">
        <f>COUNTIFS(Table_SiteMilestoneTracking[SiteAcquired_AC],"&gt;="&amp;Table_SiteMilestoneTrackingSummary[[#This Row],[StartDate]:[StartDate]],
Table_SiteMilestoneTracking[SiteAcquired_AC],"&lt;"&amp;Table_SiteMilestoneTrackingSummary[[#This Row],[EndDate]:[EndDate]]+1)</f>
        <v>0</v>
      </c>
      <c r="AL7" s="100">
        <f>AL6+Table_SiteMilestoneTrackingSummary[[#This Row],[SiteAcquired_AC]]</f>
        <v>0</v>
      </c>
      <c r="AM7" s="100">
        <f>Table_SiteMilestoneTrackingSummary[[#This Row],[ReadyForCW_AC]]*$AM$2</f>
        <v>0</v>
      </c>
      <c r="AN7" s="100">
        <f>AN6+Table_SiteMilestoneTrackingSummary[[#This Row],[c2a_SiteCWReadinessEV]]</f>
        <v>0</v>
      </c>
      <c r="AO7" s="96">
        <f>SUMIFS(Table_SiteMilestoneTracking[c2a_SiteCWReadinessCost_BL],
Table_SiteMilestoneTracking[SiteReadyForCW_BL],"&gt;="&amp;Table_SiteMilestoneTrackingSummary[[#This Row],[StartDate]:[StartDate]],
Table_SiteMilestoneTracking[SiteReadyForCW_BL],"&lt;"&amp;Table_SiteMilestoneTrackingSummary[[#This Row],[EndDate]:[EndDate]]+1)</f>
        <v>0</v>
      </c>
      <c r="AP7" s="100">
        <f>AP6+Table_SiteMilestoneTrackingSummary[[#This Row],[c2a_SiteCWReadinessCostBL]]</f>
        <v>0</v>
      </c>
      <c r="AQ7" s="96">
        <f>SUMIFS(Table_SiteMilestoneTracking[c2a_SiteCWReadinessCost_AC],
Table_SiteMilestoneTracking[SiteReadyForCW_AC],"&gt;="&amp;Table_SiteMilestoneTrackingSummary[[#This Row],[StartDate]:[StartDate]],
Table_SiteMilestoneTracking[SiteReadyForCW_AC],"&lt;"&amp;Table_SiteMilestoneTrackingSummary[[#This Row],[EndDate]:[EndDate]]+1)</f>
        <v>0</v>
      </c>
      <c r="AR7" s="100">
        <f>AR6+Table_SiteMilestoneTrackingSummary[[#This Row],[c2a_SiteCWReadinessCostAC]]</f>
        <v>0</v>
      </c>
      <c r="AS7" s="96">
        <f>COUNTIFS(Table_SiteMilestoneTracking[SiteReadyForCW_BL],"&gt;="&amp;Table_SiteMilestoneTrackingSummary[[#This Row],[StartDate]:[StartDate]],
Table_SiteMilestoneTracking[SiteReadyForCW_BL],"&lt;"&amp;Table_SiteMilestoneTrackingSummary[[#This Row],[EndDate]:[EndDate]]+1)</f>
        <v>0</v>
      </c>
      <c r="AT7" s="100">
        <f>AT6+Table_SiteMilestoneTrackingSummary[[#This Row],[ReadyForCW_BL]]</f>
        <v>0</v>
      </c>
      <c r="AU7" s="96">
        <f>COUNTIFS(Table_SiteMilestoneTracking[SiteReadyForCW_AC],"&gt;="&amp;Table_SiteMilestoneTrackingSummary[[#This Row],[StartDate]:[StartDate]],
Table_SiteMilestoneTracking[SiteReadyForCW_AC],"&lt;"&amp;Table_SiteMilestoneTrackingSummary[[#This Row],[EndDate]:[EndDate]]+1)</f>
        <v>0</v>
      </c>
      <c r="AV7" s="100">
        <f>AV6+Table_SiteMilestoneTrackingSummary[[#This Row],[ReadyForCW_AC]]</f>
        <v>0</v>
      </c>
      <c r="AW7" s="100">
        <f>$AW$2*Table_SiteMilestoneTrackingSummary[[#This Row],[ReadyForPower_AC]]</f>
        <v>0</v>
      </c>
      <c r="AX7" s="100">
        <f>AX6+Table_SiteMilestoneTrackingSummary[[#This Row],[c3_CivilWorksEV]]</f>
        <v>0</v>
      </c>
      <c r="AY7" s="96">
        <f>SUMIFS(Table_SiteMilestoneTracking[c3_CivilWorksCostBL],
Table_SiteMilestoneTracking[SiteReadyForPower_BL],"&gt;="&amp;Table_SiteMilestoneTrackingSummary[[#This Row],[StartDate]:[StartDate]],
Table_SiteMilestoneTracking[SiteReadyForPower_BL],"&lt;"&amp;Table_SiteMilestoneTrackingSummary[[#This Row],[EndDate]:[EndDate]]+1)</f>
        <v>0</v>
      </c>
      <c r="AZ7" s="100">
        <f>AZ6+Table_SiteMilestoneTrackingSummary[[#This Row],[c3_CivilWorksCostBL]]</f>
        <v>0</v>
      </c>
      <c r="BA7" s="96">
        <f>SUMIFS(Table_SiteMilestoneTracking[c3_CivilWorksCostAC],
Table_SiteMilestoneTracking[SiteReadyForPower_AC],"&gt;="&amp;Table_SiteMilestoneTrackingSummary[[#This Row],[StartDate]:[StartDate]],
Table_SiteMilestoneTracking[SiteReadyForPower_AC],"&lt;"&amp;Table_SiteMilestoneTrackingSummary[[#This Row],[EndDate]:[EndDate]]+1)</f>
        <v>0</v>
      </c>
      <c r="BB7" s="100">
        <f>BB6+Table_SiteMilestoneTrackingSummary[[#This Row],[c3_CivilWorksCostAC]]</f>
        <v>0</v>
      </c>
      <c r="BC7" s="96">
        <f>COUNTIFS(Table_SiteMilestoneTracking[SiteReadyForPower_BL],"&gt;="&amp;Table_SiteMilestoneTrackingSummary[[#This Row],[StartDate]:[StartDate]],
Table_SiteMilestoneTracking[SiteReadyForPower_BL],"&lt;"&amp;Table_SiteMilestoneTrackingSummary[[#This Row],[EndDate]:[EndDate]]+1)</f>
        <v>0</v>
      </c>
      <c r="BD7" s="100">
        <f>BD6+Table_SiteMilestoneTrackingSummary[[#This Row],[ReadyForPower_BL]]</f>
        <v>0</v>
      </c>
      <c r="BE7" s="96">
        <f>COUNTIFS(Table_SiteMilestoneTracking[SiteReadyForPower_AC],"&gt;="&amp;Table_SiteMilestoneTrackingSummary[[#This Row],[StartDate]:[StartDate]],
Table_SiteMilestoneTracking[SiteReadyForPower_AC],"&lt;"&amp;Table_SiteMilestoneTrackingSummary[[#This Row],[EndDate]:[EndDate]]+1)</f>
        <v>0</v>
      </c>
      <c r="BF7" s="100">
        <f>BF6+Table_SiteMilestoneTrackingSummary[[#This Row],[ReadyForPower_AC]]</f>
        <v>0</v>
      </c>
      <c r="BG7" s="100">
        <f>$BG$2*Table_SiteMilestoneTrackingSummary[[#This Row],[TXReady_AC]]</f>
        <v>0</v>
      </c>
      <c r="BH7" s="100">
        <f>BH6+Table_SiteMilestoneTrackingSummary[[#This Row],[c4_PowerInstallEV]]</f>
        <v>0</v>
      </c>
      <c r="BI7" s="96">
        <f>SUMIFS(Table_SiteMilestoneTracking[c4_PowerInstallCostBL],
Table_SiteMilestoneTracking[TXReady_BL],"&gt;="&amp;Table_SiteMilestoneTrackingSummary[[#This Row],[StartDate]:[StartDate]],
Table_SiteMilestoneTracking[TXReady_BL],"&lt;"&amp;Table_SiteMilestoneTrackingSummary[[#This Row],[EndDate]:[EndDate]]+1)</f>
        <v>0</v>
      </c>
      <c r="BJ7" s="100">
        <f>BJ6+Table_SiteMilestoneTrackingSummary[[#This Row],[c4_PowerInstallCostBL]]</f>
        <v>0</v>
      </c>
      <c r="BK7" s="96">
        <f>SUMIFS(Table_SiteMilestoneTracking[c4_PowerInstallCostAC],
Table_SiteMilestoneTracking[TXReady_AC],"&gt;="&amp;Table_SiteMilestoneTrackingSummary[[#This Row],[StartDate]:[StartDate]],
Table_SiteMilestoneTracking[TXReady_AC],"&lt;"&amp;Table_SiteMilestoneTrackingSummary[[#This Row],[EndDate]:[EndDate]]+1)</f>
        <v>0</v>
      </c>
      <c r="BL7" s="100">
        <f>BL6+Table_SiteMilestoneTrackingSummary[[#This Row],[c4_PowerInstallCostAC]]</f>
        <v>0</v>
      </c>
      <c r="BM7" s="96">
        <f>COUNTIFS(Table_SiteMilestoneTracking[TXReady_BL],"&gt;="&amp;Table_SiteMilestoneTrackingSummary[[#This Row],[StartDate]:[StartDate]],
Table_SiteMilestoneTracking[TXReady_BL],"&lt;"&amp;Table_SiteMilestoneTrackingSummary[[#This Row],[EndDate]:[EndDate]]+1)</f>
        <v>0</v>
      </c>
      <c r="BN7" s="100">
        <f>BN6+Table_SiteMilestoneTrackingSummary[[#This Row],[TXReady_BL]]</f>
        <v>0</v>
      </c>
      <c r="BO7" s="100">
        <f>COUNTIFS(Table_SiteMilestoneTracking[TXReady_AC],"&gt;="&amp;Table_SiteMilestoneTrackingSummary[[#This Row],[StartDate]:[StartDate]],Table_SiteMilestoneTracking[TXReady_AC],"&lt;"&amp;Table_SiteMilestoneTrackingSummary[[#This Row],[EndDate]:[EndDate]]+1)</f>
        <v>0</v>
      </c>
      <c r="BP7" s="100">
        <f>BP6+Table_SiteMilestoneTrackingSummary[[#This Row],[TXReady_AC]]</f>
        <v>0</v>
      </c>
      <c r="BQ7" s="100">
        <f>$BQ$2*Table_SiteMilestoneTrackingSummary[[#This Row],[ReadyForInstallation_AC]]</f>
        <v>0</v>
      </c>
      <c r="BR7" s="100">
        <f>BR6+Table_SiteMilestoneTrackingSummary[[#This Row],[c5_TxIntegrationEV]]</f>
        <v>0</v>
      </c>
      <c r="BS7" s="96">
        <f>SUMIFS(Table_SiteMilestoneTracking[c5_TxintegrationCostBL],
Table_SiteMilestoneTracking[SiteReadyForInstallation_BL],"&gt;="&amp;Table_SiteMilestoneTrackingSummary[[#This Row],[StartDate]:[StartDate]],
Table_SiteMilestoneTracking[SiteReadyForInstallation_BL],"&lt;"&amp;Table_SiteMilestoneTrackingSummary[[#This Row],[EndDate]:[EndDate]]+1)</f>
        <v>0</v>
      </c>
      <c r="BT7" s="100">
        <f>BT6+Table_SiteMilestoneTrackingSummary[[#This Row],[c5_TxIntegrationCostBL]]</f>
        <v>0</v>
      </c>
      <c r="BU7" s="96">
        <f>SUMIFS(Table_SiteMilestoneTracking[c5_TxintegrationCostAC],
Table_SiteMilestoneTracking[SiteReadyForInstallation_AC],"&gt;="&amp;Table_SiteMilestoneTrackingSummary[[#This Row],[StartDate]:[StartDate]],
Table_SiteMilestoneTracking[SiteReadyForInstallation_AC],"&lt;"&amp;Table_SiteMilestoneTrackingSummary[[#This Row],[EndDate]:[EndDate]]+1)</f>
        <v>0</v>
      </c>
      <c r="BV7" s="100">
        <f>BV6+Table_SiteMilestoneTrackingSummary[[#This Row],[c5_TxIntegrationCostAC]]</f>
        <v>0</v>
      </c>
      <c r="BW7" s="96">
        <f>COUNTIFS(Table_SiteMilestoneTracking[SiteReadyForInstallation_BL],"&gt;="&amp;Table_SiteMilestoneTrackingSummary[[#This Row],[StartDate]:[StartDate]],
Table_SiteMilestoneTracking[SiteReadyForInstallation_BL],"&lt;"&amp;Table_SiteMilestoneTrackingSummary[[#This Row],[EndDate]:[EndDate]]+1)</f>
        <v>0</v>
      </c>
      <c r="BX7" s="100">
        <f>BX6+Table_SiteMilestoneTrackingSummary[[#This Row],[ReadyForInstallation_BL]]</f>
        <v>0</v>
      </c>
      <c r="BY7" s="96">
        <f>COUNTIFS(Table_SiteMilestoneTracking[SiteReadyForInstallation_AC],"&gt;="&amp;Table_SiteMilestoneTrackingSummary[[#This Row],[StartDate]:[StartDate]],
Table_SiteMilestoneTracking[SiteReadyForInstallation_AC],"&lt;"&amp;Table_SiteMilestoneTrackingSummary[[#This Row],[EndDate]:[EndDate]]+1)</f>
        <v>0</v>
      </c>
      <c r="BZ7" s="100">
        <f>BZ6+Table_SiteMilestoneTrackingSummary[[#This Row],[ReadyForInstallation_AC]]</f>
        <v>0</v>
      </c>
      <c r="CA7" s="100">
        <f>$CA$2*Table_SiteMilestoneTrackingSummary[[#This Row],[ReadyForIntegration_AC]]</f>
        <v>0</v>
      </c>
      <c r="CB7" s="100">
        <f>CB6+Table_SiteMilestoneTrackingSummary[[#This Row],[c6_InstallationEV]]</f>
        <v>0</v>
      </c>
      <c r="CC7" s="96">
        <f>SUMIFS(Table_SiteMilestoneTracking[c6_InstallationCostBL],
Table_SiteMilestoneTracking[SiteReadyForIntegration_BL],"&gt;="&amp;Table_SiteMilestoneTrackingSummary[[#This Row],[StartDate]:[StartDate]],
Table_SiteMilestoneTracking[SiteReadyForIntegration_BL],"&lt;"&amp;Table_SiteMilestoneTrackingSummary[[#This Row],[EndDate]:[EndDate]]+1)</f>
        <v>0</v>
      </c>
      <c r="CD7" s="100">
        <f>CD6+Table_SiteMilestoneTrackingSummary[[#This Row],[c6_InstallationCostBL]]</f>
        <v>0</v>
      </c>
      <c r="CE7" s="96">
        <f>SUMIFS(Table_SiteMilestoneTracking[c6_InstallationCostAC],
Table_SiteMilestoneTracking[SiteReadyForIntegration_AC],"&gt;="&amp;Table_SiteMilestoneTrackingSummary[[#This Row],[StartDate]:[StartDate]],
Table_SiteMilestoneTracking[SiteReadyForIntegration_AC],"&lt;"&amp;Table_SiteMilestoneTrackingSummary[[#This Row],[EndDate]:[EndDate]]+1)</f>
        <v>0</v>
      </c>
      <c r="CF7" s="100">
        <f>CF6+Table_SiteMilestoneTrackingSummary[[#This Row],[c6_InstallationCostAC]]</f>
        <v>0</v>
      </c>
      <c r="CG7" s="96">
        <f>COUNTIFS(Table_SiteMilestoneTracking[SiteReadyForIntegration_BL],"&gt;="&amp;Table_SiteMilestoneTrackingSummary[[#This Row],[StartDate]:[StartDate]],
Table_SiteMilestoneTracking[SiteReadyForIntegration_BL],"&lt;"&amp;Table_SiteMilestoneTrackingSummary[[#This Row],[EndDate]:[EndDate]]+1)</f>
        <v>0</v>
      </c>
      <c r="CH7" s="100">
        <f>CH6+Table_SiteMilestoneTrackingSummary[[#This Row],[ReadyForIntegration_BL]]</f>
        <v>0</v>
      </c>
      <c r="CI7" s="96">
        <f>COUNTIFS(Table_SiteMilestoneTracking[SiteReadyForIntegration_AC],"&gt;="&amp;Table_SiteMilestoneTrackingSummary[[#This Row],[StartDate]:[StartDate]],
Table_SiteMilestoneTracking[SiteReadyForIntegration_AC],"&lt;"&amp;Table_SiteMilestoneTrackingSummary[[#This Row],[EndDate]:[EndDate]]+1)</f>
        <v>0</v>
      </c>
      <c r="CJ7" s="100">
        <f>CJ6+Table_SiteMilestoneTrackingSummary[[#This Row],[ReadyForIntegration_AC]]</f>
        <v>0</v>
      </c>
      <c r="CK7" s="100">
        <f>$CK$2*Table_SiteMilestoneTrackingSummary[[#This Row],[SiteOnAir_AC]]</f>
        <v>0</v>
      </c>
      <c r="CL7" s="100">
        <f>CL6+Table_SiteMilestoneTrackingSummary[[#This Row],[c7_IntegrationEV]]</f>
        <v>0</v>
      </c>
      <c r="CM7" s="96">
        <f>SUMIFS(Table_SiteMilestoneTracking[c7_IntegrationCostBL],
Table_SiteMilestoneTracking[SiteOnAir_BL],"&gt;="&amp;Table_SiteMilestoneTrackingSummary[[#This Row],[StartDate]:[StartDate]],
Table_SiteMilestoneTracking[SiteOnAir_BL],"&lt;"&amp;Table_SiteMilestoneTrackingSummary[[#This Row],[EndDate]:[EndDate]]+1)</f>
        <v>0</v>
      </c>
      <c r="CN7" s="100">
        <f>CN6+Table_SiteMilestoneTrackingSummary[[#This Row],[c7_IntegrationCostBL]]</f>
        <v>0</v>
      </c>
      <c r="CO7" s="96">
        <f>SUMIFS(Table_SiteMilestoneTracking[c7_IntegrationCostAC],
Table_SiteMilestoneTracking[SiteOnAir_AC],"&gt;="&amp;Table_SiteMilestoneTrackingSummary[[#This Row],[StartDate]:[StartDate]],
Table_SiteMilestoneTracking[SiteOnAir_AC],"&lt;"&amp;Table_SiteMilestoneTrackingSummary[[#This Row],[EndDate]:[EndDate]]+1)</f>
        <v>0</v>
      </c>
      <c r="CP7" s="100">
        <f>CP6+Table_SiteMilestoneTrackingSummary[[#This Row],[c7_IntegrationCostAC]]</f>
        <v>0</v>
      </c>
      <c r="CQ7" s="96">
        <f>COUNTIFS(Table_SiteMilestoneTracking[SiteOnAir_BL],"&gt;="&amp;Table_SiteMilestoneTrackingSummary[[#This Row],[StartDate]:[StartDate]],
Table_SiteMilestoneTracking[SiteOnAir_BL],"&lt;"&amp;Table_SiteMilestoneTrackingSummary[[#This Row],[EndDate]:[EndDate]]+1)</f>
        <v>0</v>
      </c>
      <c r="CR7" s="100">
        <f>CR6+Table_SiteMilestoneTrackingSummary[[#This Row],[SiteOnAir_BL]]</f>
        <v>0</v>
      </c>
      <c r="CS7" s="96">
        <f>COUNTIFS(Table_SiteMilestoneTracking[SiteOnAir_AC],"&gt;="&amp;Table_SiteMilestoneTrackingSummary[[#This Row],[StartDate]:[StartDate]],
Table_SiteMilestoneTracking[SiteOnAir_AC],"&lt;"&amp;Table_SiteMilestoneTrackingSummary[[#This Row],[EndDate]:[EndDate]]+1)</f>
        <v>0</v>
      </c>
      <c r="CT7" s="100">
        <f>CT6+Table_SiteMilestoneTrackingSummary[[#This Row],[SiteOnAir_AC]]</f>
        <v>0</v>
      </c>
      <c r="CU7" s="100">
        <f>$CU$2*Table_SiteMilestoneTrackingSummary[[#This Row],[SiteAccepted_AC]]</f>
        <v>0</v>
      </c>
      <c r="CV7" s="100">
        <f>CV6+Table_SiteMilestoneTrackingSummary[[#This Row],[c8_AcceptanceEV]]</f>
        <v>0</v>
      </c>
      <c r="CW7" s="96">
        <f>SUMIFS(Table_SiteMilestoneTracking[c8_AcceptanceCostBL],
Table_SiteMilestoneTracking[SiteAccepted_BL],"&gt;="&amp;Table_SiteMilestoneTrackingSummary[[#This Row],[StartDate]:[StartDate]],
Table_SiteMilestoneTracking[SiteAccepted_BL],"&lt;"&amp;Table_SiteMilestoneTrackingSummary[[#This Row],[EndDate]:[EndDate]]+1)</f>
        <v>0</v>
      </c>
      <c r="CX7" s="100">
        <f>CX6+Table_SiteMilestoneTrackingSummary[[#This Row],[c8_AcceptanceCostBL]]</f>
        <v>0</v>
      </c>
      <c r="CY7" s="96">
        <f>SUMIFS(Table_SiteMilestoneTracking[c8_AcceptanceCostAC],
Table_SiteMilestoneTracking[SiteAccepted_AC],"&gt;="&amp;Table_SiteMilestoneTrackingSummary[[#This Row],[StartDate]:[StartDate]],
Table_SiteMilestoneTracking[SiteAccepted_AC],"&lt;"&amp;Table_SiteMilestoneTrackingSummary[[#This Row],[EndDate]:[EndDate]]+1)</f>
        <v>0</v>
      </c>
      <c r="CZ7" s="100">
        <f>CZ6+Table_SiteMilestoneTrackingSummary[[#This Row],[c8_AcceptanceCostAC]]</f>
        <v>0</v>
      </c>
      <c r="DA7" s="96">
        <f>COUNTIFS(Table_SiteMilestoneTracking[SiteAccepted_BL],"&gt;="&amp;Table_SiteMilestoneTrackingSummary[[#This Row],[StartDate]:[StartDate]],
Table_SiteMilestoneTracking[SiteAccepted_BL],"&lt;"&amp;Table_SiteMilestoneTrackingSummary[[#This Row],[EndDate]:[EndDate]]+1)</f>
        <v>0</v>
      </c>
      <c r="DB7" s="100">
        <f>DB6+Table_SiteMilestoneTrackingSummary[[#This Row],[SiteAccepted_BL]]</f>
        <v>0</v>
      </c>
      <c r="DC7" s="96">
        <f>COUNTIFS(Table_SiteMilestoneTracking[SiteAccepted_AC],"&gt;="&amp;Table_SiteMilestoneTrackingSummary[[#This Row],[StartDate]:[StartDate]],
Table_SiteMilestoneTracking[SiteAccepted_AC],"&lt;"&amp;Table_SiteMilestoneTrackingSummary[[#This Row],[EndDate]:[EndDate]]+1)</f>
        <v>0</v>
      </c>
      <c r="DD7" s="100">
        <f>DD6+Table_SiteMilestoneTrackingSummary[[#This Row],[SiteAccepted_AC]]</f>
        <v>0</v>
      </c>
      <c r="DE7" s="100">
        <f>$DE$2*Table_SiteMilestoneTrackingSummary[[#This Row],[SiteInOperations_AC]]</f>
        <v>0</v>
      </c>
      <c r="DF7" s="100">
        <f>DF6+Table_SiteMilestoneTrackingSummary[[#This Row],[c9_HandoverEV]]</f>
        <v>0</v>
      </c>
      <c r="DG7" s="96">
        <f>SUMIFS(Table_SiteMilestoneTracking[c9_HandoverCostBL],
Table_SiteMilestoneTracking[SiteInOperations_BL],"&gt;="&amp;Table_SiteMilestoneTrackingSummary[[#This Row],[StartDate]:[StartDate]],
Table_SiteMilestoneTracking[SiteInOperations_BL],"&lt;"&amp;Table_SiteMilestoneTrackingSummary[[#This Row],[EndDate]:[EndDate]]+1)</f>
        <v>0</v>
      </c>
      <c r="DH7" s="100">
        <f>DH6+Table_SiteMilestoneTrackingSummary[[#This Row],[c9_HandoverCostBL2]]</f>
        <v>0</v>
      </c>
      <c r="DI7" s="96">
        <f>SUMIFS(Table_SiteMilestoneTracking[c9_HandoverCostAC],
Table_SiteMilestoneTracking[SiteInOperations_AC],"&gt;="&amp;Table_SiteMilestoneTrackingSummary[[#This Row],[StartDate]:[StartDate]],
Table_SiteMilestoneTracking[SiteInOperations_AC],"&lt;"&amp;Table_SiteMilestoneTrackingSummary[[#This Row],[EndDate]:[EndDate]]+1)</f>
        <v>0</v>
      </c>
      <c r="DJ7" s="100">
        <f>DJ6+Table_SiteMilestoneTrackingSummary[[#This Row],[c9_HandoverCostAC]]</f>
        <v>0</v>
      </c>
      <c r="DK7" s="96">
        <f>COUNTIFS(Table_SiteMilestoneTracking[SiteInOperations_BL],"&gt;="&amp;Table_SiteMilestoneTrackingSummary[[#This Row],[StartDate]:[StartDate]],
Table_SiteMilestoneTracking[SiteInOperations_BL],"&lt;"&amp;Table_SiteMilestoneTrackingSummary[[#This Row],[EndDate]:[EndDate]]+1)</f>
        <v>0</v>
      </c>
      <c r="DL7" s="100">
        <f>DL6+Table_SiteMilestoneTrackingSummary[[#This Row],[SiteInOperations_BL]]</f>
        <v>0</v>
      </c>
      <c r="DM7" s="96">
        <f>COUNTIFS(Table_SiteMilestoneTracking[SiteInOperations_AC],"&gt;="&amp;Table_SiteMilestoneTrackingSummary[[#This Row],[StartDate]:[StartDate]],
Table_SiteMilestoneTracking[SiteInOperations_AC],"&lt;"&amp;Table_SiteMilestoneTrackingSummary[[#This Row],[EndDate]:[EndDate]]+1)</f>
        <v>0</v>
      </c>
      <c r="DN7" s="100">
        <f>DN6+Table_SiteMilestoneTrackingSummary[[#This Row],[SiteInOperations_AC]]</f>
        <v>0</v>
      </c>
      <c r="DO7" s="59">
        <f>Table_SiteMilestoneTrackingSummary[[#This Row],[c0_SiteDesignEV(SUM)]]+Table_SiteMilestoneTrackingSummary[[#This Row],[c1_SiteSurveyEV(SUM)]]+Table_SiteMilestoneTrackingSummary[[#This Row],[c2_SiteAcquisitionEV(SUM)]]+Table_SiteMilestoneTrackingSummary[[#This Row],[c2a_SiteCWReadinessEV(SUM)]]+Table_SiteMilestoneTrackingSummary[[#This Row],[c3_CivilWorksEV(SUM)]]+Table_SiteMilestoneTrackingSummary[[#This Row],[c4_PowerInstallEV(SUM)]]+Table_SiteMilestoneTrackingSummary[[#This Row],[c5_TxIntegrationEV(SUM)]]+Table_SiteMilestoneTrackingSummary[[#This Row],[c6_InstallationEV(SUM)]]+Table_SiteMilestoneTrackingSummary[[#This Row],[c7_IntegrationEV(SUM)]]+Table_SiteMilestoneTrackingSummary[[#This Row],[c8_AcceptanceEV(SUM)]]+Table_SiteMilestoneTrackingSummary[[#This Row],[c9_HandoverEV(SUM)]]</f>
        <v>0</v>
      </c>
      <c r="DP7" s="59">
        <f>Table_SiteMilestoneTrackingSummary[[#This Row],[c0_SiteDesignCostBL(SUM)]]+Table_SiteMilestoneTrackingSummary[[#This Row],[c1_SiteSurveyCostBL(SUM)]]+Table_SiteMilestoneTrackingSummary[[#This Row],[c2_SiteAcquisitionCostBL(SUM)]]+Table_SiteMilestoneTrackingSummary[[#This Row],[c2a_SiteCWReadinessCostBL(SUM)]]+Table_SiteMilestoneTrackingSummary[[#This Row],[c3_CivilWorksCostBL(SUM)]]+Table_SiteMilestoneTrackingSummary[[#This Row],[c4_PowerInstallCostBL(SUM)]]+Table_SiteMilestoneTrackingSummary[[#This Row],[c5_TxIntegrationCostBL(SUM)]]+Table_SiteMilestoneTrackingSummary[[#This Row],[c6_InstallationCostBL(SUM)]]+Table_SiteMilestoneTrackingSummary[[#This Row],[c7_IntegrationCostBL(SUM)]]+Table_SiteMilestoneTrackingSummary[[#This Row],[c8_AcceptanceCostBL(SUM)]]+Table_SiteMilestoneTrackingSummary[[#This Row],[c9_HandoverCostBL(SUM)]]</f>
        <v>0</v>
      </c>
      <c r="DQ7" s="59">
        <f>Table_SiteMilestoneTrackingSummary[[#This Row],[c0_SiteDesignCostAC(SUM)]]+Table_SiteMilestoneTrackingSummary[[#This Row],[c1_SiteSurveyCostAC(SUM)]]+Table_SiteMilestoneTrackingSummary[[#This Row],[c2_SiteAcquisitionCostAC(SUM)]]+Table_SiteMilestoneTrackingSummary[[#This Row],[c2a_SiteCWReadinessCostAC(SUM)]]+Table_SiteMilestoneTrackingSummary[[#This Row],[c3_CivilWorksCostAC(SUM)]]+Table_SiteMilestoneTrackingSummary[[#This Row],[c4_PowerInstallCostAC(SUM)]]+Table_SiteMilestoneTrackingSummary[[#This Row],[c5_TxIntegrationCostAC(SUM)]]+Table_SiteMilestoneTrackingSummary[[#This Row],[c6_InstallationCostAC(SUM)]]+Table_SiteMilestoneTrackingSummary[[#This Row],[c7_IntegrationCostAC(SUM)]]+Table_SiteMilestoneTrackingSummary[[#This Row],[c8_AcceptanceCostAC(SUM)]]+Table_SiteMilestoneTrackingSummary[[#This Row],[c9_HandoverCostAC(SUM)]]</f>
        <v>0</v>
      </c>
      <c r="DR7" s="59">
        <f>Table_SiteMilestoneTrackingSummary[[#This Row],[AccumulatedEV]]-Table_SiteMilestoneTrackingSummary[[#This Row],[AccumulatedPV]]</f>
        <v>0</v>
      </c>
      <c r="DS7" s="59">
        <f>Table_SiteMilestoneTrackingSummary[[#This Row],[AccumulatedEV]]-Table_SiteMilestoneTrackingSummary[[#This Row],[AccumulatedAC]]</f>
        <v>0</v>
      </c>
      <c r="DT7" s="58" t="str">
        <f>IFERROR(Table_SiteMilestoneTrackingSummary[[#This Row],[AccumulatedEV]]/Table_SiteMilestoneTrackingSummary[[#This Row],[AccumulatedPV]],"/")</f>
        <v>/</v>
      </c>
      <c r="DU7" s="101" t="str">
        <f>IFERROR(Table_SiteMilestoneTrackingSummary[[#This Row],[AccumulatedEV]]/Table_SiteMilestoneTrackingSummary[[#This Row],[AccumulatedAC]],"/")</f>
        <v>/</v>
      </c>
    </row>
    <row r="8" spans="1:125" outlineLevel="1" x14ac:dyDescent="0.3">
      <c r="A8" s="79">
        <v>2020</v>
      </c>
      <c r="B8" s="79">
        <v>5</v>
      </c>
      <c r="C8" s="95">
        <f>DATE(Table_SiteMilestoneTrackingSummary[[#This Row],[Year]],1,-2)-WEEKDAY(DATE(Table_SiteMilestoneTrackingSummary[[#This Row],[Year]],1,3))+Table_SiteMilestoneTrackingSummary[[#This Row],[Week]]*7</f>
        <v>43857</v>
      </c>
      <c r="D8" s="95">
        <f>Table_SiteMilestoneTrackingSummary[[#This Row],[StartDate]]+6</f>
        <v>43863</v>
      </c>
      <c r="E8" s="100">
        <f>COUNTIFS(Table_SiteMilestoneTracking[SiteDesignStarted_BL],"&gt;="&amp;Table_SiteMilestoneTrackingSummary[[#This Row],[StartDate]:[StartDate]],Table_SiteMilestoneTracking[SiteDesignStarted_BL],"&lt;"&amp;Table_SiteMilestoneTrackingSummary[[#This Row],[EndDate]:[EndDate]]+1)</f>
        <v>0</v>
      </c>
      <c r="F8" s="100">
        <f>F7+Table_SiteMilestoneTrackingSummary[[#This Row],[SiteDesignStarted_BL]]</f>
        <v>0</v>
      </c>
      <c r="G8" s="100">
        <f>COUNTIFS(Table_SiteMilestoneTracking[SiteDesignStarted_AC],"&gt;="&amp;Table_SiteMilestoneTrackingSummary[[#This Row],[StartDate]:[StartDate]],Table_SiteMilestoneTracking[SiteDesignStarted_AC],"&lt;"&amp;Table_SiteMilestoneTrackingSummary[[#This Row],[EndDate]:[EndDate]]+1)</f>
        <v>0</v>
      </c>
      <c r="H8" s="100">
        <f>H7+Table_SiteMilestoneTrackingSummary[[#This Row],[SiteDesignStarted_AC]]</f>
        <v>0</v>
      </c>
      <c r="I8" s="100">
        <f>Table_SiteMilestoneTrackingSummary[[#This Row],[SiteDesignReady_AC]]*$I$2</f>
        <v>0</v>
      </c>
      <c r="J8" s="100">
        <f>J7+Table_SiteMilestoneTrackingSummary[[#This Row],[c0_SiteDesignEV]]</f>
        <v>0</v>
      </c>
      <c r="K8" s="97">
        <f>SUMIFS(Table_SiteMilestoneTracking[c0_SiteDesignCostBL],
Table_SiteMilestoneTracking[SiteDesignReady_BL],"&gt;="&amp;Table_SiteMilestoneTrackingSummary[[#This Row],[StartDate]:[StartDate]],
Table_SiteMilestoneTracking[SiteDesignReady_BL],"&lt;"&amp;Table_SiteMilestoneTrackingSummary[[#This Row],[EndDate]:[EndDate]]+1)</f>
        <v>0</v>
      </c>
      <c r="L8" s="59">
        <f>L7+Table_SiteMilestoneTrackingSummary[[#This Row],[c0_SiteDesignCostBL]]</f>
        <v>0</v>
      </c>
      <c r="M8" s="97">
        <f>SUMIFS(Table_SiteMilestoneTracking[c0_SiteDesignCostAC],
Table_SiteMilestoneTracking[SiteDesignReady_AC],"&gt;="&amp;Table_SiteMilestoneTrackingSummary[[#This Row],[StartDate]:[StartDate]],
Table_SiteMilestoneTracking[SiteDesignReady_AC],"&lt;"&amp;Table_SiteMilestoneTrackingSummary[[#This Row],[EndDate]:[EndDate]]+1)</f>
        <v>0</v>
      </c>
      <c r="N8" s="59">
        <f>N7+Table_SiteMilestoneTrackingSummary[[#This Row],[c0_SiteDesignCostAC]]</f>
        <v>0</v>
      </c>
      <c r="O8" s="96">
        <f>COUNTIFS(Table_SiteMilestoneTracking[SiteDesignReady_BL],"&gt;="&amp;Table_SiteMilestoneTrackingSummary[[#This Row],[StartDate]:[StartDate]],
Table_SiteMilestoneTracking[SiteDesignReady_BL],"&lt;"&amp;Table_SiteMilestoneTrackingSummary[[#This Row],[EndDate]:[EndDate]]+1)</f>
        <v>0</v>
      </c>
      <c r="P8" s="100">
        <f>P7+Table_SiteMilestoneTrackingSummary[[#This Row],[SiteDesignReady_BL]]</f>
        <v>0</v>
      </c>
      <c r="Q8" s="100">
        <f>COUNTIFS(Table_SiteMilestoneTracking[SiteDesignReady_AC],"&gt;="&amp;Table_SiteMilestoneTrackingSummary[[#This Row],[StartDate]:[StartDate]],Table_SiteMilestoneTracking[SiteDesignReady_AC],"&lt;"&amp;Table_SiteMilestoneTrackingSummary[[#This Row],[EndDate]:[EndDate]]+1)</f>
        <v>0</v>
      </c>
      <c r="R8" s="100">
        <f>R7+Table_SiteMilestoneTrackingSummary[[#This Row],[SiteDesignReady_AC]]</f>
        <v>0</v>
      </c>
      <c r="S8" s="100">
        <f>Table_SiteMilestoneTrackingSummary[[#This Row],[ReadyForCW_AC]]*$S$2</f>
        <v>0</v>
      </c>
      <c r="T8" s="100">
        <f>T7+Table_SiteMilestoneTrackingSummary[[#This Row],[c1_SiteSurveyEV]]</f>
        <v>0</v>
      </c>
      <c r="U8" s="96">
        <f>SUMIFS(Table_SiteMilestoneTracking[c1_SiteSurveyCostBL],
Table_SiteMilestoneTracking[SiteSurveyCompleted_BL],"&gt;="&amp;Table_SiteMilestoneTrackingSummary[[#This Row],[StartDate]:[StartDate]],
Table_SiteMilestoneTracking[SiteSurveyCompleted_BL],"&lt;"&amp;Table_SiteMilestoneTrackingSummary[[#This Row],[EndDate]:[EndDate]]+1)</f>
        <v>0</v>
      </c>
      <c r="V8" s="100">
        <f>V7+Table_SiteMilestoneTrackingSummary[[#This Row],[c1_SiteSurveyCostBL]]</f>
        <v>0</v>
      </c>
      <c r="W8" s="96">
        <f>SUMIFS(Table_SiteMilestoneTracking[c1_SiteSurveyCostAC],
Table_SiteMilestoneTracking[SiteSurveyCompleted_AC],"&gt;="&amp;Table_SiteMilestoneTrackingSummary[[#This Row],[StartDate]:[StartDate]],
Table_SiteMilestoneTracking[SiteSurveyCompleted_AC],"&lt;"&amp;Table_SiteMilestoneTrackingSummary[[#This Row],[EndDate]:[EndDate]]+1)</f>
        <v>0</v>
      </c>
      <c r="X8" s="100">
        <f>X7+Table_SiteMilestoneTrackingSummary[[#This Row],[c1_SiteSurveyCostAC]]</f>
        <v>0</v>
      </c>
      <c r="Y8" s="96">
        <f>COUNTIFS(Table_SiteMilestoneTracking[SiteSurveyCompleted_BL],"&gt;="&amp;Table_SiteMilestoneTrackingSummary[[#This Row],[StartDate]:[StartDate]],
Table_SiteMilestoneTracking[SiteSurveyCompleted_BL],"&lt;"&amp;Table_SiteMilestoneTrackingSummary[[#This Row],[EndDate]:[EndDate]]+1)</f>
        <v>0</v>
      </c>
      <c r="Z8" s="100">
        <f>Z7+Table_SiteMilestoneTrackingSummary[[#This Row],[SiteSurveyCompleted_BL]]</f>
        <v>0</v>
      </c>
      <c r="AA8" s="96">
        <f>COUNTIFS(Table_SiteMilestoneTracking[SiteSurveyCompleted_AC],"&gt;="&amp;Table_SiteMilestoneTrackingSummary[[#This Row],[StartDate]:[StartDate]],
Table_SiteMilestoneTracking[SiteSurveyCompleted_AC],"&lt;"&amp;Table_SiteMilestoneTrackingSummary[[#This Row],[EndDate]:[EndDate]]+1)</f>
        <v>0</v>
      </c>
      <c r="AB8" s="100">
        <f>AB7+Table_SiteMilestoneTrackingSummary[[#This Row],[SiteSurveyCompleted_AC]]</f>
        <v>0</v>
      </c>
      <c r="AC8" s="100">
        <f>$AC$2*Table_SiteMilestoneTrackingSummary[[#This Row],[SiteAcquired_AC]]</f>
        <v>0</v>
      </c>
      <c r="AD8" s="100">
        <f>AD7+Table_SiteMilestoneTrackingSummary[[#This Row],[c2_SiteAcquisitionEV]]</f>
        <v>0</v>
      </c>
      <c r="AE8" s="96">
        <f>SUMIFS(Table_SiteMilestoneTracking[c2_SiteAcquisitionCostBL],
Table_SiteMilestoneTracking[SiteAcquired_BL],"&gt;="&amp;Table_SiteMilestoneTrackingSummary[[#This Row],[StartDate]:[StartDate]],
Table_SiteMilestoneTracking[SiteAcquired_BL],"&lt;"&amp;Table_SiteMilestoneTrackingSummary[[#This Row],[EndDate]:[EndDate]]+1)</f>
        <v>0</v>
      </c>
      <c r="AF8" s="100">
        <f>AF7+Table_SiteMilestoneTrackingSummary[[#This Row],[c2_SiteAcquisitionCostBL]]</f>
        <v>0</v>
      </c>
      <c r="AG8" s="96">
        <f>SUMIFS(Table_SiteMilestoneTracking[c2_SiteAcquisitionCostAC],
Table_SiteMilestoneTracking[SiteAcquired_AC],"&gt;="&amp;Table_SiteMilestoneTrackingSummary[[#This Row],[StartDate]:[StartDate]],
Table_SiteMilestoneTracking[SiteAcquired_AC],"&lt;"&amp;Table_SiteMilestoneTrackingSummary[[#This Row],[EndDate]:[EndDate]]+1)</f>
        <v>0</v>
      </c>
      <c r="AH8" s="100">
        <f>AH7+Table_SiteMilestoneTrackingSummary[[#This Row],[c2_SiteAcquisitionCostAC]]</f>
        <v>0</v>
      </c>
      <c r="AI8" s="96">
        <f>COUNTIFS(Table_SiteMilestoneTracking[SiteAcquired_BL],"&gt;="&amp;Table_SiteMilestoneTrackingSummary[[#This Row],[StartDate]:[StartDate]],
Table_SiteMilestoneTracking[SiteAcquired_BL],"&lt;"&amp;Table_SiteMilestoneTrackingSummary[[#This Row],[EndDate]:[EndDate]]+1)</f>
        <v>0</v>
      </c>
      <c r="AJ8" s="100">
        <f>AJ7+Table_SiteMilestoneTrackingSummary[[#This Row],[SiteAcquired_BL]]</f>
        <v>0</v>
      </c>
      <c r="AK8" s="96">
        <f>COUNTIFS(Table_SiteMilestoneTracking[SiteAcquired_AC],"&gt;="&amp;Table_SiteMilestoneTrackingSummary[[#This Row],[StartDate]:[StartDate]],
Table_SiteMilestoneTracking[SiteAcquired_AC],"&lt;"&amp;Table_SiteMilestoneTrackingSummary[[#This Row],[EndDate]:[EndDate]]+1)</f>
        <v>0</v>
      </c>
      <c r="AL8" s="100">
        <f>AL7+Table_SiteMilestoneTrackingSummary[[#This Row],[SiteAcquired_AC]]</f>
        <v>0</v>
      </c>
      <c r="AM8" s="100">
        <f>Table_SiteMilestoneTrackingSummary[[#This Row],[ReadyForCW_AC]]*$AM$2</f>
        <v>0</v>
      </c>
      <c r="AN8" s="100">
        <f>AN7+Table_SiteMilestoneTrackingSummary[[#This Row],[c2a_SiteCWReadinessEV]]</f>
        <v>0</v>
      </c>
      <c r="AO8" s="96">
        <f>SUMIFS(Table_SiteMilestoneTracking[c2a_SiteCWReadinessCost_BL],
Table_SiteMilestoneTracking[SiteReadyForCW_BL],"&gt;="&amp;Table_SiteMilestoneTrackingSummary[[#This Row],[StartDate]:[StartDate]],
Table_SiteMilestoneTracking[SiteReadyForCW_BL],"&lt;"&amp;Table_SiteMilestoneTrackingSummary[[#This Row],[EndDate]:[EndDate]]+1)</f>
        <v>0</v>
      </c>
      <c r="AP8" s="100">
        <f>AP7+Table_SiteMilestoneTrackingSummary[[#This Row],[c2a_SiteCWReadinessCostBL]]</f>
        <v>0</v>
      </c>
      <c r="AQ8" s="96">
        <f>SUMIFS(Table_SiteMilestoneTracking[c2a_SiteCWReadinessCost_AC],
Table_SiteMilestoneTracking[SiteReadyForCW_AC],"&gt;="&amp;Table_SiteMilestoneTrackingSummary[[#This Row],[StartDate]:[StartDate]],
Table_SiteMilestoneTracking[SiteReadyForCW_AC],"&lt;"&amp;Table_SiteMilestoneTrackingSummary[[#This Row],[EndDate]:[EndDate]]+1)</f>
        <v>0</v>
      </c>
      <c r="AR8" s="100">
        <f>AR7+Table_SiteMilestoneTrackingSummary[[#This Row],[c2a_SiteCWReadinessCostAC]]</f>
        <v>0</v>
      </c>
      <c r="AS8" s="96">
        <f>COUNTIFS(Table_SiteMilestoneTracking[SiteReadyForCW_BL],"&gt;="&amp;Table_SiteMilestoneTrackingSummary[[#This Row],[StartDate]:[StartDate]],
Table_SiteMilestoneTracking[SiteReadyForCW_BL],"&lt;"&amp;Table_SiteMilestoneTrackingSummary[[#This Row],[EndDate]:[EndDate]]+1)</f>
        <v>0</v>
      </c>
      <c r="AT8" s="100">
        <f>AT7+Table_SiteMilestoneTrackingSummary[[#This Row],[ReadyForCW_BL]]</f>
        <v>0</v>
      </c>
      <c r="AU8" s="96">
        <f>COUNTIFS(Table_SiteMilestoneTracking[SiteReadyForCW_AC],"&gt;="&amp;Table_SiteMilestoneTrackingSummary[[#This Row],[StartDate]:[StartDate]],
Table_SiteMilestoneTracking[SiteReadyForCW_AC],"&lt;"&amp;Table_SiteMilestoneTrackingSummary[[#This Row],[EndDate]:[EndDate]]+1)</f>
        <v>0</v>
      </c>
      <c r="AV8" s="100">
        <f>AV7+Table_SiteMilestoneTrackingSummary[[#This Row],[ReadyForCW_AC]]</f>
        <v>0</v>
      </c>
      <c r="AW8" s="100">
        <f>$AW$2*Table_SiteMilestoneTrackingSummary[[#This Row],[ReadyForPower_AC]]</f>
        <v>0</v>
      </c>
      <c r="AX8" s="100">
        <f>AX7+Table_SiteMilestoneTrackingSummary[[#This Row],[c3_CivilWorksEV]]</f>
        <v>0</v>
      </c>
      <c r="AY8" s="96">
        <f>SUMIFS(Table_SiteMilestoneTracking[c3_CivilWorksCostBL],
Table_SiteMilestoneTracking[SiteReadyForPower_BL],"&gt;="&amp;Table_SiteMilestoneTrackingSummary[[#This Row],[StartDate]:[StartDate]],
Table_SiteMilestoneTracking[SiteReadyForPower_BL],"&lt;"&amp;Table_SiteMilestoneTrackingSummary[[#This Row],[EndDate]:[EndDate]]+1)</f>
        <v>0</v>
      </c>
      <c r="AZ8" s="100">
        <f>AZ7+Table_SiteMilestoneTrackingSummary[[#This Row],[c3_CivilWorksCostBL]]</f>
        <v>0</v>
      </c>
      <c r="BA8" s="96">
        <f>SUMIFS(Table_SiteMilestoneTracking[c3_CivilWorksCostAC],
Table_SiteMilestoneTracking[SiteReadyForPower_AC],"&gt;="&amp;Table_SiteMilestoneTrackingSummary[[#This Row],[StartDate]:[StartDate]],
Table_SiteMilestoneTracking[SiteReadyForPower_AC],"&lt;"&amp;Table_SiteMilestoneTrackingSummary[[#This Row],[EndDate]:[EndDate]]+1)</f>
        <v>0</v>
      </c>
      <c r="BB8" s="100">
        <f>BB7+Table_SiteMilestoneTrackingSummary[[#This Row],[c3_CivilWorksCostAC]]</f>
        <v>0</v>
      </c>
      <c r="BC8" s="96">
        <f>COUNTIFS(Table_SiteMilestoneTracking[SiteReadyForPower_BL],"&gt;="&amp;Table_SiteMilestoneTrackingSummary[[#This Row],[StartDate]:[StartDate]],
Table_SiteMilestoneTracking[SiteReadyForPower_BL],"&lt;"&amp;Table_SiteMilestoneTrackingSummary[[#This Row],[EndDate]:[EndDate]]+1)</f>
        <v>0</v>
      </c>
      <c r="BD8" s="100">
        <f>BD7+Table_SiteMilestoneTrackingSummary[[#This Row],[ReadyForPower_BL]]</f>
        <v>0</v>
      </c>
      <c r="BE8" s="96">
        <f>COUNTIFS(Table_SiteMilestoneTracking[SiteReadyForPower_AC],"&gt;="&amp;Table_SiteMilestoneTrackingSummary[[#This Row],[StartDate]:[StartDate]],
Table_SiteMilestoneTracking[SiteReadyForPower_AC],"&lt;"&amp;Table_SiteMilestoneTrackingSummary[[#This Row],[EndDate]:[EndDate]]+1)</f>
        <v>0</v>
      </c>
      <c r="BF8" s="100">
        <f>BF7+Table_SiteMilestoneTrackingSummary[[#This Row],[ReadyForPower_AC]]</f>
        <v>0</v>
      </c>
      <c r="BG8" s="100">
        <f>$BG$2*Table_SiteMilestoneTrackingSummary[[#This Row],[TXReady_AC]]</f>
        <v>0</v>
      </c>
      <c r="BH8" s="100">
        <f>BH7+Table_SiteMilestoneTrackingSummary[[#This Row],[c4_PowerInstallEV]]</f>
        <v>0</v>
      </c>
      <c r="BI8" s="96">
        <f>SUMIFS(Table_SiteMilestoneTracking[c4_PowerInstallCostBL],
Table_SiteMilestoneTracking[TXReady_BL],"&gt;="&amp;Table_SiteMilestoneTrackingSummary[[#This Row],[StartDate]:[StartDate]],
Table_SiteMilestoneTracking[TXReady_BL],"&lt;"&amp;Table_SiteMilestoneTrackingSummary[[#This Row],[EndDate]:[EndDate]]+1)</f>
        <v>0</v>
      </c>
      <c r="BJ8" s="100">
        <f>BJ7+Table_SiteMilestoneTrackingSummary[[#This Row],[c4_PowerInstallCostBL]]</f>
        <v>0</v>
      </c>
      <c r="BK8" s="96">
        <f>SUMIFS(Table_SiteMilestoneTracking[c4_PowerInstallCostAC],
Table_SiteMilestoneTracking[TXReady_AC],"&gt;="&amp;Table_SiteMilestoneTrackingSummary[[#This Row],[StartDate]:[StartDate]],
Table_SiteMilestoneTracking[TXReady_AC],"&lt;"&amp;Table_SiteMilestoneTrackingSummary[[#This Row],[EndDate]:[EndDate]]+1)</f>
        <v>0</v>
      </c>
      <c r="BL8" s="100">
        <f>BL7+Table_SiteMilestoneTrackingSummary[[#This Row],[c4_PowerInstallCostAC]]</f>
        <v>0</v>
      </c>
      <c r="BM8" s="96">
        <f>COUNTIFS(Table_SiteMilestoneTracking[TXReady_BL],"&gt;="&amp;Table_SiteMilestoneTrackingSummary[[#This Row],[StartDate]:[StartDate]],
Table_SiteMilestoneTracking[TXReady_BL],"&lt;"&amp;Table_SiteMilestoneTrackingSummary[[#This Row],[EndDate]:[EndDate]]+1)</f>
        <v>0</v>
      </c>
      <c r="BN8" s="100">
        <f>BN7+Table_SiteMilestoneTrackingSummary[[#This Row],[TXReady_BL]]</f>
        <v>0</v>
      </c>
      <c r="BO8" s="100">
        <f>COUNTIFS(Table_SiteMilestoneTracking[TXReady_AC],"&gt;="&amp;Table_SiteMilestoneTrackingSummary[[#This Row],[StartDate]:[StartDate]],Table_SiteMilestoneTracking[TXReady_AC],"&lt;"&amp;Table_SiteMilestoneTrackingSummary[[#This Row],[EndDate]:[EndDate]]+1)</f>
        <v>0</v>
      </c>
      <c r="BP8" s="100">
        <f>BP7+Table_SiteMilestoneTrackingSummary[[#This Row],[TXReady_AC]]</f>
        <v>0</v>
      </c>
      <c r="BQ8" s="100">
        <f>$BQ$2*Table_SiteMilestoneTrackingSummary[[#This Row],[ReadyForInstallation_AC]]</f>
        <v>0</v>
      </c>
      <c r="BR8" s="100">
        <f>BR7+Table_SiteMilestoneTrackingSummary[[#This Row],[c5_TxIntegrationEV]]</f>
        <v>0</v>
      </c>
      <c r="BS8" s="96">
        <f>SUMIFS(Table_SiteMilestoneTracking[c5_TxintegrationCostBL],
Table_SiteMilestoneTracking[SiteReadyForInstallation_BL],"&gt;="&amp;Table_SiteMilestoneTrackingSummary[[#This Row],[StartDate]:[StartDate]],
Table_SiteMilestoneTracking[SiteReadyForInstallation_BL],"&lt;"&amp;Table_SiteMilestoneTrackingSummary[[#This Row],[EndDate]:[EndDate]]+1)</f>
        <v>0</v>
      </c>
      <c r="BT8" s="100">
        <f>BT7+Table_SiteMilestoneTrackingSummary[[#This Row],[c5_TxIntegrationCostBL]]</f>
        <v>0</v>
      </c>
      <c r="BU8" s="96">
        <f>SUMIFS(Table_SiteMilestoneTracking[c5_TxintegrationCostAC],
Table_SiteMilestoneTracking[SiteReadyForInstallation_AC],"&gt;="&amp;Table_SiteMilestoneTrackingSummary[[#This Row],[StartDate]:[StartDate]],
Table_SiteMilestoneTracking[SiteReadyForInstallation_AC],"&lt;"&amp;Table_SiteMilestoneTrackingSummary[[#This Row],[EndDate]:[EndDate]]+1)</f>
        <v>0</v>
      </c>
      <c r="BV8" s="100">
        <f>BV7+Table_SiteMilestoneTrackingSummary[[#This Row],[c5_TxIntegrationCostAC]]</f>
        <v>0</v>
      </c>
      <c r="BW8" s="96">
        <f>COUNTIFS(Table_SiteMilestoneTracking[SiteReadyForInstallation_BL],"&gt;="&amp;Table_SiteMilestoneTrackingSummary[[#This Row],[StartDate]:[StartDate]],
Table_SiteMilestoneTracking[SiteReadyForInstallation_BL],"&lt;"&amp;Table_SiteMilestoneTrackingSummary[[#This Row],[EndDate]:[EndDate]]+1)</f>
        <v>0</v>
      </c>
      <c r="BX8" s="100">
        <f>BX7+Table_SiteMilestoneTrackingSummary[[#This Row],[ReadyForInstallation_BL]]</f>
        <v>0</v>
      </c>
      <c r="BY8" s="96">
        <f>COUNTIFS(Table_SiteMilestoneTracking[SiteReadyForInstallation_AC],"&gt;="&amp;Table_SiteMilestoneTrackingSummary[[#This Row],[StartDate]:[StartDate]],
Table_SiteMilestoneTracking[SiteReadyForInstallation_AC],"&lt;"&amp;Table_SiteMilestoneTrackingSummary[[#This Row],[EndDate]:[EndDate]]+1)</f>
        <v>0</v>
      </c>
      <c r="BZ8" s="100">
        <f>BZ7+Table_SiteMilestoneTrackingSummary[[#This Row],[ReadyForInstallation_AC]]</f>
        <v>0</v>
      </c>
      <c r="CA8" s="100">
        <f>$CA$2*Table_SiteMilestoneTrackingSummary[[#This Row],[ReadyForIntegration_AC]]</f>
        <v>0</v>
      </c>
      <c r="CB8" s="100">
        <f>CB7+Table_SiteMilestoneTrackingSummary[[#This Row],[c6_InstallationEV]]</f>
        <v>0</v>
      </c>
      <c r="CC8" s="96">
        <f>SUMIFS(Table_SiteMilestoneTracking[c6_InstallationCostBL],
Table_SiteMilestoneTracking[SiteReadyForIntegration_BL],"&gt;="&amp;Table_SiteMilestoneTrackingSummary[[#This Row],[StartDate]:[StartDate]],
Table_SiteMilestoneTracking[SiteReadyForIntegration_BL],"&lt;"&amp;Table_SiteMilestoneTrackingSummary[[#This Row],[EndDate]:[EndDate]]+1)</f>
        <v>0</v>
      </c>
      <c r="CD8" s="100">
        <f>CD7+Table_SiteMilestoneTrackingSummary[[#This Row],[c6_InstallationCostBL]]</f>
        <v>0</v>
      </c>
      <c r="CE8" s="96">
        <f>SUMIFS(Table_SiteMilestoneTracking[c6_InstallationCostAC],
Table_SiteMilestoneTracking[SiteReadyForIntegration_AC],"&gt;="&amp;Table_SiteMilestoneTrackingSummary[[#This Row],[StartDate]:[StartDate]],
Table_SiteMilestoneTracking[SiteReadyForIntegration_AC],"&lt;"&amp;Table_SiteMilestoneTrackingSummary[[#This Row],[EndDate]:[EndDate]]+1)</f>
        <v>0</v>
      </c>
      <c r="CF8" s="100">
        <f>CF7+Table_SiteMilestoneTrackingSummary[[#This Row],[c6_InstallationCostAC]]</f>
        <v>0</v>
      </c>
      <c r="CG8" s="96">
        <f>COUNTIFS(Table_SiteMilestoneTracking[SiteReadyForIntegration_BL],"&gt;="&amp;Table_SiteMilestoneTrackingSummary[[#This Row],[StartDate]:[StartDate]],
Table_SiteMilestoneTracking[SiteReadyForIntegration_BL],"&lt;"&amp;Table_SiteMilestoneTrackingSummary[[#This Row],[EndDate]:[EndDate]]+1)</f>
        <v>0</v>
      </c>
      <c r="CH8" s="100">
        <f>CH7+Table_SiteMilestoneTrackingSummary[[#This Row],[ReadyForIntegration_BL]]</f>
        <v>0</v>
      </c>
      <c r="CI8" s="96">
        <f>COUNTIFS(Table_SiteMilestoneTracking[SiteReadyForIntegration_AC],"&gt;="&amp;Table_SiteMilestoneTrackingSummary[[#This Row],[StartDate]:[StartDate]],
Table_SiteMilestoneTracking[SiteReadyForIntegration_AC],"&lt;"&amp;Table_SiteMilestoneTrackingSummary[[#This Row],[EndDate]:[EndDate]]+1)</f>
        <v>0</v>
      </c>
      <c r="CJ8" s="100">
        <f>CJ7+Table_SiteMilestoneTrackingSummary[[#This Row],[ReadyForIntegration_AC]]</f>
        <v>0</v>
      </c>
      <c r="CK8" s="100">
        <f>$CK$2*Table_SiteMilestoneTrackingSummary[[#This Row],[SiteOnAir_AC]]</f>
        <v>0</v>
      </c>
      <c r="CL8" s="100">
        <f>CL7+Table_SiteMilestoneTrackingSummary[[#This Row],[c7_IntegrationEV]]</f>
        <v>0</v>
      </c>
      <c r="CM8" s="96">
        <f>SUMIFS(Table_SiteMilestoneTracking[c7_IntegrationCostBL],
Table_SiteMilestoneTracking[SiteOnAir_BL],"&gt;="&amp;Table_SiteMilestoneTrackingSummary[[#This Row],[StartDate]:[StartDate]],
Table_SiteMilestoneTracking[SiteOnAir_BL],"&lt;"&amp;Table_SiteMilestoneTrackingSummary[[#This Row],[EndDate]:[EndDate]]+1)</f>
        <v>0</v>
      </c>
      <c r="CN8" s="100">
        <f>CN7+Table_SiteMilestoneTrackingSummary[[#This Row],[c7_IntegrationCostBL]]</f>
        <v>0</v>
      </c>
      <c r="CO8" s="96">
        <f>SUMIFS(Table_SiteMilestoneTracking[c7_IntegrationCostAC],
Table_SiteMilestoneTracking[SiteOnAir_AC],"&gt;="&amp;Table_SiteMilestoneTrackingSummary[[#This Row],[StartDate]:[StartDate]],
Table_SiteMilestoneTracking[SiteOnAir_AC],"&lt;"&amp;Table_SiteMilestoneTrackingSummary[[#This Row],[EndDate]:[EndDate]]+1)</f>
        <v>0</v>
      </c>
      <c r="CP8" s="100">
        <f>CP7+Table_SiteMilestoneTrackingSummary[[#This Row],[c7_IntegrationCostAC]]</f>
        <v>0</v>
      </c>
      <c r="CQ8" s="96">
        <f>COUNTIFS(Table_SiteMilestoneTracking[SiteOnAir_BL],"&gt;="&amp;Table_SiteMilestoneTrackingSummary[[#This Row],[StartDate]:[StartDate]],
Table_SiteMilestoneTracking[SiteOnAir_BL],"&lt;"&amp;Table_SiteMilestoneTrackingSummary[[#This Row],[EndDate]:[EndDate]]+1)</f>
        <v>0</v>
      </c>
      <c r="CR8" s="100">
        <f>CR7+Table_SiteMilestoneTrackingSummary[[#This Row],[SiteOnAir_BL]]</f>
        <v>0</v>
      </c>
      <c r="CS8" s="96">
        <f>COUNTIFS(Table_SiteMilestoneTracking[SiteOnAir_AC],"&gt;="&amp;Table_SiteMilestoneTrackingSummary[[#This Row],[StartDate]:[StartDate]],
Table_SiteMilestoneTracking[SiteOnAir_AC],"&lt;"&amp;Table_SiteMilestoneTrackingSummary[[#This Row],[EndDate]:[EndDate]]+1)</f>
        <v>0</v>
      </c>
      <c r="CT8" s="100">
        <f>CT7+Table_SiteMilestoneTrackingSummary[[#This Row],[SiteOnAir_AC]]</f>
        <v>0</v>
      </c>
      <c r="CU8" s="100">
        <f>$CU$2*Table_SiteMilestoneTrackingSummary[[#This Row],[SiteAccepted_AC]]</f>
        <v>0</v>
      </c>
      <c r="CV8" s="100">
        <f>CV7+Table_SiteMilestoneTrackingSummary[[#This Row],[c8_AcceptanceEV]]</f>
        <v>0</v>
      </c>
      <c r="CW8" s="96">
        <f>SUMIFS(Table_SiteMilestoneTracking[c8_AcceptanceCostBL],
Table_SiteMilestoneTracking[SiteAccepted_BL],"&gt;="&amp;Table_SiteMilestoneTrackingSummary[[#This Row],[StartDate]:[StartDate]],
Table_SiteMilestoneTracking[SiteAccepted_BL],"&lt;"&amp;Table_SiteMilestoneTrackingSummary[[#This Row],[EndDate]:[EndDate]]+1)</f>
        <v>0</v>
      </c>
      <c r="CX8" s="100">
        <f>CX7+Table_SiteMilestoneTrackingSummary[[#This Row],[c8_AcceptanceCostBL]]</f>
        <v>0</v>
      </c>
      <c r="CY8" s="96">
        <f>SUMIFS(Table_SiteMilestoneTracking[c8_AcceptanceCostAC],
Table_SiteMilestoneTracking[SiteAccepted_AC],"&gt;="&amp;Table_SiteMilestoneTrackingSummary[[#This Row],[StartDate]:[StartDate]],
Table_SiteMilestoneTracking[SiteAccepted_AC],"&lt;"&amp;Table_SiteMilestoneTrackingSummary[[#This Row],[EndDate]:[EndDate]]+1)</f>
        <v>0</v>
      </c>
      <c r="CZ8" s="100">
        <f>CZ7+Table_SiteMilestoneTrackingSummary[[#This Row],[c8_AcceptanceCostAC]]</f>
        <v>0</v>
      </c>
      <c r="DA8" s="96">
        <f>COUNTIFS(Table_SiteMilestoneTracking[SiteAccepted_BL],"&gt;="&amp;Table_SiteMilestoneTrackingSummary[[#This Row],[StartDate]:[StartDate]],
Table_SiteMilestoneTracking[SiteAccepted_BL],"&lt;"&amp;Table_SiteMilestoneTrackingSummary[[#This Row],[EndDate]:[EndDate]]+1)</f>
        <v>0</v>
      </c>
      <c r="DB8" s="100">
        <f>DB7+Table_SiteMilestoneTrackingSummary[[#This Row],[SiteAccepted_BL]]</f>
        <v>0</v>
      </c>
      <c r="DC8" s="96">
        <f>COUNTIFS(Table_SiteMilestoneTracking[SiteAccepted_AC],"&gt;="&amp;Table_SiteMilestoneTrackingSummary[[#This Row],[StartDate]:[StartDate]],
Table_SiteMilestoneTracking[SiteAccepted_AC],"&lt;"&amp;Table_SiteMilestoneTrackingSummary[[#This Row],[EndDate]:[EndDate]]+1)</f>
        <v>0</v>
      </c>
      <c r="DD8" s="100">
        <f>DD7+Table_SiteMilestoneTrackingSummary[[#This Row],[SiteAccepted_AC]]</f>
        <v>0</v>
      </c>
      <c r="DE8" s="100">
        <f>$DE$2*Table_SiteMilestoneTrackingSummary[[#This Row],[SiteInOperations_AC]]</f>
        <v>0</v>
      </c>
      <c r="DF8" s="100">
        <f>DF7+Table_SiteMilestoneTrackingSummary[[#This Row],[c9_HandoverEV]]</f>
        <v>0</v>
      </c>
      <c r="DG8" s="96">
        <f>SUMIFS(Table_SiteMilestoneTracking[c9_HandoverCostBL],
Table_SiteMilestoneTracking[SiteInOperations_BL],"&gt;="&amp;Table_SiteMilestoneTrackingSummary[[#This Row],[StartDate]:[StartDate]],
Table_SiteMilestoneTracking[SiteInOperations_BL],"&lt;"&amp;Table_SiteMilestoneTrackingSummary[[#This Row],[EndDate]:[EndDate]]+1)</f>
        <v>0</v>
      </c>
      <c r="DH8" s="100">
        <f>DH7+Table_SiteMilestoneTrackingSummary[[#This Row],[c9_HandoverCostBL2]]</f>
        <v>0</v>
      </c>
      <c r="DI8" s="96">
        <f>SUMIFS(Table_SiteMilestoneTracking[c9_HandoverCostAC],
Table_SiteMilestoneTracking[SiteInOperations_AC],"&gt;="&amp;Table_SiteMilestoneTrackingSummary[[#This Row],[StartDate]:[StartDate]],
Table_SiteMilestoneTracking[SiteInOperations_AC],"&lt;"&amp;Table_SiteMilestoneTrackingSummary[[#This Row],[EndDate]:[EndDate]]+1)</f>
        <v>0</v>
      </c>
      <c r="DJ8" s="100">
        <f>DJ7+Table_SiteMilestoneTrackingSummary[[#This Row],[c9_HandoverCostAC]]</f>
        <v>0</v>
      </c>
      <c r="DK8" s="96">
        <f>COUNTIFS(Table_SiteMilestoneTracking[SiteInOperations_BL],"&gt;="&amp;Table_SiteMilestoneTrackingSummary[[#This Row],[StartDate]:[StartDate]],
Table_SiteMilestoneTracking[SiteInOperations_BL],"&lt;"&amp;Table_SiteMilestoneTrackingSummary[[#This Row],[EndDate]:[EndDate]]+1)</f>
        <v>0</v>
      </c>
      <c r="DL8" s="100">
        <f>DL7+Table_SiteMilestoneTrackingSummary[[#This Row],[SiteInOperations_BL]]</f>
        <v>0</v>
      </c>
      <c r="DM8" s="96">
        <f>COUNTIFS(Table_SiteMilestoneTracking[SiteInOperations_AC],"&gt;="&amp;Table_SiteMilestoneTrackingSummary[[#This Row],[StartDate]:[StartDate]],
Table_SiteMilestoneTracking[SiteInOperations_AC],"&lt;"&amp;Table_SiteMilestoneTrackingSummary[[#This Row],[EndDate]:[EndDate]]+1)</f>
        <v>0</v>
      </c>
      <c r="DN8" s="100">
        <f>DN7+Table_SiteMilestoneTrackingSummary[[#This Row],[SiteInOperations_AC]]</f>
        <v>0</v>
      </c>
      <c r="DO8" s="59">
        <f>Table_SiteMilestoneTrackingSummary[[#This Row],[c0_SiteDesignEV(SUM)]]+Table_SiteMilestoneTrackingSummary[[#This Row],[c1_SiteSurveyEV(SUM)]]+Table_SiteMilestoneTrackingSummary[[#This Row],[c2_SiteAcquisitionEV(SUM)]]+Table_SiteMilestoneTrackingSummary[[#This Row],[c2a_SiteCWReadinessEV(SUM)]]+Table_SiteMilestoneTrackingSummary[[#This Row],[c3_CivilWorksEV(SUM)]]+Table_SiteMilestoneTrackingSummary[[#This Row],[c4_PowerInstallEV(SUM)]]+Table_SiteMilestoneTrackingSummary[[#This Row],[c5_TxIntegrationEV(SUM)]]+Table_SiteMilestoneTrackingSummary[[#This Row],[c6_InstallationEV(SUM)]]+Table_SiteMilestoneTrackingSummary[[#This Row],[c7_IntegrationEV(SUM)]]+Table_SiteMilestoneTrackingSummary[[#This Row],[c8_AcceptanceEV(SUM)]]+Table_SiteMilestoneTrackingSummary[[#This Row],[c9_HandoverEV(SUM)]]</f>
        <v>0</v>
      </c>
      <c r="DP8" s="59">
        <f>Table_SiteMilestoneTrackingSummary[[#This Row],[c0_SiteDesignCostBL(SUM)]]+Table_SiteMilestoneTrackingSummary[[#This Row],[c1_SiteSurveyCostBL(SUM)]]+Table_SiteMilestoneTrackingSummary[[#This Row],[c2_SiteAcquisitionCostBL(SUM)]]+Table_SiteMilestoneTrackingSummary[[#This Row],[c2a_SiteCWReadinessCostBL(SUM)]]+Table_SiteMilestoneTrackingSummary[[#This Row],[c3_CivilWorksCostBL(SUM)]]+Table_SiteMilestoneTrackingSummary[[#This Row],[c4_PowerInstallCostBL(SUM)]]+Table_SiteMilestoneTrackingSummary[[#This Row],[c5_TxIntegrationCostBL(SUM)]]+Table_SiteMilestoneTrackingSummary[[#This Row],[c6_InstallationCostBL(SUM)]]+Table_SiteMilestoneTrackingSummary[[#This Row],[c7_IntegrationCostBL(SUM)]]+Table_SiteMilestoneTrackingSummary[[#This Row],[c8_AcceptanceCostBL(SUM)]]+Table_SiteMilestoneTrackingSummary[[#This Row],[c9_HandoverCostBL(SUM)]]</f>
        <v>0</v>
      </c>
      <c r="DQ8" s="59">
        <f>Table_SiteMilestoneTrackingSummary[[#This Row],[c0_SiteDesignCostAC(SUM)]]+Table_SiteMilestoneTrackingSummary[[#This Row],[c1_SiteSurveyCostAC(SUM)]]+Table_SiteMilestoneTrackingSummary[[#This Row],[c2_SiteAcquisitionCostAC(SUM)]]+Table_SiteMilestoneTrackingSummary[[#This Row],[c2a_SiteCWReadinessCostAC(SUM)]]+Table_SiteMilestoneTrackingSummary[[#This Row],[c3_CivilWorksCostAC(SUM)]]+Table_SiteMilestoneTrackingSummary[[#This Row],[c4_PowerInstallCostAC(SUM)]]+Table_SiteMilestoneTrackingSummary[[#This Row],[c5_TxIntegrationCostAC(SUM)]]+Table_SiteMilestoneTrackingSummary[[#This Row],[c6_InstallationCostAC(SUM)]]+Table_SiteMilestoneTrackingSummary[[#This Row],[c7_IntegrationCostAC(SUM)]]+Table_SiteMilestoneTrackingSummary[[#This Row],[c8_AcceptanceCostAC(SUM)]]+Table_SiteMilestoneTrackingSummary[[#This Row],[c9_HandoverCostAC(SUM)]]</f>
        <v>0</v>
      </c>
      <c r="DR8" s="59">
        <f>Table_SiteMilestoneTrackingSummary[[#This Row],[AccumulatedEV]]-Table_SiteMilestoneTrackingSummary[[#This Row],[AccumulatedPV]]</f>
        <v>0</v>
      </c>
      <c r="DS8" s="59">
        <f>Table_SiteMilestoneTrackingSummary[[#This Row],[AccumulatedEV]]-Table_SiteMilestoneTrackingSummary[[#This Row],[AccumulatedAC]]</f>
        <v>0</v>
      </c>
      <c r="DT8" s="58" t="str">
        <f>IFERROR(Table_SiteMilestoneTrackingSummary[[#This Row],[AccumulatedEV]]/Table_SiteMilestoneTrackingSummary[[#This Row],[AccumulatedPV]],"/")</f>
        <v>/</v>
      </c>
      <c r="DU8" s="101" t="str">
        <f>IFERROR(Table_SiteMilestoneTrackingSummary[[#This Row],[AccumulatedEV]]/Table_SiteMilestoneTrackingSummary[[#This Row],[AccumulatedAC]],"/")</f>
        <v>/</v>
      </c>
    </row>
    <row r="9" spans="1:125" outlineLevel="1" x14ac:dyDescent="0.3">
      <c r="A9" s="79">
        <v>2020</v>
      </c>
      <c r="B9" s="79">
        <v>6</v>
      </c>
      <c r="C9" s="95">
        <f>DATE(Table_SiteMilestoneTrackingSummary[[#This Row],[Year]],1,-2)-WEEKDAY(DATE(Table_SiteMilestoneTrackingSummary[[#This Row],[Year]],1,3))+Table_SiteMilestoneTrackingSummary[[#This Row],[Week]]*7</f>
        <v>43864</v>
      </c>
      <c r="D9" s="95">
        <f>Table_SiteMilestoneTrackingSummary[[#This Row],[StartDate]]+6</f>
        <v>43870</v>
      </c>
      <c r="E9" s="100">
        <f>COUNTIFS(Table_SiteMilestoneTracking[SiteDesignStarted_BL],"&gt;="&amp;Table_SiteMilestoneTrackingSummary[[#This Row],[StartDate]:[StartDate]],Table_SiteMilestoneTracking[SiteDesignStarted_BL],"&lt;"&amp;Table_SiteMilestoneTrackingSummary[[#This Row],[EndDate]:[EndDate]]+1)</f>
        <v>0</v>
      </c>
      <c r="F9" s="100">
        <f>F8+Table_SiteMilestoneTrackingSummary[[#This Row],[SiteDesignStarted_BL]]</f>
        <v>0</v>
      </c>
      <c r="G9" s="100">
        <f>COUNTIFS(Table_SiteMilestoneTracking[SiteDesignStarted_AC],"&gt;="&amp;Table_SiteMilestoneTrackingSummary[[#This Row],[StartDate]:[StartDate]],Table_SiteMilestoneTracking[SiteDesignStarted_AC],"&lt;"&amp;Table_SiteMilestoneTrackingSummary[[#This Row],[EndDate]:[EndDate]]+1)</f>
        <v>0</v>
      </c>
      <c r="H9" s="100">
        <f>H8+Table_SiteMilestoneTrackingSummary[[#This Row],[SiteDesignStarted_AC]]</f>
        <v>0</v>
      </c>
      <c r="I9" s="100">
        <f>Table_SiteMilestoneTrackingSummary[[#This Row],[SiteDesignReady_AC]]*$I$2</f>
        <v>0</v>
      </c>
      <c r="J9" s="100">
        <f>J8+Table_SiteMilestoneTrackingSummary[[#This Row],[c0_SiteDesignEV]]</f>
        <v>0</v>
      </c>
      <c r="K9" s="97">
        <f>SUMIFS(Table_SiteMilestoneTracking[c0_SiteDesignCostBL],
Table_SiteMilestoneTracking[SiteDesignReady_BL],"&gt;="&amp;Table_SiteMilestoneTrackingSummary[[#This Row],[StartDate]:[StartDate]],
Table_SiteMilestoneTracking[SiteDesignReady_BL],"&lt;"&amp;Table_SiteMilestoneTrackingSummary[[#This Row],[EndDate]:[EndDate]]+1)</f>
        <v>0</v>
      </c>
      <c r="L9" s="59">
        <f>L8+Table_SiteMilestoneTrackingSummary[[#This Row],[c0_SiteDesignCostBL]]</f>
        <v>0</v>
      </c>
      <c r="M9" s="97">
        <f>SUMIFS(Table_SiteMilestoneTracking[c0_SiteDesignCostAC],
Table_SiteMilestoneTracking[SiteDesignReady_AC],"&gt;="&amp;Table_SiteMilestoneTrackingSummary[[#This Row],[StartDate]:[StartDate]],
Table_SiteMilestoneTracking[SiteDesignReady_AC],"&lt;"&amp;Table_SiteMilestoneTrackingSummary[[#This Row],[EndDate]:[EndDate]]+1)</f>
        <v>0</v>
      </c>
      <c r="N9" s="59">
        <f>N8+Table_SiteMilestoneTrackingSummary[[#This Row],[c0_SiteDesignCostAC]]</f>
        <v>0</v>
      </c>
      <c r="O9" s="96">
        <f>COUNTIFS(Table_SiteMilestoneTracking[SiteDesignReady_BL],"&gt;="&amp;Table_SiteMilestoneTrackingSummary[[#This Row],[StartDate]:[StartDate]],
Table_SiteMilestoneTracking[SiteDesignReady_BL],"&lt;"&amp;Table_SiteMilestoneTrackingSummary[[#This Row],[EndDate]:[EndDate]]+1)</f>
        <v>0</v>
      </c>
      <c r="P9" s="100">
        <f>P8+Table_SiteMilestoneTrackingSummary[[#This Row],[SiteDesignReady_BL]]</f>
        <v>0</v>
      </c>
      <c r="Q9" s="100">
        <f>COUNTIFS(Table_SiteMilestoneTracking[SiteDesignReady_AC],"&gt;="&amp;Table_SiteMilestoneTrackingSummary[[#This Row],[StartDate]:[StartDate]],Table_SiteMilestoneTracking[SiteDesignReady_AC],"&lt;"&amp;Table_SiteMilestoneTrackingSummary[[#This Row],[EndDate]:[EndDate]]+1)</f>
        <v>0</v>
      </c>
      <c r="R9" s="100">
        <f>R8+Table_SiteMilestoneTrackingSummary[[#This Row],[SiteDesignReady_AC]]</f>
        <v>0</v>
      </c>
      <c r="S9" s="100">
        <f>Table_SiteMilestoneTrackingSummary[[#This Row],[ReadyForCW_AC]]*$S$2</f>
        <v>0</v>
      </c>
      <c r="T9" s="100">
        <f>T8+Table_SiteMilestoneTrackingSummary[[#This Row],[c1_SiteSurveyEV]]</f>
        <v>0</v>
      </c>
      <c r="U9" s="96">
        <f>SUMIFS(Table_SiteMilestoneTracking[c1_SiteSurveyCostBL],
Table_SiteMilestoneTracking[SiteSurveyCompleted_BL],"&gt;="&amp;Table_SiteMilestoneTrackingSummary[[#This Row],[StartDate]:[StartDate]],
Table_SiteMilestoneTracking[SiteSurveyCompleted_BL],"&lt;"&amp;Table_SiteMilestoneTrackingSummary[[#This Row],[EndDate]:[EndDate]]+1)</f>
        <v>0</v>
      </c>
      <c r="V9" s="100">
        <f>V8+Table_SiteMilestoneTrackingSummary[[#This Row],[c1_SiteSurveyCostBL]]</f>
        <v>0</v>
      </c>
      <c r="W9" s="96">
        <f>SUMIFS(Table_SiteMilestoneTracking[c1_SiteSurveyCostAC],
Table_SiteMilestoneTracking[SiteSurveyCompleted_AC],"&gt;="&amp;Table_SiteMilestoneTrackingSummary[[#This Row],[StartDate]:[StartDate]],
Table_SiteMilestoneTracking[SiteSurveyCompleted_AC],"&lt;"&amp;Table_SiteMilestoneTrackingSummary[[#This Row],[EndDate]:[EndDate]]+1)</f>
        <v>0</v>
      </c>
      <c r="X9" s="100">
        <f>X8+Table_SiteMilestoneTrackingSummary[[#This Row],[c1_SiteSurveyCostAC]]</f>
        <v>0</v>
      </c>
      <c r="Y9" s="96">
        <f>COUNTIFS(Table_SiteMilestoneTracking[SiteSurveyCompleted_BL],"&gt;="&amp;Table_SiteMilestoneTrackingSummary[[#This Row],[StartDate]:[StartDate]],
Table_SiteMilestoneTracking[SiteSurveyCompleted_BL],"&lt;"&amp;Table_SiteMilestoneTrackingSummary[[#This Row],[EndDate]:[EndDate]]+1)</f>
        <v>0</v>
      </c>
      <c r="Z9" s="100">
        <f>Z8+Table_SiteMilestoneTrackingSummary[[#This Row],[SiteSurveyCompleted_BL]]</f>
        <v>0</v>
      </c>
      <c r="AA9" s="96">
        <f>COUNTIFS(Table_SiteMilestoneTracking[SiteSurveyCompleted_AC],"&gt;="&amp;Table_SiteMilestoneTrackingSummary[[#This Row],[StartDate]:[StartDate]],
Table_SiteMilestoneTracking[SiteSurveyCompleted_AC],"&lt;"&amp;Table_SiteMilestoneTrackingSummary[[#This Row],[EndDate]:[EndDate]]+1)</f>
        <v>0</v>
      </c>
      <c r="AB9" s="100">
        <f>AB8+Table_SiteMilestoneTrackingSummary[[#This Row],[SiteSurveyCompleted_AC]]</f>
        <v>0</v>
      </c>
      <c r="AC9" s="100">
        <f>$AC$2*Table_SiteMilestoneTrackingSummary[[#This Row],[SiteAcquired_AC]]</f>
        <v>0</v>
      </c>
      <c r="AD9" s="100">
        <f>AD8+Table_SiteMilestoneTrackingSummary[[#This Row],[c2_SiteAcquisitionEV]]</f>
        <v>0</v>
      </c>
      <c r="AE9" s="96">
        <f>SUMIFS(Table_SiteMilestoneTracking[c2_SiteAcquisitionCostBL],
Table_SiteMilestoneTracking[SiteAcquired_BL],"&gt;="&amp;Table_SiteMilestoneTrackingSummary[[#This Row],[StartDate]:[StartDate]],
Table_SiteMilestoneTracking[SiteAcquired_BL],"&lt;"&amp;Table_SiteMilestoneTrackingSummary[[#This Row],[EndDate]:[EndDate]]+1)</f>
        <v>0</v>
      </c>
      <c r="AF9" s="100">
        <f>AF8+Table_SiteMilestoneTrackingSummary[[#This Row],[c2_SiteAcquisitionCostBL]]</f>
        <v>0</v>
      </c>
      <c r="AG9" s="96">
        <f>SUMIFS(Table_SiteMilestoneTracking[c2_SiteAcquisitionCostAC],
Table_SiteMilestoneTracking[SiteAcquired_AC],"&gt;="&amp;Table_SiteMilestoneTrackingSummary[[#This Row],[StartDate]:[StartDate]],
Table_SiteMilestoneTracking[SiteAcquired_AC],"&lt;"&amp;Table_SiteMilestoneTrackingSummary[[#This Row],[EndDate]:[EndDate]]+1)</f>
        <v>0</v>
      </c>
      <c r="AH9" s="100">
        <f>AH8+Table_SiteMilestoneTrackingSummary[[#This Row],[c2_SiteAcquisitionCostAC]]</f>
        <v>0</v>
      </c>
      <c r="AI9" s="96">
        <f>COUNTIFS(Table_SiteMilestoneTracking[SiteAcquired_BL],"&gt;="&amp;Table_SiteMilestoneTrackingSummary[[#This Row],[StartDate]:[StartDate]],
Table_SiteMilestoneTracking[SiteAcquired_BL],"&lt;"&amp;Table_SiteMilestoneTrackingSummary[[#This Row],[EndDate]:[EndDate]]+1)</f>
        <v>0</v>
      </c>
      <c r="AJ9" s="100">
        <f>AJ8+Table_SiteMilestoneTrackingSummary[[#This Row],[SiteAcquired_BL]]</f>
        <v>0</v>
      </c>
      <c r="AK9" s="96">
        <f>COUNTIFS(Table_SiteMilestoneTracking[SiteAcquired_AC],"&gt;="&amp;Table_SiteMilestoneTrackingSummary[[#This Row],[StartDate]:[StartDate]],
Table_SiteMilestoneTracking[SiteAcquired_AC],"&lt;"&amp;Table_SiteMilestoneTrackingSummary[[#This Row],[EndDate]:[EndDate]]+1)</f>
        <v>0</v>
      </c>
      <c r="AL9" s="100">
        <f>AL8+Table_SiteMilestoneTrackingSummary[[#This Row],[SiteAcquired_AC]]</f>
        <v>0</v>
      </c>
      <c r="AM9" s="100">
        <f>Table_SiteMilestoneTrackingSummary[[#This Row],[ReadyForCW_AC]]*$AM$2</f>
        <v>0</v>
      </c>
      <c r="AN9" s="100">
        <f>AN8+Table_SiteMilestoneTrackingSummary[[#This Row],[c2a_SiteCWReadinessEV]]</f>
        <v>0</v>
      </c>
      <c r="AO9" s="96">
        <f>SUMIFS(Table_SiteMilestoneTracking[c2a_SiteCWReadinessCost_BL],
Table_SiteMilestoneTracking[SiteReadyForCW_BL],"&gt;="&amp;Table_SiteMilestoneTrackingSummary[[#This Row],[StartDate]:[StartDate]],
Table_SiteMilestoneTracking[SiteReadyForCW_BL],"&lt;"&amp;Table_SiteMilestoneTrackingSummary[[#This Row],[EndDate]:[EndDate]]+1)</f>
        <v>0</v>
      </c>
      <c r="AP9" s="100">
        <f>AP8+Table_SiteMilestoneTrackingSummary[[#This Row],[c2a_SiteCWReadinessCostBL]]</f>
        <v>0</v>
      </c>
      <c r="AQ9" s="96">
        <f>SUMIFS(Table_SiteMilestoneTracking[c2a_SiteCWReadinessCost_AC],
Table_SiteMilestoneTracking[SiteReadyForCW_AC],"&gt;="&amp;Table_SiteMilestoneTrackingSummary[[#This Row],[StartDate]:[StartDate]],
Table_SiteMilestoneTracking[SiteReadyForCW_AC],"&lt;"&amp;Table_SiteMilestoneTrackingSummary[[#This Row],[EndDate]:[EndDate]]+1)</f>
        <v>0</v>
      </c>
      <c r="AR9" s="100">
        <f>AR8+Table_SiteMilestoneTrackingSummary[[#This Row],[c2a_SiteCWReadinessCostAC]]</f>
        <v>0</v>
      </c>
      <c r="AS9" s="96">
        <f>COUNTIFS(Table_SiteMilestoneTracking[SiteReadyForCW_BL],"&gt;="&amp;Table_SiteMilestoneTrackingSummary[[#This Row],[StartDate]:[StartDate]],
Table_SiteMilestoneTracking[SiteReadyForCW_BL],"&lt;"&amp;Table_SiteMilestoneTrackingSummary[[#This Row],[EndDate]:[EndDate]]+1)</f>
        <v>0</v>
      </c>
      <c r="AT9" s="100">
        <f>AT8+Table_SiteMilestoneTrackingSummary[[#This Row],[ReadyForCW_BL]]</f>
        <v>0</v>
      </c>
      <c r="AU9" s="96">
        <f>COUNTIFS(Table_SiteMilestoneTracking[SiteReadyForCW_AC],"&gt;="&amp;Table_SiteMilestoneTrackingSummary[[#This Row],[StartDate]:[StartDate]],
Table_SiteMilestoneTracking[SiteReadyForCW_AC],"&lt;"&amp;Table_SiteMilestoneTrackingSummary[[#This Row],[EndDate]:[EndDate]]+1)</f>
        <v>0</v>
      </c>
      <c r="AV9" s="100">
        <f>AV8+Table_SiteMilestoneTrackingSummary[[#This Row],[ReadyForCW_AC]]</f>
        <v>0</v>
      </c>
      <c r="AW9" s="100">
        <f>$AW$2*Table_SiteMilestoneTrackingSummary[[#This Row],[ReadyForPower_AC]]</f>
        <v>0</v>
      </c>
      <c r="AX9" s="100">
        <f>AX8+Table_SiteMilestoneTrackingSummary[[#This Row],[c3_CivilWorksEV]]</f>
        <v>0</v>
      </c>
      <c r="AY9" s="96">
        <f>SUMIFS(Table_SiteMilestoneTracking[c3_CivilWorksCostBL],
Table_SiteMilestoneTracking[SiteReadyForPower_BL],"&gt;="&amp;Table_SiteMilestoneTrackingSummary[[#This Row],[StartDate]:[StartDate]],
Table_SiteMilestoneTracking[SiteReadyForPower_BL],"&lt;"&amp;Table_SiteMilestoneTrackingSummary[[#This Row],[EndDate]:[EndDate]]+1)</f>
        <v>0</v>
      </c>
      <c r="AZ9" s="100">
        <f>AZ8+Table_SiteMilestoneTrackingSummary[[#This Row],[c3_CivilWorksCostBL]]</f>
        <v>0</v>
      </c>
      <c r="BA9" s="96">
        <f>SUMIFS(Table_SiteMilestoneTracking[c3_CivilWorksCostAC],
Table_SiteMilestoneTracking[SiteReadyForPower_AC],"&gt;="&amp;Table_SiteMilestoneTrackingSummary[[#This Row],[StartDate]:[StartDate]],
Table_SiteMilestoneTracking[SiteReadyForPower_AC],"&lt;"&amp;Table_SiteMilestoneTrackingSummary[[#This Row],[EndDate]:[EndDate]]+1)</f>
        <v>0</v>
      </c>
      <c r="BB9" s="100">
        <f>BB8+Table_SiteMilestoneTrackingSummary[[#This Row],[c3_CivilWorksCostAC]]</f>
        <v>0</v>
      </c>
      <c r="BC9" s="96">
        <f>COUNTIFS(Table_SiteMilestoneTracking[SiteReadyForPower_BL],"&gt;="&amp;Table_SiteMilestoneTrackingSummary[[#This Row],[StartDate]:[StartDate]],
Table_SiteMilestoneTracking[SiteReadyForPower_BL],"&lt;"&amp;Table_SiteMilestoneTrackingSummary[[#This Row],[EndDate]:[EndDate]]+1)</f>
        <v>0</v>
      </c>
      <c r="BD9" s="100">
        <f>BD8+Table_SiteMilestoneTrackingSummary[[#This Row],[ReadyForPower_BL]]</f>
        <v>0</v>
      </c>
      <c r="BE9" s="96">
        <f>COUNTIFS(Table_SiteMilestoneTracking[SiteReadyForPower_AC],"&gt;="&amp;Table_SiteMilestoneTrackingSummary[[#This Row],[StartDate]:[StartDate]],
Table_SiteMilestoneTracking[SiteReadyForPower_AC],"&lt;"&amp;Table_SiteMilestoneTrackingSummary[[#This Row],[EndDate]:[EndDate]]+1)</f>
        <v>0</v>
      </c>
      <c r="BF9" s="100">
        <f>BF8+Table_SiteMilestoneTrackingSummary[[#This Row],[ReadyForPower_AC]]</f>
        <v>0</v>
      </c>
      <c r="BG9" s="100">
        <f>$BG$2*Table_SiteMilestoneTrackingSummary[[#This Row],[TXReady_AC]]</f>
        <v>0</v>
      </c>
      <c r="BH9" s="100">
        <f>BH8+Table_SiteMilestoneTrackingSummary[[#This Row],[c4_PowerInstallEV]]</f>
        <v>0</v>
      </c>
      <c r="BI9" s="96">
        <f>SUMIFS(Table_SiteMilestoneTracking[c4_PowerInstallCostBL],
Table_SiteMilestoneTracking[TXReady_BL],"&gt;="&amp;Table_SiteMilestoneTrackingSummary[[#This Row],[StartDate]:[StartDate]],
Table_SiteMilestoneTracking[TXReady_BL],"&lt;"&amp;Table_SiteMilestoneTrackingSummary[[#This Row],[EndDate]:[EndDate]]+1)</f>
        <v>0</v>
      </c>
      <c r="BJ9" s="100">
        <f>BJ8+Table_SiteMilestoneTrackingSummary[[#This Row],[c4_PowerInstallCostBL]]</f>
        <v>0</v>
      </c>
      <c r="BK9" s="96">
        <f>SUMIFS(Table_SiteMilestoneTracking[c4_PowerInstallCostAC],
Table_SiteMilestoneTracking[TXReady_AC],"&gt;="&amp;Table_SiteMilestoneTrackingSummary[[#This Row],[StartDate]:[StartDate]],
Table_SiteMilestoneTracking[TXReady_AC],"&lt;"&amp;Table_SiteMilestoneTrackingSummary[[#This Row],[EndDate]:[EndDate]]+1)</f>
        <v>0</v>
      </c>
      <c r="BL9" s="100">
        <f>BL8+Table_SiteMilestoneTrackingSummary[[#This Row],[c4_PowerInstallCostAC]]</f>
        <v>0</v>
      </c>
      <c r="BM9" s="96">
        <f>COUNTIFS(Table_SiteMilestoneTracking[TXReady_BL],"&gt;="&amp;Table_SiteMilestoneTrackingSummary[[#This Row],[StartDate]:[StartDate]],
Table_SiteMilestoneTracking[TXReady_BL],"&lt;"&amp;Table_SiteMilestoneTrackingSummary[[#This Row],[EndDate]:[EndDate]]+1)</f>
        <v>0</v>
      </c>
      <c r="BN9" s="100">
        <f>BN8+Table_SiteMilestoneTrackingSummary[[#This Row],[TXReady_BL]]</f>
        <v>0</v>
      </c>
      <c r="BO9" s="100">
        <f>COUNTIFS(Table_SiteMilestoneTracking[TXReady_AC],"&gt;="&amp;Table_SiteMilestoneTrackingSummary[[#This Row],[StartDate]:[StartDate]],Table_SiteMilestoneTracking[TXReady_AC],"&lt;"&amp;Table_SiteMilestoneTrackingSummary[[#This Row],[EndDate]:[EndDate]]+1)</f>
        <v>0</v>
      </c>
      <c r="BP9" s="100">
        <f>BP8+Table_SiteMilestoneTrackingSummary[[#This Row],[TXReady_AC]]</f>
        <v>0</v>
      </c>
      <c r="BQ9" s="100">
        <f>$BQ$2*Table_SiteMilestoneTrackingSummary[[#This Row],[ReadyForInstallation_AC]]</f>
        <v>0</v>
      </c>
      <c r="BR9" s="100">
        <f>BR8+Table_SiteMilestoneTrackingSummary[[#This Row],[c5_TxIntegrationEV]]</f>
        <v>0</v>
      </c>
      <c r="BS9" s="96">
        <f>SUMIFS(Table_SiteMilestoneTracking[c5_TxintegrationCostBL],
Table_SiteMilestoneTracking[SiteReadyForInstallation_BL],"&gt;="&amp;Table_SiteMilestoneTrackingSummary[[#This Row],[StartDate]:[StartDate]],
Table_SiteMilestoneTracking[SiteReadyForInstallation_BL],"&lt;"&amp;Table_SiteMilestoneTrackingSummary[[#This Row],[EndDate]:[EndDate]]+1)</f>
        <v>0</v>
      </c>
      <c r="BT9" s="100">
        <f>BT8+Table_SiteMilestoneTrackingSummary[[#This Row],[c5_TxIntegrationCostBL]]</f>
        <v>0</v>
      </c>
      <c r="BU9" s="96">
        <f>SUMIFS(Table_SiteMilestoneTracking[c5_TxintegrationCostAC],
Table_SiteMilestoneTracking[SiteReadyForInstallation_AC],"&gt;="&amp;Table_SiteMilestoneTrackingSummary[[#This Row],[StartDate]:[StartDate]],
Table_SiteMilestoneTracking[SiteReadyForInstallation_AC],"&lt;"&amp;Table_SiteMilestoneTrackingSummary[[#This Row],[EndDate]:[EndDate]]+1)</f>
        <v>0</v>
      </c>
      <c r="BV9" s="100">
        <f>BV8+Table_SiteMilestoneTrackingSummary[[#This Row],[c5_TxIntegrationCostAC]]</f>
        <v>0</v>
      </c>
      <c r="BW9" s="96">
        <f>COUNTIFS(Table_SiteMilestoneTracking[SiteReadyForInstallation_BL],"&gt;="&amp;Table_SiteMilestoneTrackingSummary[[#This Row],[StartDate]:[StartDate]],
Table_SiteMilestoneTracking[SiteReadyForInstallation_BL],"&lt;"&amp;Table_SiteMilestoneTrackingSummary[[#This Row],[EndDate]:[EndDate]]+1)</f>
        <v>0</v>
      </c>
      <c r="BX9" s="100">
        <f>BX8+Table_SiteMilestoneTrackingSummary[[#This Row],[ReadyForInstallation_BL]]</f>
        <v>0</v>
      </c>
      <c r="BY9" s="96">
        <f>COUNTIFS(Table_SiteMilestoneTracking[SiteReadyForInstallation_AC],"&gt;="&amp;Table_SiteMilestoneTrackingSummary[[#This Row],[StartDate]:[StartDate]],
Table_SiteMilestoneTracking[SiteReadyForInstallation_AC],"&lt;"&amp;Table_SiteMilestoneTrackingSummary[[#This Row],[EndDate]:[EndDate]]+1)</f>
        <v>0</v>
      </c>
      <c r="BZ9" s="100">
        <f>BZ8+Table_SiteMilestoneTrackingSummary[[#This Row],[ReadyForInstallation_AC]]</f>
        <v>0</v>
      </c>
      <c r="CA9" s="100">
        <f>$CA$2*Table_SiteMilestoneTrackingSummary[[#This Row],[ReadyForIntegration_AC]]</f>
        <v>0</v>
      </c>
      <c r="CB9" s="100">
        <f>CB8+Table_SiteMilestoneTrackingSummary[[#This Row],[c6_InstallationEV]]</f>
        <v>0</v>
      </c>
      <c r="CC9" s="96">
        <f>SUMIFS(Table_SiteMilestoneTracking[c6_InstallationCostBL],
Table_SiteMilestoneTracking[SiteReadyForIntegration_BL],"&gt;="&amp;Table_SiteMilestoneTrackingSummary[[#This Row],[StartDate]:[StartDate]],
Table_SiteMilestoneTracking[SiteReadyForIntegration_BL],"&lt;"&amp;Table_SiteMilestoneTrackingSummary[[#This Row],[EndDate]:[EndDate]]+1)</f>
        <v>0</v>
      </c>
      <c r="CD9" s="100">
        <f>CD8+Table_SiteMilestoneTrackingSummary[[#This Row],[c6_InstallationCostBL]]</f>
        <v>0</v>
      </c>
      <c r="CE9" s="96">
        <f>SUMIFS(Table_SiteMilestoneTracking[c6_InstallationCostAC],
Table_SiteMilestoneTracking[SiteReadyForIntegration_AC],"&gt;="&amp;Table_SiteMilestoneTrackingSummary[[#This Row],[StartDate]:[StartDate]],
Table_SiteMilestoneTracking[SiteReadyForIntegration_AC],"&lt;"&amp;Table_SiteMilestoneTrackingSummary[[#This Row],[EndDate]:[EndDate]]+1)</f>
        <v>0</v>
      </c>
      <c r="CF9" s="100">
        <f>CF8+Table_SiteMilestoneTrackingSummary[[#This Row],[c6_InstallationCostAC]]</f>
        <v>0</v>
      </c>
      <c r="CG9" s="96">
        <f>COUNTIFS(Table_SiteMilestoneTracking[SiteReadyForIntegration_BL],"&gt;="&amp;Table_SiteMilestoneTrackingSummary[[#This Row],[StartDate]:[StartDate]],
Table_SiteMilestoneTracking[SiteReadyForIntegration_BL],"&lt;"&amp;Table_SiteMilestoneTrackingSummary[[#This Row],[EndDate]:[EndDate]]+1)</f>
        <v>0</v>
      </c>
      <c r="CH9" s="100">
        <f>CH8+Table_SiteMilestoneTrackingSummary[[#This Row],[ReadyForIntegration_BL]]</f>
        <v>0</v>
      </c>
      <c r="CI9" s="96">
        <f>COUNTIFS(Table_SiteMilestoneTracking[SiteReadyForIntegration_AC],"&gt;="&amp;Table_SiteMilestoneTrackingSummary[[#This Row],[StartDate]:[StartDate]],
Table_SiteMilestoneTracking[SiteReadyForIntegration_AC],"&lt;"&amp;Table_SiteMilestoneTrackingSummary[[#This Row],[EndDate]:[EndDate]]+1)</f>
        <v>0</v>
      </c>
      <c r="CJ9" s="100">
        <f>CJ8+Table_SiteMilestoneTrackingSummary[[#This Row],[ReadyForIntegration_AC]]</f>
        <v>0</v>
      </c>
      <c r="CK9" s="100">
        <f>$CK$2*Table_SiteMilestoneTrackingSummary[[#This Row],[SiteOnAir_AC]]</f>
        <v>0</v>
      </c>
      <c r="CL9" s="100">
        <f>CL8+Table_SiteMilestoneTrackingSummary[[#This Row],[c7_IntegrationEV]]</f>
        <v>0</v>
      </c>
      <c r="CM9" s="96">
        <f>SUMIFS(Table_SiteMilestoneTracking[c7_IntegrationCostBL],
Table_SiteMilestoneTracking[SiteOnAir_BL],"&gt;="&amp;Table_SiteMilestoneTrackingSummary[[#This Row],[StartDate]:[StartDate]],
Table_SiteMilestoneTracking[SiteOnAir_BL],"&lt;"&amp;Table_SiteMilestoneTrackingSummary[[#This Row],[EndDate]:[EndDate]]+1)</f>
        <v>0</v>
      </c>
      <c r="CN9" s="100">
        <f>CN8+Table_SiteMilestoneTrackingSummary[[#This Row],[c7_IntegrationCostBL]]</f>
        <v>0</v>
      </c>
      <c r="CO9" s="96">
        <f>SUMIFS(Table_SiteMilestoneTracking[c7_IntegrationCostAC],
Table_SiteMilestoneTracking[SiteOnAir_AC],"&gt;="&amp;Table_SiteMilestoneTrackingSummary[[#This Row],[StartDate]:[StartDate]],
Table_SiteMilestoneTracking[SiteOnAir_AC],"&lt;"&amp;Table_SiteMilestoneTrackingSummary[[#This Row],[EndDate]:[EndDate]]+1)</f>
        <v>0</v>
      </c>
      <c r="CP9" s="100">
        <f>CP8+Table_SiteMilestoneTrackingSummary[[#This Row],[c7_IntegrationCostAC]]</f>
        <v>0</v>
      </c>
      <c r="CQ9" s="96">
        <f>COUNTIFS(Table_SiteMilestoneTracking[SiteOnAir_BL],"&gt;="&amp;Table_SiteMilestoneTrackingSummary[[#This Row],[StartDate]:[StartDate]],
Table_SiteMilestoneTracking[SiteOnAir_BL],"&lt;"&amp;Table_SiteMilestoneTrackingSummary[[#This Row],[EndDate]:[EndDate]]+1)</f>
        <v>0</v>
      </c>
      <c r="CR9" s="100">
        <f>CR8+Table_SiteMilestoneTrackingSummary[[#This Row],[SiteOnAir_BL]]</f>
        <v>0</v>
      </c>
      <c r="CS9" s="96">
        <f>COUNTIFS(Table_SiteMilestoneTracking[SiteOnAir_AC],"&gt;="&amp;Table_SiteMilestoneTrackingSummary[[#This Row],[StartDate]:[StartDate]],
Table_SiteMilestoneTracking[SiteOnAir_AC],"&lt;"&amp;Table_SiteMilestoneTrackingSummary[[#This Row],[EndDate]:[EndDate]]+1)</f>
        <v>0</v>
      </c>
      <c r="CT9" s="100">
        <f>CT8+Table_SiteMilestoneTrackingSummary[[#This Row],[SiteOnAir_AC]]</f>
        <v>0</v>
      </c>
      <c r="CU9" s="100">
        <f>$CU$2*Table_SiteMilestoneTrackingSummary[[#This Row],[SiteAccepted_AC]]</f>
        <v>0</v>
      </c>
      <c r="CV9" s="100">
        <f>CV8+Table_SiteMilestoneTrackingSummary[[#This Row],[c8_AcceptanceEV]]</f>
        <v>0</v>
      </c>
      <c r="CW9" s="96">
        <f>SUMIFS(Table_SiteMilestoneTracking[c8_AcceptanceCostBL],
Table_SiteMilestoneTracking[SiteAccepted_BL],"&gt;="&amp;Table_SiteMilestoneTrackingSummary[[#This Row],[StartDate]:[StartDate]],
Table_SiteMilestoneTracking[SiteAccepted_BL],"&lt;"&amp;Table_SiteMilestoneTrackingSummary[[#This Row],[EndDate]:[EndDate]]+1)</f>
        <v>0</v>
      </c>
      <c r="CX9" s="100">
        <f>CX8+Table_SiteMilestoneTrackingSummary[[#This Row],[c8_AcceptanceCostBL]]</f>
        <v>0</v>
      </c>
      <c r="CY9" s="96">
        <f>SUMIFS(Table_SiteMilestoneTracking[c8_AcceptanceCostAC],
Table_SiteMilestoneTracking[SiteAccepted_AC],"&gt;="&amp;Table_SiteMilestoneTrackingSummary[[#This Row],[StartDate]:[StartDate]],
Table_SiteMilestoneTracking[SiteAccepted_AC],"&lt;"&amp;Table_SiteMilestoneTrackingSummary[[#This Row],[EndDate]:[EndDate]]+1)</f>
        <v>0</v>
      </c>
      <c r="CZ9" s="100">
        <f>CZ8+Table_SiteMilestoneTrackingSummary[[#This Row],[c8_AcceptanceCostAC]]</f>
        <v>0</v>
      </c>
      <c r="DA9" s="96">
        <f>COUNTIFS(Table_SiteMilestoneTracking[SiteAccepted_BL],"&gt;="&amp;Table_SiteMilestoneTrackingSummary[[#This Row],[StartDate]:[StartDate]],
Table_SiteMilestoneTracking[SiteAccepted_BL],"&lt;"&amp;Table_SiteMilestoneTrackingSummary[[#This Row],[EndDate]:[EndDate]]+1)</f>
        <v>0</v>
      </c>
      <c r="DB9" s="100">
        <f>DB8+Table_SiteMilestoneTrackingSummary[[#This Row],[SiteAccepted_BL]]</f>
        <v>0</v>
      </c>
      <c r="DC9" s="96">
        <f>COUNTIFS(Table_SiteMilestoneTracking[SiteAccepted_AC],"&gt;="&amp;Table_SiteMilestoneTrackingSummary[[#This Row],[StartDate]:[StartDate]],
Table_SiteMilestoneTracking[SiteAccepted_AC],"&lt;"&amp;Table_SiteMilestoneTrackingSummary[[#This Row],[EndDate]:[EndDate]]+1)</f>
        <v>0</v>
      </c>
      <c r="DD9" s="100">
        <f>DD8+Table_SiteMilestoneTrackingSummary[[#This Row],[SiteAccepted_AC]]</f>
        <v>0</v>
      </c>
      <c r="DE9" s="100">
        <f>$DE$2*Table_SiteMilestoneTrackingSummary[[#This Row],[SiteInOperations_AC]]</f>
        <v>0</v>
      </c>
      <c r="DF9" s="100">
        <f>DF8+Table_SiteMilestoneTrackingSummary[[#This Row],[c9_HandoverEV]]</f>
        <v>0</v>
      </c>
      <c r="DG9" s="96">
        <f>SUMIFS(Table_SiteMilestoneTracking[c9_HandoverCostBL],
Table_SiteMilestoneTracking[SiteInOperations_BL],"&gt;="&amp;Table_SiteMilestoneTrackingSummary[[#This Row],[StartDate]:[StartDate]],
Table_SiteMilestoneTracking[SiteInOperations_BL],"&lt;"&amp;Table_SiteMilestoneTrackingSummary[[#This Row],[EndDate]:[EndDate]]+1)</f>
        <v>0</v>
      </c>
      <c r="DH9" s="100">
        <f>DH8+Table_SiteMilestoneTrackingSummary[[#This Row],[c9_HandoverCostBL2]]</f>
        <v>0</v>
      </c>
      <c r="DI9" s="96">
        <f>SUMIFS(Table_SiteMilestoneTracking[c9_HandoverCostAC],
Table_SiteMilestoneTracking[SiteInOperations_AC],"&gt;="&amp;Table_SiteMilestoneTrackingSummary[[#This Row],[StartDate]:[StartDate]],
Table_SiteMilestoneTracking[SiteInOperations_AC],"&lt;"&amp;Table_SiteMilestoneTrackingSummary[[#This Row],[EndDate]:[EndDate]]+1)</f>
        <v>0</v>
      </c>
      <c r="DJ9" s="100">
        <f>DJ8+Table_SiteMilestoneTrackingSummary[[#This Row],[c9_HandoverCostAC]]</f>
        <v>0</v>
      </c>
      <c r="DK9" s="96">
        <f>COUNTIFS(Table_SiteMilestoneTracking[SiteInOperations_BL],"&gt;="&amp;Table_SiteMilestoneTrackingSummary[[#This Row],[StartDate]:[StartDate]],
Table_SiteMilestoneTracking[SiteInOperations_BL],"&lt;"&amp;Table_SiteMilestoneTrackingSummary[[#This Row],[EndDate]:[EndDate]]+1)</f>
        <v>0</v>
      </c>
      <c r="DL9" s="100">
        <f>DL8+Table_SiteMilestoneTrackingSummary[[#This Row],[SiteInOperations_BL]]</f>
        <v>0</v>
      </c>
      <c r="DM9" s="96">
        <f>COUNTIFS(Table_SiteMilestoneTracking[SiteInOperations_AC],"&gt;="&amp;Table_SiteMilestoneTrackingSummary[[#This Row],[StartDate]:[StartDate]],
Table_SiteMilestoneTracking[SiteInOperations_AC],"&lt;"&amp;Table_SiteMilestoneTrackingSummary[[#This Row],[EndDate]:[EndDate]]+1)</f>
        <v>0</v>
      </c>
      <c r="DN9" s="100">
        <f>DN8+Table_SiteMilestoneTrackingSummary[[#This Row],[SiteInOperations_AC]]</f>
        <v>0</v>
      </c>
      <c r="DO9" s="59">
        <f>Table_SiteMilestoneTrackingSummary[[#This Row],[c0_SiteDesignEV(SUM)]]+Table_SiteMilestoneTrackingSummary[[#This Row],[c1_SiteSurveyEV(SUM)]]+Table_SiteMilestoneTrackingSummary[[#This Row],[c2_SiteAcquisitionEV(SUM)]]+Table_SiteMilestoneTrackingSummary[[#This Row],[c2a_SiteCWReadinessEV(SUM)]]+Table_SiteMilestoneTrackingSummary[[#This Row],[c3_CivilWorksEV(SUM)]]+Table_SiteMilestoneTrackingSummary[[#This Row],[c4_PowerInstallEV(SUM)]]+Table_SiteMilestoneTrackingSummary[[#This Row],[c5_TxIntegrationEV(SUM)]]+Table_SiteMilestoneTrackingSummary[[#This Row],[c6_InstallationEV(SUM)]]+Table_SiteMilestoneTrackingSummary[[#This Row],[c7_IntegrationEV(SUM)]]+Table_SiteMilestoneTrackingSummary[[#This Row],[c8_AcceptanceEV(SUM)]]+Table_SiteMilestoneTrackingSummary[[#This Row],[c9_HandoverEV(SUM)]]</f>
        <v>0</v>
      </c>
      <c r="DP9" s="59">
        <f>Table_SiteMilestoneTrackingSummary[[#This Row],[c0_SiteDesignCostBL(SUM)]]+Table_SiteMilestoneTrackingSummary[[#This Row],[c1_SiteSurveyCostBL(SUM)]]+Table_SiteMilestoneTrackingSummary[[#This Row],[c2_SiteAcquisitionCostBL(SUM)]]+Table_SiteMilestoneTrackingSummary[[#This Row],[c2a_SiteCWReadinessCostBL(SUM)]]+Table_SiteMilestoneTrackingSummary[[#This Row],[c3_CivilWorksCostBL(SUM)]]+Table_SiteMilestoneTrackingSummary[[#This Row],[c4_PowerInstallCostBL(SUM)]]+Table_SiteMilestoneTrackingSummary[[#This Row],[c5_TxIntegrationCostBL(SUM)]]+Table_SiteMilestoneTrackingSummary[[#This Row],[c6_InstallationCostBL(SUM)]]+Table_SiteMilestoneTrackingSummary[[#This Row],[c7_IntegrationCostBL(SUM)]]+Table_SiteMilestoneTrackingSummary[[#This Row],[c8_AcceptanceCostBL(SUM)]]+Table_SiteMilestoneTrackingSummary[[#This Row],[c9_HandoverCostBL(SUM)]]</f>
        <v>0</v>
      </c>
      <c r="DQ9" s="59">
        <f>Table_SiteMilestoneTrackingSummary[[#This Row],[c0_SiteDesignCostAC(SUM)]]+Table_SiteMilestoneTrackingSummary[[#This Row],[c1_SiteSurveyCostAC(SUM)]]+Table_SiteMilestoneTrackingSummary[[#This Row],[c2_SiteAcquisitionCostAC(SUM)]]+Table_SiteMilestoneTrackingSummary[[#This Row],[c2a_SiteCWReadinessCostAC(SUM)]]+Table_SiteMilestoneTrackingSummary[[#This Row],[c3_CivilWorksCostAC(SUM)]]+Table_SiteMilestoneTrackingSummary[[#This Row],[c4_PowerInstallCostAC(SUM)]]+Table_SiteMilestoneTrackingSummary[[#This Row],[c5_TxIntegrationCostAC(SUM)]]+Table_SiteMilestoneTrackingSummary[[#This Row],[c6_InstallationCostAC(SUM)]]+Table_SiteMilestoneTrackingSummary[[#This Row],[c7_IntegrationCostAC(SUM)]]+Table_SiteMilestoneTrackingSummary[[#This Row],[c8_AcceptanceCostAC(SUM)]]+Table_SiteMilestoneTrackingSummary[[#This Row],[c9_HandoverCostAC(SUM)]]</f>
        <v>0</v>
      </c>
      <c r="DR9" s="59">
        <f>Table_SiteMilestoneTrackingSummary[[#This Row],[AccumulatedEV]]-Table_SiteMilestoneTrackingSummary[[#This Row],[AccumulatedPV]]</f>
        <v>0</v>
      </c>
      <c r="DS9" s="59">
        <f>Table_SiteMilestoneTrackingSummary[[#This Row],[AccumulatedEV]]-Table_SiteMilestoneTrackingSummary[[#This Row],[AccumulatedAC]]</f>
        <v>0</v>
      </c>
      <c r="DT9" s="58" t="str">
        <f>IFERROR(Table_SiteMilestoneTrackingSummary[[#This Row],[AccumulatedEV]]/Table_SiteMilestoneTrackingSummary[[#This Row],[AccumulatedPV]],"/")</f>
        <v>/</v>
      </c>
      <c r="DU9" s="101" t="str">
        <f>IFERROR(Table_SiteMilestoneTrackingSummary[[#This Row],[AccumulatedEV]]/Table_SiteMilestoneTrackingSummary[[#This Row],[AccumulatedAC]],"/")</f>
        <v>/</v>
      </c>
    </row>
    <row r="10" spans="1:125" outlineLevel="1" x14ac:dyDescent="0.3">
      <c r="A10" s="79">
        <v>2020</v>
      </c>
      <c r="B10" s="79">
        <v>7</v>
      </c>
      <c r="C10" s="95">
        <f>DATE(Table_SiteMilestoneTrackingSummary[[#This Row],[Year]],1,-2)-WEEKDAY(DATE(Table_SiteMilestoneTrackingSummary[[#This Row],[Year]],1,3))+Table_SiteMilestoneTrackingSummary[[#This Row],[Week]]*7</f>
        <v>43871</v>
      </c>
      <c r="D10" s="95">
        <f>Table_SiteMilestoneTrackingSummary[[#This Row],[StartDate]]+6</f>
        <v>43877</v>
      </c>
      <c r="E10" s="100">
        <f>COUNTIFS(Table_SiteMilestoneTracking[SiteDesignStarted_BL],"&gt;="&amp;Table_SiteMilestoneTrackingSummary[[#This Row],[StartDate]:[StartDate]],Table_SiteMilestoneTracking[SiteDesignStarted_BL],"&lt;"&amp;Table_SiteMilestoneTrackingSummary[[#This Row],[EndDate]:[EndDate]]+1)</f>
        <v>0</v>
      </c>
      <c r="F10" s="100">
        <f>F9+Table_SiteMilestoneTrackingSummary[[#This Row],[SiteDesignStarted_BL]]</f>
        <v>0</v>
      </c>
      <c r="G10" s="100">
        <f>COUNTIFS(Table_SiteMilestoneTracking[SiteDesignStarted_AC],"&gt;="&amp;Table_SiteMilestoneTrackingSummary[[#This Row],[StartDate]:[StartDate]],Table_SiteMilestoneTracking[SiteDesignStarted_AC],"&lt;"&amp;Table_SiteMilestoneTrackingSummary[[#This Row],[EndDate]:[EndDate]]+1)</f>
        <v>0</v>
      </c>
      <c r="H10" s="100">
        <f>H9+Table_SiteMilestoneTrackingSummary[[#This Row],[SiteDesignStarted_AC]]</f>
        <v>0</v>
      </c>
      <c r="I10" s="100">
        <f>Table_SiteMilestoneTrackingSummary[[#This Row],[SiteDesignReady_AC]]*$I$2</f>
        <v>0</v>
      </c>
      <c r="J10" s="100">
        <f>J9+Table_SiteMilestoneTrackingSummary[[#This Row],[c0_SiteDesignEV]]</f>
        <v>0</v>
      </c>
      <c r="K10" s="97">
        <f>SUMIFS(Table_SiteMilestoneTracking[c0_SiteDesignCostBL],
Table_SiteMilestoneTracking[SiteDesignReady_BL],"&gt;="&amp;Table_SiteMilestoneTrackingSummary[[#This Row],[StartDate]:[StartDate]],
Table_SiteMilestoneTracking[SiteDesignReady_BL],"&lt;"&amp;Table_SiteMilestoneTrackingSummary[[#This Row],[EndDate]:[EndDate]]+1)</f>
        <v>0</v>
      </c>
      <c r="L10" s="59">
        <f>L9+Table_SiteMilestoneTrackingSummary[[#This Row],[c0_SiteDesignCostBL]]</f>
        <v>0</v>
      </c>
      <c r="M10" s="97">
        <f>SUMIFS(Table_SiteMilestoneTracking[c0_SiteDesignCostAC],
Table_SiteMilestoneTracking[SiteDesignReady_AC],"&gt;="&amp;Table_SiteMilestoneTrackingSummary[[#This Row],[StartDate]:[StartDate]],
Table_SiteMilestoneTracking[SiteDesignReady_AC],"&lt;"&amp;Table_SiteMilestoneTrackingSummary[[#This Row],[EndDate]:[EndDate]]+1)</f>
        <v>0</v>
      </c>
      <c r="N10" s="59">
        <f>N9+Table_SiteMilestoneTrackingSummary[[#This Row],[c0_SiteDesignCostAC]]</f>
        <v>0</v>
      </c>
      <c r="O10" s="96">
        <f>COUNTIFS(Table_SiteMilestoneTracking[SiteDesignReady_BL],"&gt;="&amp;Table_SiteMilestoneTrackingSummary[[#This Row],[StartDate]:[StartDate]],
Table_SiteMilestoneTracking[SiteDesignReady_BL],"&lt;"&amp;Table_SiteMilestoneTrackingSummary[[#This Row],[EndDate]:[EndDate]]+1)</f>
        <v>0</v>
      </c>
      <c r="P10" s="100">
        <f>P9+Table_SiteMilestoneTrackingSummary[[#This Row],[SiteDesignReady_BL]]</f>
        <v>0</v>
      </c>
      <c r="Q10" s="100">
        <f>COUNTIFS(Table_SiteMilestoneTracking[SiteDesignReady_AC],"&gt;="&amp;Table_SiteMilestoneTrackingSummary[[#This Row],[StartDate]:[StartDate]],Table_SiteMilestoneTracking[SiteDesignReady_AC],"&lt;"&amp;Table_SiteMilestoneTrackingSummary[[#This Row],[EndDate]:[EndDate]]+1)</f>
        <v>0</v>
      </c>
      <c r="R10" s="100">
        <f>R9+Table_SiteMilestoneTrackingSummary[[#This Row],[SiteDesignReady_AC]]</f>
        <v>0</v>
      </c>
      <c r="S10" s="100">
        <f>Table_SiteMilestoneTrackingSummary[[#This Row],[ReadyForCW_AC]]*$S$2</f>
        <v>0</v>
      </c>
      <c r="T10" s="100">
        <f>T9+Table_SiteMilestoneTrackingSummary[[#This Row],[c1_SiteSurveyEV]]</f>
        <v>0</v>
      </c>
      <c r="U10" s="96">
        <f>SUMIFS(Table_SiteMilestoneTracking[c1_SiteSurveyCostBL],
Table_SiteMilestoneTracking[SiteSurveyCompleted_BL],"&gt;="&amp;Table_SiteMilestoneTrackingSummary[[#This Row],[StartDate]:[StartDate]],
Table_SiteMilestoneTracking[SiteSurveyCompleted_BL],"&lt;"&amp;Table_SiteMilestoneTrackingSummary[[#This Row],[EndDate]:[EndDate]]+1)</f>
        <v>0</v>
      </c>
      <c r="V10" s="100">
        <f>V9+Table_SiteMilestoneTrackingSummary[[#This Row],[c1_SiteSurveyCostBL]]</f>
        <v>0</v>
      </c>
      <c r="W10" s="96">
        <f>SUMIFS(Table_SiteMilestoneTracking[c1_SiteSurveyCostAC],
Table_SiteMilestoneTracking[SiteSurveyCompleted_AC],"&gt;="&amp;Table_SiteMilestoneTrackingSummary[[#This Row],[StartDate]:[StartDate]],
Table_SiteMilestoneTracking[SiteSurveyCompleted_AC],"&lt;"&amp;Table_SiteMilestoneTrackingSummary[[#This Row],[EndDate]:[EndDate]]+1)</f>
        <v>0</v>
      </c>
      <c r="X10" s="100">
        <f>X9+Table_SiteMilestoneTrackingSummary[[#This Row],[c1_SiteSurveyCostAC]]</f>
        <v>0</v>
      </c>
      <c r="Y10" s="96">
        <f>COUNTIFS(Table_SiteMilestoneTracking[SiteSurveyCompleted_BL],"&gt;="&amp;Table_SiteMilestoneTrackingSummary[[#This Row],[StartDate]:[StartDate]],
Table_SiteMilestoneTracking[SiteSurveyCompleted_BL],"&lt;"&amp;Table_SiteMilestoneTrackingSummary[[#This Row],[EndDate]:[EndDate]]+1)</f>
        <v>0</v>
      </c>
      <c r="Z10" s="100">
        <f>Z9+Table_SiteMilestoneTrackingSummary[[#This Row],[SiteSurveyCompleted_BL]]</f>
        <v>0</v>
      </c>
      <c r="AA10" s="96">
        <f>COUNTIFS(Table_SiteMilestoneTracking[SiteSurveyCompleted_AC],"&gt;="&amp;Table_SiteMilestoneTrackingSummary[[#This Row],[StartDate]:[StartDate]],
Table_SiteMilestoneTracking[SiteSurveyCompleted_AC],"&lt;"&amp;Table_SiteMilestoneTrackingSummary[[#This Row],[EndDate]:[EndDate]]+1)</f>
        <v>0</v>
      </c>
      <c r="AB10" s="100">
        <f>AB9+Table_SiteMilestoneTrackingSummary[[#This Row],[SiteSurveyCompleted_AC]]</f>
        <v>0</v>
      </c>
      <c r="AC10" s="100">
        <f>$AC$2*Table_SiteMilestoneTrackingSummary[[#This Row],[SiteAcquired_AC]]</f>
        <v>0</v>
      </c>
      <c r="AD10" s="100">
        <f>AD9+Table_SiteMilestoneTrackingSummary[[#This Row],[c2_SiteAcquisitionEV]]</f>
        <v>0</v>
      </c>
      <c r="AE10" s="96">
        <f>SUMIFS(Table_SiteMilestoneTracking[c2_SiteAcquisitionCostBL],
Table_SiteMilestoneTracking[SiteAcquired_BL],"&gt;="&amp;Table_SiteMilestoneTrackingSummary[[#This Row],[StartDate]:[StartDate]],
Table_SiteMilestoneTracking[SiteAcquired_BL],"&lt;"&amp;Table_SiteMilestoneTrackingSummary[[#This Row],[EndDate]:[EndDate]]+1)</f>
        <v>0</v>
      </c>
      <c r="AF10" s="100">
        <f>AF9+Table_SiteMilestoneTrackingSummary[[#This Row],[c2_SiteAcquisitionCostBL]]</f>
        <v>0</v>
      </c>
      <c r="AG10" s="96">
        <f>SUMIFS(Table_SiteMilestoneTracking[c2_SiteAcquisitionCostAC],
Table_SiteMilestoneTracking[SiteAcquired_AC],"&gt;="&amp;Table_SiteMilestoneTrackingSummary[[#This Row],[StartDate]:[StartDate]],
Table_SiteMilestoneTracking[SiteAcquired_AC],"&lt;"&amp;Table_SiteMilestoneTrackingSummary[[#This Row],[EndDate]:[EndDate]]+1)</f>
        <v>0</v>
      </c>
      <c r="AH10" s="100">
        <f>AH9+Table_SiteMilestoneTrackingSummary[[#This Row],[c2_SiteAcquisitionCostAC]]</f>
        <v>0</v>
      </c>
      <c r="AI10" s="96">
        <f>COUNTIFS(Table_SiteMilestoneTracking[SiteAcquired_BL],"&gt;="&amp;Table_SiteMilestoneTrackingSummary[[#This Row],[StartDate]:[StartDate]],
Table_SiteMilestoneTracking[SiteAcquired_BL],"&lt;"&amp;Table_SiteMilestoneTrackingSummary[[#This Row],[EndDate]:[EndDate]]+1)</f>
        <v>0</v>
      </c>
      <c r="AJ10" s="100">
        <f>AJ9+Table_SiteMilestoneTrackingSummary[[#This Row],[SiteAcquired_BL]]</f>
        <v>0</v>
      </c>
      <c r="AK10" s="96">
        <f>COUNTIFS(Table_SiteMilestoneTracking[SiteAcquired_AC],"&gt;="&amp;Table_SiteMilestoneTrackingSummary[[#This Row],[StartDate]:[StartDate]],
Table_SiteMilestoneTracking[SiteAcquired_AC],"&lt;"&amp;Table_SiteMilestoneTrackingSummary[[#This Row],[EndDate]:[EndDate]]+1)</f>
        <v>0</v>
      </c>
      <c r="AL10" s="100">
        <f>AL9+Table_SiteMilestoneTrackingSummary[[#This Row],[SiteAcquired_AC]]</f>
        <v>0</v>
      </c>
      <c r="AM10" s="100">
        <f>Table_SiteMilestoneTrackingSummary[[#This Row],[ReadyForCW_AC]]*$AM$2</f>
        <v>0</v>
      </c>
      <c r="AN10" s="100">
        <f>AN9+Table_SiteMilestoneTrackingSummary[[#This Row],[c2a_SiteCWReadinessEV]]</f>
        <v>0</v>
      </c>
      <c r="AO10" s="96">
        <f>SUMIFS(Table_SiteMilestoneTracking[c2a_SiteCWReadinessCost_BL],
Table_SiteMilestoneTracking[SiteReadyForCW_BL],"&gt;="&amp;Table_SiteMilestoneTrackingSummary[[#This Row],[StartDate]:[StartDate]],
Table_SiteMilestoneTracking[SiteReadyForCW_BL],"&lt;"&amp;Table_SiteMilestoneTrackingSummary[[#This Row],[EndDate]:[EndDate]]+1)</f>
        <v>0</v>
      </c>
      <c r="AP10" s="100">
        <f>AP9+Table_SiteMilestoneTrackingSummary[[#This Row],[c2a_SiteCWReadinessCostBL]]</f>
        <v>0</v>
      </c>
      <c r="AQ10" s="96">
        <f>SUMIFS(Table_SiteMilestoneTracking[c2a_SiteCWReadinessCost_AC],
Table_SiteMilestoneTracking[SiteReadyForCW_AC],"&gt;="&amp;Table_SiteMilestoneTrackingSummary[[#This Row],[StartDate]:[StartDate]],
Table_SiteMilestoneTracking[SiteReadyForCW_AC],"&lt;"&amp;Table_SiteMilestoneTrackingSummary[[#This Row],[EndDate]:[EndDate]]+1)</f>
        <v>0</v>
      </c>
      <c r="AR10" s="100">
        <f>AR9+Table_SiteMilestoneTrackingSummary[[#This Row],[c2a_SiteCWReadinessCostAC]]</f>
        <v>0</v>
      </c>
      <c r="AS10" s="96">
        <f>COUNTIFS(Table_SiteMilestoneTracking[SiteReadyForCW_BL],"&gt;="&amp;Table_SiteMilestoneTrackingSummary[[#This Row],[StartDate]:[StartDate]],
Table_SiteMilestoneTracking[SiteReadyForCW_BL],"&lt;"&amp;Table_SiteMilestoneTrackingSummary[[#This Row],[EndDate]:[EndDate]]+1)</f>
        <v>0</v>
      </c>
      <c r="AT10" s="100">
        <f>AT9+Table_SiteMilestoneTrackingSummary[[#This Row],[ReadyForCW_BL]]</f>
        <v>0</v>
      </c>
      <c r="AU10" s="96">
        <f>COUNTIFS(Table_SiteMilestoneTracking[SiteReadyForCW_AC],"&gt;="&amp;Table_SiteMilestoneTrackingSummary[[#This Row],[StartDate]:[StartDate]],
Table_SiteMilestoneTracking[SiteReadyForCW_AC],"&lt;"&amp;Table_SiteMilestoneTrackingSummary[[#This Row],[EndDate]:[EndDate]]+1)</f>
        <v>0</v>
      </c>
      <c r="AV10" s="100">
        <f>AV9+Table_SiteMilestoneTrackingSummary[[#This Row],[ReadyForCW_AC]]</f>
        <v>0</v>
      </c>
      <c r="AW10" s="100">
        <f>$AW$2*Table_SiteMilestoneTrackingSummary[[#This Row],[ReadyForPower_AC]]</f>
        <v>0</v>
      </c>
      <c r="AX10" s="100">
        <f>AX9+Table_SiteMilestoneTrackingSummary[[#This Row],[c3_CivilWorksEV]]</f>
        <v>0</v>
      </c>
      <c r="AY10" s="96">
        <f>SUMIFS(Table_SiteMilestoneTracking[c3_CivilWorksCostBL],
Table_SiteMilestoneTracking[SiteReadyForPower_BL],"&gt;="&amp;Table_SiteMilestoneTrackingSummary[[#This Row],[StartDate]:[StartDate]],
Table_SiteMilestoneTracking[SiteReadyForPower_BL],"&lt;"&amp;Table_SiteMilestoneTrackingSummary[[#This Row],[EndDate]:[EndDate]]+1)</f>
        <v>0</v>
      </c>
      <c r="AZ10" s="100">
        <f>AZ9+Table_SiteMilestoneTrackingSummary[[#This Row],[c3_CivilWorksCostBL]]</f>
        <v>0</v>
      </c>
      <c r="BA10" s="96">
        <f>SUMIFS(Table_SiteMilestoneTracking[c3_CivilWorksCostAC],
Table_SiteMilestoneTracking[SiteReadyForPower_AC],"&gt;="&amp;Table_SiteMilestoneTrackingSummary[[#This Row],[StartDate]:[StartDate]],
Table_SiteMilestoneTracking[SiteReadyForPower_AC],"&lt;"&amp;Table_SiteMilestoneTrackingSummary[[#This Row],[EndDate]:[EndDate]]+1)</f>
        <v>0</v>
      </c>
      <c r="BB10" s="100">
        <f>BB9+Table_SiteMilestoneTrackingSummary[[#This Row],[c3_CivilWorksCostAC]]</f>
        <v>0</v>
      </c>
      <c r="BC10" s="96">
        <f>COUNTIFS(Table_SiteMilestoneTracking[SiteReadyForPower_BL],"&gt;="&amp;Table_SiteMilestoneTrackingSummary[[#This Row],[StartDate]:[StartDate]],
Table_SiteMilestoneTracking[SiteReadyForPower_BL],"&lt;"&amp;Table_SiteMilestoneTrackingSummary[[#This Row],[EndDate]:[EndDate]]+1)</f>
        <v>0</v>
      </c>
      <c r="BD10" s="100">
        <f>BD9+Table_SiteMilestoneTrackingSummary[[#This Row],[ReadyForPower_BL]]</f>
        <v>0</v>
      </c>
      <c r="BE10" s="96">
        <f>COUNTIFS(Table_SiteMilestoneTracking[SiteReadyForPower_AC],"&gt;="&amp;Table_SiteMilestoneTrackingSummary[[#This Row],[StartDate]:[StartDate]],
Table_SiteMilestoneTracking[SiteReadyForPower_AC],"&lt;"&amp;Table_SiteMilestoneTrackingSummary[[#This Row],[EndDate]:[EndDate]]+1)</f>
        <v>0</v>
      </c>
      <c r="BF10" s="100">
        <f>BF9+Table_SiteMilestoneTrackingSummary[[#This Row],[ReadyForPower_AC]]</f>
        <v>0</v>
      </c>
      <c r="BG10" s="100">
        <f>$BG$2*Table_SiteMilestoneTrackingSummary[[#This Row],[TXReady_AC]]</f>
        <v>0</v>
      </c>
      <c r="BH10" s="100">
        <f>BH9+Table_SiteMilestoneTrackingSummary[[#This Row],[c4_PowerInstallEV]]</f>
        <v>0</v>
      </c>
      <c r="BI10" s="96">
        <f>SUMIFS(Table_SiteMilestoneTracking[c4_PowerInstallCostBL],
Table_SiteMilestoneTracking[TXReady_BL],"&gt;="&amp;Table_SiteMilestoneTrackingSummary[[#This Row],[StartDate]:[StartDate]],
Table_SiteMilestoneTracking[TXReady_BL],"&lt;"&amp;Table_SiteMilestoneTrackingSummary[[#This Row],[EndDate]:[EndDate]]+1)</f>
        <v>0</v>
      </c>
      <c r="BJ10" s="100">
        <f>BJ9+Table_SiteMilestoneTrackingSummary[[#This Row],[c4_PowerInstallCostBL]]</f>
        <v>0</v>
      </c>
      <c r="BK10" s="96">
        <f>SUMIFS(Table_SiteMilestoneTracking[c4_PowerInstallCostAC],
Table_SiteMilestoneTracking[TXReady_AC],"&gt;="&amp;Table_SiteMilestoneTrackingSummary[[#This Row],[StartDate]:[StartDate]],
Table_SiteMilestoneTracking[TXReady_AC],"&lt;"&amp;Table_SiteMilestoneTrackingSummary[[#This Row],[EndDate]:[EndDate]]+1)</f>
        <v>0</v>
      </c>
      <c r="BL10" s="100">
        <f>BL9+Table_SiteMilestoneTrackingSummary[[#This Row],[c4_PowerInstallCostAC]]</f>
        <v>0</v>
      </c>
      <c r="BM10" s="96">
        <f>COUNTIFS(Table_SiteMilestoneTracking[TXReady_BL],"&gt;="&amp;Table_SiteMilestoneTrackingSummary[[#This Row],[StartDate]:[StartDate]],
Table_SiteMilestoneTracking[TXReady_BL],"&lt;"&amp;Table_SiteMilestoneTrackingSummary[[#This Row],[EndDate]:[EndDate]]+1)</f>
        <v>0</v>
      </c>
      <c r="BN10" s="100">
        <f>BN9+Table_SiteMilestoneTrackingSummary[[#This Row],[TXReady_BL]]</f>
        <v>0</v>
      </c>
      <c r="BO10" s="100">
        <f>COUNTIFS(Table_SiteMilestoneTracking[TXReady_AC],"&gt;="&amp;Table_SiteMilestoneTrackingSummary[[#This Row],[StartDate]:[StartDate]],Table_SiteMilestoneTracking[TXReady_AC],"&lt;"&amp;Table_SiteMilestoneTrackingSummary[[#This Row],[EndDate]:[EndDate]]+1)</f>
        <v>0</v>
      </c>
      <c r="BP10" s="100">
        <f>BP9+Table_SiteMilestoneTrackingSummary[[#This Row],[TXReady_AC]]</f>
        <v>0</v>
      </c>
      <c r="BQ10" s="100">
        <f>$BQ$2*Table_SiteMilestoneTrackingSummary[[#This Row],[ReadyForInstallation_AC]]</f>
        <v>0</v>
      </c>
      <c r="BR10" s="100">
        <f>BR9+Table_SiteMilestoneTrackingSummary[[#This Row],[c5_TxIntegrationEV]]</f>
        <v>0</v>
      </c>
      <c r="BS10" s="96">
        <f>SUMIFS(Table_SiteMilestoneTracking[c5_TxintegrationCostBL],
Table_SiteMilestoneTracking[SiteReadyForInstallation_BL],"&gt;="&amp;Table_SiteMilestoneTrackingSummary[[#This Row],[StartDate]:[StartDate]],
Table_SiteMilestoneTracking[SiteReadyForInstallation_BL],"&lt;"&amp;Table_SiteMilestoneTrackingSummary[[#This Row],[EndDate]:[EndDate]]+1)</f>
        <v>0</v>
      </c>
      <c r="BT10" s="100">
        <f>BT9+Table_SiteMilestoneTrackingSummary[[#This Row],[c5_TxIntegrationCostBL]]</f>
        <v>0</v>
      </c>
      <c r="BU10" s="96">
        <f>SUMIFS(Table_SiteMilestoneTracking[c5_TxintegrationCostAC],
Table_SiteMilestoneTracking[SiteReadyForInstallation_AC],"&gt;="&amp;Table_SiteMilestoneTrackingSummary[[#This Row],[StartDate]:[StartDate]],
Table_SiteMilestoneTracking[SiteReadyForInstallation_AC],"&lt;"&amp;Table_SiteMilestoneTrackingSummary[[#This Row],[EndDate]:[EndDate]]+1)</f>
        <v>0</v>
      </c>
      <c r="BV10" s="100">
        <f>BV9+Table_SiteMilestoneTrackingSummary[[#This Row],[c5_TxIntegrationCostAC]]</f>
        <v>0</v>
      </c>
      <c r="BW10" s="96">
        <f>COUNTIFS(Table_SiteMilestoneTracking[SiteReadyForInstallation_BL],"&gt;="&amp;Table_SiteMilestoneTrackingSummary[[#This Row],[StartDate]:[StartDate]],
Table_SiteMilestoneTracking[SiteReadyForInstallation_BL],"&lt;"&amp;Table_SiteMilestoneTrackingSummary[[#This Row],[EndDate]:[EndDate]]+1)</f>
        <v>0</v>
      </c>
      <c r="BX10" s="100">
        <f>BX9+Table_SiteMilestoneTrackingSummary[[#This Row],[ReadyForInstallation_BL]]</f>
        <v>0</v>
      </c>
      <c r="BY10" s="96">
        <f>COUNTIFS(Table_SiteMilestoneTracking[SiteReadyForInstallation_AC],"&gt;="&amp;Table_SiteMilestoneTrackingSummary[[#This Row],[StartDate]:[StartDate]],
Table_SiteMilestoneTracking[SiteReadyForInstallation_AC],"&lt;"&amp;Table_SiteMilestoneTrackingSummary[[#This Row],[EndDate]:[EndDate]]+1)</f>
        <v>0</v>
      </c>
      <c r="BZ10" s="100">
        <f>BZ9+Table_SiteMilestoneTrackingSummary[[#This Row],[ReadyForInstallation_AC]]</f>
        <v>0</v>
      </c>
      <c r="CA10" s="100">
        <f>$CA$2*Table_SiteMilestoneTrackingSummary[[#This Row],[ReadyForIntegration_AC]]</f>
        <v>0</v>
      </c>
      <c r="CB10" s="100">
        <f>CB9+Table_SiteMilestoneTrackingSummary[[#This Row],[c6_InstallationEV]]</f>
        <v>0</v>
      </c>
      <c r="CC10" s="96">
        <f>SUMIFS(Table_SiteMilestoneTracking[c6_InstallationCostBL],
Table_SiteMilestoneTracking[SiteReadyForIntegration_BL],"&gt;="&amp;Table_SiteMilestoneTrackingSummary[[#This Row],[StartDate]:[StartDate]],
Table_SiteMilestoneTracking[SiteReadyForIntegration_BL],"&lt;"&amp;Table_SiteMilestoneTrackingSummary[[#This Row],[EndDate]:[EndDate]]+1)</f>
        <v>0</v>
      </c>
      <c r="CD10" s="100">
        <f>CD9+Table_SiteMilestoneTrackingSummary[[#This Row],[c6_InstallationCostBL]]</f>
        <v>0</v>
      </c>
      <c r="CE10" s="96">
        <f>SUMIFS(Table_SiteMilestoneTracking[c6_InstallationCostAC],
Table_SiteMilestoneTracking[SiteReadyForIntegration_AC],"&gt;="&amp;Table_SiteMilestoneTrackingSummary[[#This Row],[StartDate]:[StartDate]],
Table_SiteMilestoneTracking[SiteReadyForIntegration_AC],"&lt;"&amp;Table_SiteMilestoneTrackingSummary[[#This Row],[EndDate]:[EndDate]]+1)</f>
        <v>0</v>
      </c>
      <c r="CF10" s="100">
        <f>CF9+Table_SiteMilestoneTrackingSummary[[#This Row],[c6_InstallationCostAC]]</f>
        <v>0</v>
      </c>
      <c r="CG10" s="96">
        <f>COUNTIFS(Table_SiteMilestoneTracking[SiteReadyForIntegration_BL],"&gt;="&amp;Table_SiteMilestoneTrackingSummary[[#This Row],[StartDate]:[StartDate]],
Table_SiteMilestoneTracking[SiteReadyForIntegration_BL],"&lt;"&amp;Table_SiteMilestoneTrackingSummary[[#This Row],[EndDate]:[EndDate]]+1)</f>
        <v>0</v>
      </c>
      <c r="CH10" s="100">
        <f>CH9+Table_SiteMilestoneTrackingSummary[[#This Row],[ReadyForIntegration_BL]]</f>
        <v>0</v>
      </c>
      <c r="CI10" s="96">
        <f>COUNTIFS(Table_SiteMilestoneTracking[SiteReadyForIntegration_AC],"&gt;="&amp;Table_SiteMilestoneTrackingSummary[[#This Row],[StartDate]:[StartDate]],
Table_SiteMilestoneTracking[SiteReadyForIntegration_AC],"&lt;"&amp;Table_SiteMilestoneTrackingSummary[[#This Row],[EndDate]:[EndDate]]+1)</f>
        <v>0</v>
      </c>
      <c r="CJ10" s="100">
        <f>CJ9+Table_SiteMilestoneTrackingSummary[[#This Row],[ReadyForIntegration_AC]]</f>
        <v>0</v>
      </c>
      <c r="CK10" s="100">
        <f>$CK$2*Table_SiteMilestoneTrackingSummary[[#This Row],[SiteOnAir_AC]]</f>
        <v>0</v>
      </c>
      <c r="CL10" s="100">
        <f>CL9+Table_SiteMilestoneTrackingSummary[[#This Row],[c7_IntegrationEV]]</f>
        <v>0</v>
      </c>
      <c r="CM10" s="96">
        <f>SUMIFS(Table_SiteMilestoneTracking[c7_IntegrationCostBL],
Table_SiteMilestoneTracking[SiteOnAir_BL],"&gt;="&amp;Table_SiteMilestoneTrackingSummary[[#This Row],[StartDate]:[StartDate]],
Table_SiteMilestoneTracking[SiteOnAir_BL],"&lt;"&amp;Table_SiteMilestoneTrackingSummary[[#This Row],[EndDate]:[EndDate]]+1)</f>
        <v>0</v>
      </c>
      <c r="CN10" s="100">
        <f>CN9+Table_SiteMilestoneTrackingSummary[[#This Row],[c7_IntegrationCostBL]]</f>
        <v>0</v>
      </c>
      <c r="CO10" s="96">
        <f>SUMIFS(Table_SiteMilestoneTracking[c7_IntegrationCostAC],
Table_SiteMilestoneTracking[SiteOnAir_AC],"&gt;="&amp;Table_SiteMilestoneTrackingSummary[[#This Row],[StartDate]:[StartDate]],
Table_SiteMilestoneTracking[SiteOnAir_AC],"&lt;"&amp;Table_SiteMilestoneTrackingSummary[[#This Row],[EndDate]:[EndDate]]+1)</f>
        <v>0</v>
      </c>
      <c r="CP10" s="100">
        <f>CP9+Table_SiteMilestoneTrackingSummary[[#This Row],[c7_IntegrationCostAC]]</f>
        <v>0</v>
      </c>
      <c r="CQ10" s="96">
        <f>COUNTIFS(Table_SiteMilestoneTracking[SiteOnAir_BL],"&gt;="&amp;Table_SiteMilestoneTrackingSummary[[#This Row],[StartDate]:[StartDate]],
Table_SiteMilestoneTracking[SiteOnAir_BL],"&lt;"&amp;Table_SiteMilestoneTrackingSummary[[#This Row],[EndDate]:[EndDate]]+1)</f>
        <v>0</v>
      </c>
      <c r="CR10" s="100">
        <f>CR9+Table_SiteMilestoneTrackingSummary[[#This Row],[SiteOnAir_BL]]</f>
        <v>0</v>
      </c>
      <c r="CS10" s="96">
        <f>COUNTIFS(Table_SiteMilestoneTracking[SiteOnAir_AC],"&gt;="&amp;Table_SiteMilestoneTrackingSummary[[#This Row],[StartDate]:[StartDate]],
Table_SiteMilestoneTracking[SiteOnAir_AC],"&lt;"&amp;Table_SiteMilestoneTrackingSummary[[#This Row],[EndDate]:[EndDate]]+1)</f>
        <v>0</v>
      </c>
      <c r="CT10" s="100">
        <f>CT9+Table_SiteMilestoneTrackingSummary[[#This Row],[SiteOnAir_AC]]</f>
        <v>0</v>
      </c>
      <c r="CU10" s="100">
        <f>$CU$2*Table_SiteMilestoneTrackingSummary[[#This Row],[SiteAccepted_AC]]</f>
        <v>0</v>
      </c>
      <c r="CV10" s="100">
        <f>CV9+Table_SiteMilestoneTrackingSummary[[#This Row],[c8_AcceptanceEV]]</f>
        <v>0</v>
      </c>
      <c r="CW10" s="96">
        <f>SUMIFS(Table_SiteMilestoneTracking[c8_AcceptanceCostBL],
Table_SiteMilestoneTracking[SiteAccepted_BL],"&gt;="&amp;Table_SiteMilestoneTrackingSummary[[#This Row],[StartDate]:[StartDate]],
Table_SiteMilestoneTracking[SiteAccepted_BL],"&lt;"&amp;Table_SiteMilestoneTrackingSummary[[#This Row],[EndDate]:[EndDate]]+1)</f>
        <v>0</v>
      </c>
      <c r="CX10" s="100">
        <f>CX9+Table_SiteMilestoneTrackingSummary[[#This Row],[c8_AcceptanceCostBL]]</f>
        <v>0</v>
      </c>
      <c r="CY10" s="96">
        <f>SUMIFS(Table_SiteMilestoneTracking[c8_AcceptanceCostAC],
Table_SiteMilestoneTracking[SiteAccepted_AC],"&gt;="&amp;Table_SiteMilestoneTrackingSummary[[#This Row],[StartDate]:[StartDate]],
Table_SiteMilestoneTracking[SiteAccepted_AC],"&lt;"&amp;Table_SiteMilestoneTrackingSummary[[#This Row],[EndDate]:[EndDate]]+1)</f>
        <v>0</v>
      </c>
      <c r="CZ10" s="100">
        <f>CZ9+Table_SiteMilestoneTrackingSummary[[#This Row],[c8_AcceptanceCostAC]]</f>
        <v>0</v>
      </c>
      <c r="DA10" s="96">
        <f>COUNTIFS(Table_SiteMilestoneTracking[SiteAccepted_BL],"&gt;="&amp;Table_SiteMilestoneTrackingSummary[[#This Row],[StartDate]:[StartDate]],
Table_SiteMilestoneTracking[SiteAccepted_BL],"&lt;"&amp;Table_SiteMilestoneTrackingSummary[[#This Row],[EndDate]:[EndDate]]+1)</f>
        <v>0</v>
      </c>
      <c r="DB10" s="100">
        <f>DB9+Table_SiteMilestoneTrackingSummary[[#This Row],[SiteAccepted_BL]]</f>
        <v>0</v>
      </c>
      <c r="DC10" s="96">
        <f>COUNTIFS(Table_SiteMilestoneTracking[SiteAccepted_AC],"&gt;="&amp;Table_SiteMilestoneTrackingSummary[[#This Row],[StartDate]:[StartDate]],
Table_SiteMilestoneTracking[SiteAccepted_AC],"&lt;"&amp;Table_SiteMilestoneTrackingSummary[[#This Row],[EndDate]:[EndDate]]+1)</f>
        <v>0</v>
      </c>
      <c r="DD10" s="100">
        <f>DD9+Table_SiteMilestoneTrackingSummary[[#This Row],[SiteAccepted_AC]]</f>
        <v>0</v>
      </c>
      <c r="DE10" s="100">
        <f>$DE$2*Table_SiteMilestoneTrackingSummary[[#This Row],[SiteInOperations_AC]]</f>
        <v>0</v>
      </c>
      <c r="DF10" s="100">
        <f>DF9+Table_SiteMilestoneTrackingSummary[[#This Row],[c9_HandoverEV]]</f>
        <v>0</v>
      </c>
      <c r="DG10" s="96">
        <f>SUMIFS(Table_SiteMilestoneTracking[c9_HandoverCostBL],
Table_SiteMilestoneTracking[SiteInOperations_BL],"&gt;="&amp;Table_SiteMilestoneTrackingSummary[[#This Row],[StartDate]:[StartDate]],
Table_SiteMilestoneTracking[SiteInOperations_BL],"&lt;"&amp;Table_SiteMilestoneTrackingSummary[[#This Row],[EndDate]:[EndDate]]+1)</f>
        <v>0</v>
      </c>
      <c r="DH10" s="100">
        <f>DH9+Table_SiteMilestoneTrackingSummary[[#This Row],[c9_HandoverCostBL2]]</f>
        <v>0</v>
      </c>
      <c r="DI10" s="96">
        <f>SUMIFS(Table_SiteMilestoneTracking[c9_HandoverCostAC],
Table_SiteMilestoneTracking[SiteInOperations_AC],"&gt;="&amp;Table_SiteMilestoneTrackingSummary[[#This Row],[StartDate]:[StartDate]],
Table_SiteMilestoneTracking[SiteInOperations_AC],"&lt;"&amp;Table_SiteMilestoneTrackingSummary[[#This Row],[EndDate]:[EndDate]]+1)</f>
        <v>0</v>
      </c>
      <c r="DJ10" s="100">
        <f>DJ9+Table_SiteMilestoneTrackingSummary[[#This Row],[c9_HandoverCostAC]]</f>
        <v>0</v>
      </c>
      <c r="DK10" s="96">
        <f>COUNTIFS(Table_SiteMilestoneTracking[SiteInOperations_BL],"&gt;="&amp;Table_SiteMilestoneTrackingSummary[[#This Row],[StartDate]:[StartDate]],
Table_SiteMilestoneTracking[SiteInOperations_BL],"&lt;"&amp;Table_SiteMilestoneTrackingSummary[[#This Row],[EndDate]:[EndDate]]+1)</f>
        <v>0</v>
      </c>
      <c r="DL10" s="100">
        <f>DL9+Table_SiteMilestoneTrackingSummary[[#This Row],[SiteInOperations_BL]]</f>
        <v>0</v>
      </c>
      <c r="DM10" s="96">
        <f>COUNTIFS(Table_SiteMilestoneTracking[SiteInOperations_AC],"&gt;="&amp;Table_SiteMilestoneTrackingSummary[[#This Row],[StartDate]:[StartDate]],
Table_SiteMilestoneTracking[SiteInOperations_AC],"&lt;"&amp;Table_SiteMilestoneTrackingSummary[[#This Row],[EndDate]:[EndDate]]+1)</f>
        <v>0</v>
      </c>
      <c r="DN10" s="100">
        <f>DN9+Table_SiteMilestoneTrackingSummary[[#This Row],[SiteInOperations_AC]]</f>
        <v>0</v>
      </c>
      <c r="DO10" s="59">
        <f>Table_SiteMilestoneTrackingSummary[[#This Row],[c0_SiteDesignEV(SUM)]]+Table_SiteMilestoneTrackingSummary[[#This Row],[c1_SiteSurveyEV(SUM)]]+Table_SiteMilestoneTrackingSummary[[#This Row],[c2_SiteAcquisitionEV(SUM)]]+Table_SiteMilestoneTrackingSummary[[#This Row],[c2a_SiteCWReadinessEV(SUM)]]+Table_SiteMilestoneTrackingSummary[[#This Row],[c3_CivilWorksEV(SUM)]]+Table_SiteMilestoneTrackingSummary[[#This Row],[c4_PowerInstallEV(SUM)]]+Table_SiteMilestoneTrackingSummary[[#This Row],[c5_TxIntegrationEV(SUM)]]+Table_SiteMilestoneTrackingSummary[[#This Row],[c6_InstallationEV(SUM)]]+Table_SiteMilestoneTrackingSummary[[#This Row],[c7_IntegrationEV(SUM)]]+Table_SiteMilestoneTrackingSummary[[#This Row],[c8_AcceptanceEV(SUM)]]+Table_SiteMilestoneTrackingSummary[[#This Row],[c9_HandoverEV(SUM)]]</f>
        <v>0</v>
      </c>
      <c r="DP10" s="59">
        <f>Table_SiteMilestoneTrackingSummary[[#This Row],[c0_SiteDesignCostBL(SUM)]]+Table_SiteMilestoneTrackingSummary[[#This Row],[c1_SiteSurveyCostBL(SUM)]]+Table_SiteMilestoneTrackingSummary[[#This Row],[c2_SiteAcquisitionCostBL(SUM)]]+Table_SiteMilestoneTrackingSummary[[#This Row],[c2a_SiteCWReadinessCostBL(SUM)]]+Table_SiteMilestoneTrackingSummary[[#This Row],[c3_CivilWorksCostBL(SUM)]]+Table_SiteMilestoneTrackingSummary[[#This Row],[c4_PowerInstallCostBL(SUM)]]+Table_SiteMilestoneTrackingSummary[[#This Row],[c5_TxIntegrationCostBL(SUM)]]+Table_SiteMilestoneTrackingSummary[[#This Row],[c6_InstallationCostBL(SUM)]]+Table_SiteMilestoneTrackingSummary[[#This Row],[c7_IntegrationCostBL(SUM)]]+Table_SiteMilestoneTrackingSummary[[#This Row],[c8_AcceptanceCostBL(SUM)]]+Table_SiteMilestoneTrackingSummary[[#This Row],[c9_HandoverCostBL(SUM)]]</f>
        <v>0</v>
      </c>
      <c r="DQ10" s="59">
        <f>Table_SiteMilestoneTrackingSummary[[#This Row],[c0_SiteDesignCostAC(SUM)]]+Table_SiteMilestoneTrackingSummary[[#This Row],[c1_SiteSurveyCostAC(SUM)]]+Table_SiteMilestoneTrackingSummary[[#This Row],[c2_SiteAcquisitionCostAC(SUM)]]+Table_SiteMilestoneTrackingSummary[[#This Row],[c2a_SiteCWReadinessCostAC(SUM)]]+Table_SiteMilestoneTrackingSummary[[#This Row],[c3_CivilWorksCostAC(SUM)]]+Table_SiteMilestoneTrackingSummary[[#This Row],[c4_PowerInstallCostAC(SUM)]]+Table_SiteMilestoneTrackingSummary[[#This Row],[c5_TxIntegrationCostAC(SUM)]]+Table_SiteMilestoneTrackingSummary[[#This Row],[c6_InstallationCostAC(SUM)]]+Table_SiteMilestoneTrackingSummary[[#This Row],[c7_IntegrationCostAC(SUM)]]+Table_SiteMilestoneTrackingSummary[[#This Row],[c8_AcceptanceCostAC(SUM)]]+Table_SiteMilestoneTrackingSummary[[#This Row],[c9_HandoverCostAC(SUM)]]</f>
        <v>0</v>
      </c>
      <c r="DR10" s="59">
        <f>Table_SiteMilestoneTrackingSummary[[#This Row],[AccumulatedEV]]-Table_SiteMilestoneTrackingSummary[[#This Row],[AccumulatedPV]]</f>
        <v>0</v>
      </c>
      <c r="DS10" s="59">
        <f>Table_SiteMilestoneTrackingSummary[[#This Row],[AccumulatedEV]]-Table_SiteMilestoneTrackingSummary[[#This Row],[AccumulatedAC]]</f>
        <v>0</v>
      </c>
      <c r="DT10" s="58" t="str">
        <f>IFERROR(Table_SiteMilestoneTrackingSummary[[#This Row],[AccumulatedEV]]/Table_SiteMilestoneTrackingSummary[[#This Row],[AccumulatedPV]],"/")</f>
        <v>/</v>
      </c>
      <c r="DU10" s="101" t="str">
        <f>IFERROR(Table_SiteMilestoneTrackingSummary[[#This Row],[AccumulatedEV]]/Table_SiteMilestoneTrackingSummary[[#This Row],[AccumulatedAC]],"/")</f>
        <v>/</v>
      </c>
    </row>
    <row r="11" spans="1:125" outlineLevel="1" x14ac:dyDescent="0.3">
      <c r="A11" s="79">
        <v>2020</v>
      </c>
      <c r="B11" s="79">
        <v>8</v>
      </c>
      <c r="C11" s="95">
        <f>DATE(Table_SiteMilestoneTrackingSummary[[#This Row],[Year]],1,-2)-WEEKDAY(DATE(Table_SiteMilestoneTrackingSummary[[#This Row],[Year]],1,3))+Table_SiteMilestoneTrackingSummary[[#This Row],[Week]]*7</f>
        <v>43878</v>
      </c>
      <c r="D11" s="95">
        <f>Table_SiteMilestoneTrackingSummary[[#This Row],[StartDate]]+6</f>
        <v>43884</v>
      </c>
      <c r="E11" s="100">
        <f>COUNTIFS(Table_SiteMilestoneTracking[SiteDesignStarted_BL],"&gt;="&amp;Table_SiteMilestoneTrackingSummary[[#This Row],[StartDate]:[StartDate]],Table_SiteMilestoneTracking[SiteDesignStarted_BL],"&lt;"&amp;Table_SiteMilestoneTrackingSummary[[#This Row],[EndDate]:[EndDate]]+1)</f>
        <v>0</v>
      </c>
      <c r="F11" s="100">
        <f>F10+Table_SiteMilestoneTrackingSummary[[#This Row],[SiteDesignStarted_BL]]</f>
        <v>0</v>
      </c>
      <c r="G11" s="100">
        <f>COUNTIFS(Table_SiteMilestoneTracking[SiteDesignStarted_AC],"&gt;="&amp;Table_SiteMilestoneTrackingSummary[[#This Row],[StartDate]:[StartDate]],Table_SiteMilestoneTracking[SiteDesignStarted_AC],"&lt;"&amp;Table_SiteMilestoneTrackingSummary[[#This Row],[EndDate]:[EndDate]]+1)</f>
        <v>0</v>
      </c>
      <c r="H11" s="100">
        <f>H10+Table_SiteMilestoneTrackingSummary[[#This Row],[SiteDesignStarted_AC]]</f>
        <v>0</v>
      </c>
      <c r="I11" s="100">
        <f>Table_SiteMilestoneTrackingSummary[[#This Row],[SiteDesignReady_AC]]*$I$2</f>
        <v>0</v>
      </c>
      <c r="J11" s="100">
        <f>J10+Table_SiteMilestoneTrackingSummary[[#This Row],[c0_SiteDesignEV]]</f>
        <v>0</v>
      </c>
      <c r="K11" s="97">
        <f>SUMIFS(Table_SiteMilestoneTracking[c0_SiteDesignCostBL],
Table_SiteMilestoneTracking[SiteDesignReady_BL],"&gt;="&amp;Table_SiteMilestoneTrackingSummary[[#This Row],[StartDate]:[StartDate]],
Table_SiteMilestoneTracking[SiteDesignReady_BL],"&lt;"&amp;Table_SiteMilestoneTrackingSummary[[#This Row],[EndDate]:[EndDate]]+1)</f>
        <v>0</v>
      </c>
      <c r="L11" s="59">
        <f>L10+Table_SiteMilestoneTrackingSummary[[#This Row],[c0_SiteDesignCostBL]]</f>
        <v>0</v>
      </c>
      <c r="M11" s="97">
        <f>SUMIFS(Table_SiteMilestoneTracking[c0_SiteDesignCostAC],
Table_SiteMilestoneTracking[SiteDesignReady_AC],"&gt;="&amp;Table_SiteMilestoneTrackingSummary[[#This Row],[StartDate]:[StartDate]],
Table_SiteMilestoneTracking[SiteDesignReady_AC],"&lt;"&amp;Table_SiteMilestoneTrackingSummary[[#This Row],[EndDate]:[EndDate]]+1)</f>
        <v>0</v>
      </c>
      <c r="N11" s="59">
        <f>N10+Table_SiteMilestoneTrackingSummary[[#This Row],[c0_SiteDesignCostAC]]</f>
        <v>0</v>
      </c>
      <c r="O11" s="96">
        <f>COUNTIFS(Table_SiteMilestoneTracking[SiteDesignReady_BL],"&gt;="&amp;Table_SiteMilestoneTrackingSummary[[#This Row],[StartDate]:[StartDate]],
Table_SiteMilestoneTracking[SiteDesignReady_BL],"&lt;"&amp;Table_SiteMilestoneTrackingSummary[[#This Row],[EndDate]:[EndDate]]+1)</f>
        <v>0</v>
      </c>
      <c r="P11" s="100">
        <f>P10+Table_SiteMilestoneTrackingSummary[[#This Row],[SiteDesignReady_BL]]</f>
        <v>0</v>
      </c>
      <c r="Q11" s="100">
        <f>COUNTIFS(Table_SiteMilestoneTracking[SiteDesignReady_AC],"&gt;="&amp;Table_SiteMilestoneTrackingSummary[[#This Row],[StartDate]:[StartDate]],Table_SiteMilestoneTracking[SiteDesignReady_AC],"&lt;"&amp;Table_SiteMilestoneTrackingSummary[[#This Row],[EndDate]:[EndDate]]+1)</f>
        <v>0</v>
      </c>
      <c r="R11" s="100">
        <f>R10+Table_SiteMilestoneTrackingSummary[[#This Row],[SiteDesignReady_AC]]</f>
        <v>0</v>
      </c>
      <c r="S11" s="100">
        <f>Table_SiteMilestoneTrackingSummary[[#This Row],[ReadyForCW_AC]]*$S$2</f>
        <v>0</v>
      </c>
      <c r="T11" s="100">
        <f>T10+Table_SiteMilestoneTrackingSummary[[#This Row],[c1_SiteSurveyEV]]</f>
        <v>0</v>
      </c>
      <c r="U11" s="96">
        <f>SUMIFS(Table_SiteMilestoneTracking[c1_SiteSurveyCostBL],
Table_SiteMilestoneTracking[SiteSurveyCompleted_BL],"&gt;="&amp;Table_SiteMilestoneTrackingSummary[[#This Row],[StartDate]:[StartDate]],
Table_SiteMilestoneTracking[SiteSurveyCompleted_BL],"&lt;"&amp;Table_SiteMilestoneTrackingSummary[[#This Row],[EndDate]:[EndDate]]+1)</f>
        <v>0</v>
      </c>
      <c r="V11" s="100">
        <f>V10+Table_SiteMilestoneTrackingSummary[[#This Row],[c1_SiteSurveyCostBL]]</f>
        <v>0</v>
      </c>
      <c r="W11" s="96">
        <f>SUMIFS(Table_SiteMilestoneTracking[c1_SiteSurveyCostAC],
Table_SiteMilestoneTracking[SiteSurveyCompleted_AC],"&gt;="&amp;Table_SiteMilestoneTrackingSummary[[#This Row],[StartDate]:[StartDate]],
Table_SiteMilestoneTracking[SiteSurveyCompleted_AC],"&lt;"&amp;Table_SiteMilestoneTrackingSummary[[#This Row],[EndDate]:[EndDate]]+1)</f>
        <v>0</v>
      </c>
      <c r="X11" s="100">
        <f>X10+Table_SiteMilestoneTrackingSummary[[#This Row],[c1_SiteSurveyCostAC]]</f>
        <v>0</v>
      </c>
      <c r="Y11" s="96">
        <f>COUNTIFS(Table_SiteMilestoneTracking[SiteSurveyCompleted_BL],"&gt;="&amp;Table_SiteMilestoneTrackingSummary[[#This Row],[StartDate]:[StartDate]],
Table_SiteMilestoneTracking[SiteSurveyCompleted_BL],"&lt;"&amp;Table_SiteMilestoneTrackingSummary[[#This Row],[EndDate]:[EndDate]]+1)</f>
        <v>0</v>
      </c>
      <c r="Z11" s="100">
        <f>Z10+Table_SiteMilestoneTrackingSummary[[#This Row],[SiteSurveyCompleted_BL]]</f>
        <v>0</v>
      </c>
      <c r="AA11" s="96">
        <f>COUNTIFS(Table_SiteMilestoneTracking[SiteSurveyCompleted_AC],"&gt;="&amp;Table_SiteMilestoneTrackingSummary[[#This Row],[StartDate]:[StartDate]],
Table_SiteMilestoneTracking[SiteSurveyCompleted_AC],"&lt;"&amp;Table_SiteMilestoneTrackingSummary[[#This Row],[EndDate]:[EndDate]]+1)</f>
        <v>0</v>
      </c>
      <c r="AB11" s="100">
        <f>AB10+Table_SiteMilestoneTrackingSummary[[#This Row],[SiteSurveyCompleted_AC]]</f>
        <v>0</v>
      </c>
      <c r="AC11" s="100">
        <f>$AC$2*Table_SiteMilestoneTrackingSummary[[#This Row],[SiteAcquired_AC]]</f>
        <v>0</v>
      </c>
      <c r="AD11" s="100">
        <f>AD10+Table_SiteMilestoneTrackingSummary[[#This Row],[c2_SiteAcquisitionEV]]</f>
        <v>0</v>
      </c>
      <c r="AE11" s="96">
        <f>SUMIFS(Table_SiteMilestoneTracking[c2_SiteAcquisitionCostBL],
Table_SiteMilestoneTracking[SiteAcquired_BL],"&gt;="&amp;Table_SiteMilestoneTrackingSummary[[#This Row],[StartDate]:[StartDate]],
Table_SiteMilestoneTracking[SiteAcquired_BL],"&lt;"&amp;Table_SiteMilestoneTrackingSummary[[#This Row],[EndDate]:[EndDate]]+1)</f>
        <v>0</v>
      </c>
      <c r="AF11" s="100">
        <f>AF10+Table_SiteMilestoneTrackingSummary[[#This Row],[c2_SiteAcquisitionCostBL]]</f>
        <v>0</v>
      </c>
      <c r="AG11" s="96">
        <f>SUMIFS(Table_SiteMilestoneTracking[c2_SiteAcquisitionCostAC],
Table_SiteMilestoneTracking[SiteAcquired_AC],"&gt;="&amp;Table_SiteMilestoneTrackingSummary[[#This Row],[StartDate]:[StartDate]],
Table_SiteMilestoneTracking[SiteAcquired_AC],"&lt;"&amp;Table_SiteMilestoneTrackingSummary[[#This Row],[EndDate]:[EndDate]]+1)</f>
        <v>0</v>
      </c>
      <c r="AH11" s="100">
        <f>AH10+Table_SiteMilestoneTrackingSummary[[#This Row],[c2_SiteAcquisitionCostAC]]</f>
        <v>0</v>
      </c>
      <c r="AI11" s="96">
        <f>COUNTIFS(Table_SiteMilestoneTracking[SiteAcquired_BL],"&gt;="&amp;Table_SiteMilestoneTrackingSummary[[#This Row],[StartDate]:[StartDate]],
Table_SiteMilestoneTracking[SiteAcquired_BL],"&lt;"&amp;Table_SiteMilestoneTrackingSummary[[#This Row],[EndDate]:[EndDate]]+1)</f>
        <v>0</v>
      </c>
      <c r="AJ11" s="100">
        <f>AJ10+Table_SiteMilestoneTrackingSummary[[#This Row],[SiteAcquired_BL]]</f>
        <v>0</v>
      </c>
      <c r="AK11" s="96">
        <f>COUNTIFS(Table_SiteMilestoneTracking[SiteAcquired_AC],"&gt;="&amp;Table_SiteMilestoneTrackingSummary[[#This Row],[StartDate]:[StartDate]],
Table_SiteMilestoneTracking[SiteAcquired_AC],"&lt;"&amp;Table_SiteMilestoneTrackingSummary[[#This Row],[EndDate]:[EndDate]]+1)</f>
        <v>0</v>
      </c>
      <c r="AL11" s="100">
        <f>AL10+Table_SiteMilestoneTrackingSummary[[#This Row],[SiteAcquired_AC]]</f>
        <v>0</v>
      </c>
      <c r="AM11" s="100">
        <f>Table_SiteMilestoneTrackingSummary[[#This Row],[ReadyForCW_AC]]*$AM$2</f>
        <v>0</v>
      </c>
      <c r="AN11" s="100">
        <f>AN10+Table_SiteMilestoneTrackingSummary[[#This Row],[c2a_SiteCWReadinessEV]]</f>
        <v>0</v>
      </c>
      <c r="AO11" s="96">
        <f>SUMIFS(Table_SiteMilestoneTracking[c2a_SiteCWReadinessCost_BL],
Table_SiteMilestoneTracking[SiteReadyForCW_BL],"&gt;="&amp;Table_SiteMilestoneTrackingSummary[[#This Row],[StartDate]:[StartDate]],
Table_SiteMilestoneTracking[SiteReadyForCW_BL],"&lt;"&amp;Table_SiteMilestoneTrackingSummary[[#This Row],[EndDate]:[EndDate]]+1)</f>
        <v>0</v>
      </c>
      <c r="AP11" s="100">
        <f>AP10+Table_SiteMilestoneTrackingSummary[[#This Row],[c2a_SiteCWReadinessCostBL]]</f>
        <v>0</v>
      </c>
      <c r="AQ11" s="96">
        <f>SUMIFS(Table_SiteMilestoneTracking[c2a_SiteCWReadinessCost_AC],
Table_SiteMilestoneTracking[SiteReadyForCW_AC],"&gt;="&amp;Table_SiteMilestoneTrackingSummary[[#This Row],[StartDate]:[StartDate]],
Table_SiteMilestoneTracking[SiteReadyForCW_AC],"&lt;"&amp;Table_SiteMilestoneTrackingSummary[[#This Row],[EndDate]:[EndDate]]+1)</f>
        <v>0</v>
      </c>
      <c r="AR11" s="100">
        <f>AR10+Table_SiteMilestoneTrackingSummary[[#This Row],[c2a_SiteCWReadinessCostAC]]</f>
        <v>0</v>
      </c>
      <c r="AS11" s="96">
        <f>COUNTIFS(Table_SiteMilestoneTracking[SiteReadyForCW_BL],"&gt;="&amp;Table_SiteMilestoneTrackingSummary[[#This Row],[StartDate]:[StartDate]],
Table_SiteMilestoneTracking[SiteReadyForCW_BL],"&lt;"&amp;Table_SiteMilestoneTrackingSummary[[#This Row],[EndDate]:[EndDate]]+1)</f>
        <v>0</v>
      </c>
      <c r="AT11" s="100">
        <f>AT10+Table_SiteMilestoneTrackingSummary[[#This Row],[ReadyForCW_BL]]</f>
        <v>0</v>
      </c>
      <c r="AU11" s="96">
        <f>COUNTIFS(Table_SiteMilestoneTracking[SiteReadyForCW_AC],"&gt;="&amp;Table_SiteMilestoneTrackingSummary[[#This Row],[StartDate]:[StartDate]],
Table_SiteMilestoneTracking[SiteReadyForCW_AC],"&lt;"&amp;Table_SiteMilestoneTrackingSummary[[#This Row],[EndDate]:[EndDate]]+1)</f>
        <v>0</v>
      </c>
      <c r="AV11" s="100">
        <f>AV10+Table_SiteMilestoneTrackingSummary[[#This Row],[ReadyForCW_AC]]</f>
        <v>0</v>
      </c>
      <c r="AW11" s="100">
        <f>$AW$2*Table_SiteMilestoneTrackingSummary[[#This Row],[ReadyForPower_AC]]</f>
        <v>0</v>
      </c>
      <c r="AX11" s="100">
        <f>AX10+Table_SiteMilestoneTrackingSummary[[#This Row],[c3_CivilWorksEV]]</f>
        <v>0</v>
      </c>
      <c r="AY11" s="96">
        <f>SUMIFS(Table_SiteMilestoneTracking[c3_CivilWorksCostBL],
Table_SiteMilestoneTracking[SiteReadyForPower_BL],"&gt;="&amp;Table_SiteMilestoneTrackingSummary[[#This Row],[StartDate]:[StartDate]],
Table_SiteMilestoneTracking[SiteReadyForPower_BL],"&lt;"&amp;Table_SiteMilestoneTrackingSummary[[#This Row],[EndDate]:[EndDate]]+1)</f>
        <v>0</v>
      </c>
      <c r="AZ11" s="100">
        <f>AZ10+Table_SiteMilestoneTrackingSummary[[#This Row],[c3_CivilWorksCostBL]]</f>
        <v>0</v>
      </c>
      <c r="BA11" s="96">
        <f>SUMIFS(Table_SiteMilestoneTracking[c3_CivilWorksCostAC],
Table_SiteMilestoneTracking[SiteReadyForPower_AC],"&gt;="&amp;Table_SiteMilestoneTrackingSummary[[#This Row],[StartDate]:[StartDate]],
Table_SiteMilestoneTracking[SiteReadyForPower_AC],"&lt;"&amp;Table_SiteMilestoneTrackingSummary[[#This Row],[EndDate]:[EndDate]]+1)</f>
        <v>0</v>
      </c>
      <c r="BB11" s="100">
        <f>BB10+Table_SiteMilestoneTrackingSummary[[#This Row],[c3_CivilWorksCostAC]]</f>
        <v>0</v>
      </c>
      <c r="BC11" s="96">
        <f>COUNTIFS(Table_SiteMilestoneTracking[SiteReadyForPower_BL],"&gt;="&amp;Table_SiteMilestoneTrackingSummary[[#This Row],[StartDate]:[StartDate]],
Table_SiteMilestoneTracking[SiteReadyForPower_BL],"&lt;"&amp;Table_SiteMilestoneTrackingSummary[[#This Row],[EndDate]:[EndDate]]+1)</f>
        <v>0</v>
      </c>
      <c r="BD11" s="100">
        <f>BD10+Table_SiteMilestoneTrackingSummary[[#This Row],[ReadyForPower_BL]]</f>
        <v>0</v>
      </c>
      <c r="BE11" s="96">
        <f>COUNTIFS(Table_SiteMilestoneTracking[SiteReadyForPower_AC],"&gt;="&amp;Table_SiteMilestoneTrackingSummary[[#This Row],[StartDate]:[StartDate]],
Table_SiteMilestoneTracking[SiteReadyForPower_AC],"&lt;"&amp;Table_SiteMilestoneTrackingSummary[[#This Row],[EndDate]:[EndDate]]+1)</f>
        <v>0</v>
      </c>
      <c r="BF11" s="100">
        <f>BF10+Table_SiteMilestoneTrackingSummary[[#This Row],[ReadyForPower_AC]]</f>
        <v>0</v>
      </c>
      <c r="BG11" s="100">
        <f>$BG$2*Table_SiteMilestoneTrackingSummary[[#This Row],[TXReady_AC]]</f>
        <v>0</v>
      </c>
      <c r="BH11" s="100">
        <f>BH10+Table_SiteMilestoneTrackingSummary[[#This Row],[c4_PowerInstallEV]]</f>
        <v>0</v>
      </c>
      <c r="BI11" s="96">
        <f>SUMIFS(Table_SiteMilestoneTracking[c4_PowerInstallCostBL],
Table_SiteMilestoneTracking[TXReady_BL],"&gt;="&amp;Table_SiteMilestoneTrackingSummary[[#This Row],[StartDate]:[StartDate]],
Table_SiteMilestoneTracking[TXReady_BL],"&lt;"&amp;Table_SiteMilestoneTrackingSummary[[#This Row],[EndDate]:[EndDate]]+1)</f>
        <v>0</v>
      </c>
      <c r="BJ11" s="100">
        <f>BJ10+Table_SiteMilestoneTrackingSummary[[#This Row],[c4_PowerInstallCostBL]]</f>
        <v>0</v>
      </c>
      <c r="BK11" s="96">
        <f>SUMIFS(Table_SiteMilestoneTracking[c4_PowerInstallCostAC],
Table_SiteMilestoneTracking[TXReady_AC],"&gt;="&amp;Table_SiteMilestoneTrackingSummary[[#This Row],[StartDate]:[StartDate]],
Table_SiteMilestoneTracking[TXReady_AC],"&lt;"&amp;Table_SiteMilestoneTrackingSummary[[#This Row],[EndDate]:[EndDate]]+1)</f>
        <v>0</v>
      </c>
      <c r="BL11" s="100">
        <f>BL10+Table_SiteMilestoneTrackingSummary[[#This Row],[c4_PowerInstallCostAC]]</f>
        <v>0</v>
      </c>
      <c r="BM11" s="96">
        <f>COUNTIFS(Table_SiteMilestoneTracking[TXReady_BL],"&gt;="&amp;Table_SiteMilestoneTrackingSummary[[#This Row],[StartDate]:[StartDate]],
Table_SiteMilestoneTracking[TXReady_BL],"&lt;"&amp;Table_SiteMilestoneTrackingSummary[[#This Row],[EndDate]:[EndDate]]+1)</f>
        <v>0</v>
      </c>
      <c r="BN11" s="100">
        <f>BN10+Table_SiteMilestoneTrackingSummary[[#This Row],[TXReady_BL]]</f>
        <v>0</v>
      </c>
      <c r="BO11" s="100">
        <f>COUNTIFS(Table_SiteMilestoneTracking[TXReady_AC],"&gt;="&amp;Table_SiteMilestoneTrackingSummary[[#This Row],[StartDate]:[StartDate]],Table_SiteMilestoneTracking[TXReady_AC],"&lt;"&amp;Table_SiteMilestoneTrackingSummary[[#This Row],[EndDate]:[EndDate]]+1)</f>
        <v>0</v>
      </c>
      <c r="BP11" s="100">
        <f>BP10+Table_SiteMilestoneTrackingSummary[[#This Row],[TXReady_AC]]</f>
        <v>0</v>
      </c>
      <c r="BQ11" s="100">
        <f>$BQ$2*Table_SiteMilestoneTrackingSummary[[#This Row],[ReadyForInstallation_AC]]</f>
        <v>0</v>
      </c>
      <c r="BR11" s="100">
        <f>BR10+Table_SiteMilestoneTrackingSummary[[#This Row],[c5_TxIntegrationEV]]</f>
        <v>0</v>
      </c>
      <c r="BS11" s="96">
        <f>SUMIFS(Table_SiteMilestoneTracking[c5_TxintegrationCostBL],
Table_SiteMilestoneTracking[SiteReadyForInstallation_BL],"&gt;="&amp;Table_SiteMilestoneTrackingSummary[[#This Row],[StartDate]:[StartDate]],
Table_SiteMilestoneTracking[SiteReadyForInstallation_BL],"&lt;"&amp;Table_SiteMilestoneTrackingSummary[[#This Row],[EndDate]:[EndDate]]+1)</f>
        <v>0</v>
      </c>
      <c r="BT11" s="100">
        <f>BT10+Table_SiteMilestoneTrackingSummary[[#This Row],[c5_TxIntegrationCostBL]]</f>
        <v>0</v>
      </c>
      <c r="BU11" s="96">
        <f>SUMIFS(Table_SiteMilestoneTracking[c5_TxintegrationCostAC],
Table_SiteMilestoneTracking[SiteReadyForInstallation_AC],"&gt;="&amp;Table_SiteMilestoneTrackingSummary[[#This Row],[StartDate]:[StartDate]],
Table_SiteMilestoneTracking[SiteReadyForInstallation_AC],"&lt;"&amp;Table_SiteMilestoneTrackingSummary[[#This Row],[EndDate]:[EndDate]]+1)</f>
        <v>0</v>
      </c>
      <c r="BV11" s="100">
        <f>BV10+Table_SiteMilestoneTrackingSummary[[#This Row],[c5_TxIntegrationCostAC]]</f>
        <v>0</v>
      </c>
      <c r="BW11" s="96">
        <f>COUNTIFS(Table_SiteMilestoneTracking[SiteReadyForInstallation_BL],"&gt;="&amp;Table_SiteMilestoneTrackingSummary[[#This Row],[StartDate]:[StartDate]],
Table_SiteMilestoneTracking[SiteReadyForInstallation_BL],"&lt;"&amp;Table_SiteMilestoneTrackingSummary[[#This Row],[EndDate]:[EndDate]]+1)</f>
        <v>0</v>
      </c>
      <c r="BX11" s="100">
        <f>BX10+Table_SiteMilestoneTrackingSummary[[#This Row],[ReadyForInstallation_BL]]</f>
        <v>0</v>
      </c>
      <c r="BY11" s="96">
        <f>COUNTIFS(Table_SiteMilestoneTracking[SiteReadyForInstallation_AC],"&gt;="&amp;Table_SiteMilestoneTrackingSummary[[#This Row],[StartDate]:[StartDate]],
Table_SiteMilestoneTracking[SiteReadyForInstallation_AC],"&lt;"&amp;Table_SiteMilestoneTrackingSummary[[#This Row],[EndDate]:[EndDate]]+1)</f>
        <v>0</v>
      </c>
      <c r="BZ11" s="100">
        <f>BZ10+Table_SiteMilestoneTrackingSummary[[#This Row],[ReadyForInstallation_AC]]</f>
        <v>0</v>
      </c>
      <c r="CA11" s="100">
        <f>$CA$2*Table_SiteMilestoneTrackingSummary[[#This Row],[ReadyForIntegration_AC]]</f>
        <v>0</v>
      </c>
      <c r="CB11" s="100">
        <f>CB10+Table_SiteMilestoneTrackingSummary[[#This Row],[c6_InstallationEV]]</f>
        <v>0</v>
      </c>
      <c r="CC11" s="96">
        <f>SUMIFS(Table_SiteMilestoneTracking[c6_InstallationCostBL],
Table_SiteMilestoneTracking[SiteReadyForIntegration_BL],"&gt;="&amp;Table_SiteMilestoneTrackingSummary[[#This Row],[StartDate]:[StartDate]],
Table_SiteMilestoneTracking[SiteReadyForIntegration_BL],"&lt;"&amp;Table_SiteMilestoneTrackingSummary[[#This Row],[EndDate]:[EndDate]]+1)</f>
        <v>0</v>
      </c>
      <c r="CD11" s="100">
        <f>CD10+Table_SiteMilestoneTrackingSummary[[#This Row],[c6_InstallationCostBL]]</f>
        <v>0</v>
      </c>
      <c r="CE11" s="96">
        <f>SUMIFS(Table_SiteMilestoneTracking[c6_InstallationCostAC],
Table_SiteMilestoneTracking[SiteReadyForIntegration_AC],"&gt;="&amp;Table_SiteMilestoneTrackingSummary[[#This Row],[StartDate]:[StartDate]],
Table_SiteMilestoneTracking[SiteReadyForIntegration_AC],"&lt;"&amp;Table_SiteMilestoneTrackingSummary[[#This Row],[EndDate]:[EndDate]]+1)</f>
        <v>0</v>
      </c>
      <c r="CF11" s="100">
        <f>CF10+Table_SiteMilestoneTrackingSummary[[#This Row],[c6_InstallationCostAC]]</f>
        <v>0</v>
      </c>
      <c r="CG11" s="96">
        <f>COUNTIFS(Table_SiteMilestoneTracking[SiteReadyForIntegration_BL],"&gt;="&amp;Table_SiteMilestoneTrackingSummary[[#This Row],[StartDate]:[StartDate]],
Table_SiteMilestoneTracking[SiteReadyForIntegration_BL],"&lt;"&amp;Table_SiteMilestoneTrackingSummary[[#This Row],[EndDate]:[EndDate]]+1)</f>
        <v>0</v>
      </c>
      <c r="CH11" s="100">
        <f>CH10+Table_SiteMilestoneTrackingSummary[[#This Row],[ReadyForIntegration_BL]]</f>
        <v>0</v>
      </c>
      <c r="CI11" s="96">
        <f>COUNTIFS(Table_SiteMilestoneTracking[SiteReadyForIntegration_AC],"&gt;="&amp;Table_SiteMilestoneTrackingSummary[[#This Row],[StartDate]:[StartDate]],
Table_SiteMilestoneTracking[SiteReadyForIntegration_AC],"&lt;"&amp;Table_SiteMilestoneTrackingSummary[[#This Row],[EndDate]:[EndDate]]+1)</f>
        <v>0</v>
      </c>
      <c r="CJ11" s="100">
        <f>CJ10+Table_SiteMilestoneTrackingSummary[[#This Row],[ReadyForIntegration_AC]]</f>
        <v>0</v>
      </c>
      <c r="CK11" s="100">
        <f>$CK$2*Table_SiteMilestoneTrackingSummary[[#This Row],[SiteOnAir_AC]]</f>
        <v>0</v>
      </c>
      <c r="CL11" s="100">
        <f>CL10+Table_SiteMilestoneTrackingSummary[[#This Row],[c7_IntegrationEV]]</f>
        <v>0</v>
      </c>
      <c r="CM11" s="96">
        <f>SUMIFS(Table_SiteMilestoneTracking[c7_IntegrationCostBL],
Table_SiteMilestoneTracking[SiteOnAir_BL],"&gt;="&amp;Table_SiteMilestoneTrackingSummary[[#This Row],[StartDate]:[StartDate]],
Table_SiteMilestoneTracking[SiteOnAir_BL],"&lt;"&amp;Table_SiteMilestoneTrackingSummary[[#This Row],[EndDate]:[EndDate]]+1)</f>
        <v>0</v>
      </c>
      <c r="CN11" s="100">
        <f>CN10+Table_SiteMilestoneTrackingSummary[[#This Row],[c7_IntegrationCostBL]]</f>
        <v>0</v>
      </c>
      <c r="CO11" s="96">
        <f>SUMIFS(Table_SiteMilestoneTracking[c7_IntegrationCostAC],
Table_SiteMilestoneTracking[SiteOnAir_AC],"&gt;="&amp;Table_SiteMilestoneTrackingSummary[[#This Row],[StartDate]:[StartDate]],
Table_SiteMilestoneTracking[SiteOnAir_AC],"&lt;"&amp;Table_SiteMilestoneTrackingSummary[[#This Row],[EndDate]:[EndDate]]+1)</f>
        <v>0</v>
      </c>
      <c r="CP11" s="100">
        <f>CP10+Table_SiteMilestoneTrackingSummary[[#This Row],[c7_IntegrationCostAC]]</f>
        <v>0</v>
      </c>
      <c r="CQ11" s="96">
        <f>COUNTIFS(Table_SiteMilestoneTracking[SiteOnAir_BL],"&gt;="&amp;Table_SiteMilestoneTrackingSummary[[#This Row],[StartDate]:[StartDate]],
Table_SiteMilestoneTracking[SiteOnAir_BL],"&lt;"&amp;Table_SiteMilestoneTrackingSummary[[#This Row],[EndDate]:[EndDate]]+1)</f>
        <v>0</v>
      </c>
      <c r="CR11" s="100">
        <f>CR10+Table_SiteMilestoneTrackingSummary[[#This Row],[SiteOnAir_BL]]</f>
        <v>0</v>
      </c>
      <c r="CS11" s="96">
        <f>COUNTIFS(Table_SiteMilestoneTracking[SiteOnAir_AC],"&gt;="&amp;Table_SiteMilestoneTrackingSummary[[#This Row],[StartDate]:[StartDate]],
Table_SiteMilestoneTracking[SiteOnAir_AC],"&lt;"&amp;Table_SiteMilestoneTrackingSummary[[#This Row],[EndDate]:[EndDate]]+1)</f>
        <v>0</v>
      </c>
      <c r="CT11" s="100">
        <f>CT10+Table_SiteMilestoneTrackingSummary[[#This Row],[SiteOnAir_AC]]</f>
        <v>0</v>
      </c>
      <c r="CU11" s="100">
        <f>$CU$2*Table_SiteMilestoneTrackingSummary[[#This Row],[SiteAccepted_AC]]</f>
        <v>0</v>
      </c>
      <c r="CV11" s="100">
        <f>CV10+Table_SiteMilestoneTrackingSummary[[#This Row],[c8_AcceptanceEV]]</f>
        <v>0</v>
      </c>
      <c r="CW11" s="96">
        <f>SUMIFS(Table_SiteMilestoneTracking[c8_AcceptanceCostBL],
Table_SiteMilestoneTracking[SiteAccepted_BL],"&gt;="&amp;Table_SiteMilestoneTrackingSummary[[#This Row],[StartDate]:[StartDate]],
Table_SiteMilestoneTracking[SiteAccepted_BL],"&lt;"&amp;Table_SiteMilestoneTrackingSummary[[#This Row],[EndDate]:[EndDate]]+1)</f>
        <v>0</v>
      </c>
      <c r="CX11" s="100">
        <f>CX10+Table_SiteMilestoneTrackingSummary[[#This Row],[c8_AcceptanceCostBL]]</f>
        <v>0</v>
      </c>
      <c r="CY11" s="96">
        <f>SUMIFS(Table_SiteMilestoneTracking[c8_AcceptanceCostAC],
Table_SiteMilestoneTracking[SiteAccepted_AC],"&gt;="&amp;Table_SiteMilestoneTrackingSummary[[#This Row],[StartDate]:[StartDate]],
Table_SiteMilestoneTracking[SiteAccepted_AC],"&lt;"&amp;Table_SiteMilestoneTrackingSummary[[#This Row],[EndDate]:[EndDate]]+1)</f>
        <v>0</v>
      </c>
      <c r="CZ11" s="100">
        <f>CZ10+Table_SiteMilestoneTrackingSummary[[#This Row],[c8_AcceptanceCostAC]]</f>
        <v>0</v>
      </c>
      <c r="DA11" s="96">
        <f>COUNTIFS(Table_SiteMilestoneTracking[SiteAccepted_BL],"&gt;="&amp;Table_SiteMilestoneTrackingSummary[[#This Row],[StartDate]:[StartDate]],
Table_SiteMilestoneTracking[SiteAccepted_BL],"&lt;"&amp;Table_SiteMilestoneTrackingSummary[[#This Row],[EndDate]:[EndDate]]+1)</f>
        <v>0</v>
      </c>
      <c r="DB11" s="100">
        <f>DB10+Table_SiteMilestoneTrackingSummary[[#This Row],[SiteAccepted_BL]]</f>
        <v>0</v>
      </c>
      <c r="DC11" s="96">
        <f>COUNTIFS(Table_SiteMilestoneTracking[SiteAccepted_AC],"&gt;="&amp;Table_SiteMilestoneTrackingSummary[[#This Row],[StartDate]:[StartDate]],
Table_SiteMilestoneTracking[SiteAccepted_AC],"&lt;"&amp;Table_SiteMilestoneTrackingSummary[[#This Row],[EndDate]:[EndDate]]+1)</f>
        <v>0</v>
      </c>
      <c r="DD11" s="100">
        <f>DD10+Table_SiteMilestoneTrackingSummary[[#This Row],[SiteAccepted_AC]]</f>
        <v>0</v>
      </c>
      <c r="DE11" s="100">
        <f>$DE$2*Table_SiteMilestoneTrackingSummary[[#This Row],[SiteInOperations_AC]]</f>
        <v>0</v>
      </c>
      <c r="DF11" s="100">
        <f>DF10+Table_SiteMilestoneTrackingSummary[[#This Row],[c9_HandoverEV]]</f>
        <v>0</v>
      </c>
      <c r="DG11" s="96">
        <f>SUMIFS(Table_SiteMilestoneTracking[c9_HandoverCostBL],
Table_SiteMilestoneTracking[SiteInOperations_BL],"&gt;="&amp;Table_SiteMilestoneTrackingSummary[[#This Row],[StartDate]:[StartDate]],
Table_SiteMilestoneTracking[SiteInOperations_BL],"&lt;"&amp;Table_SiteMilestoneTrackingSummary[[#This Row],[EndDate]:[EndDate]]+1)</f>
        <v>0</v>
      </c>
      <c r="DH11" s="100">
        <f>DH10+Table_SiteMilestoneTrackingSummary[[#This Row],[c9_HandoverCostBL2]]</f>
        <v>0</v>
      </c>
      <c r="DI11" s="96">
        <f>SUMIFS(Table_SiteMilestoneTracking[c9_HandoverCostAC],
Table_SiteMilestoneTracking[SiteInOperations_AC],"&gt;="&amp;Table_SiteMilestoneTrackingSummary[[#This Row],[StartDate]:[StartDate]],
Table_SiteMilestoneTracking[SiteInOperations_AC],"&lt;"&amp;Table_SiteMilestoneTrackingSummary[[#This Row],[EndDate]:[EndDate]]+1)</f>
        <v>0</v>
      </c>
      <c r="DJ11" s="100">
        <f>DJ10+Table_SiteMilestoneTrackingSummary[[#This Row],[c9_HandoverCostAC]]</f>
        <v>0</v>
      </c>
      <c r="DK11" s="96">
        <f>COUNTIFS(Table_SiteMilestoneTracking[SiteInOperations_BL],"&gt;="&amp;Table_SiteMilestoneTrackingSummary[[#This Row],[StartDate]:[StartDate]],
Table_SiteMilestoneTracking[SiteInOperations_BL],"&lt;"&amp;Table_SiteMilestoneTrackingSummary[[#This Row],[EndDate]:[EndDate]]+1)</f>
        <v>0</v>
      </c>
      <c r="DL11" s="100">
        <f>DL10+Table_SiteMilestoneTrackingSummary[[#This Row],[SiteInOperations_BL]]</f>
        <v>0</v>
      </c>
      <c r="DM11" s="96">
        <f>COUNTIFS(Table_SiteMilestoneTracking[SiteInOperations_AC],"&gt;="&amp;Table_SiteMilestoneTrackingSummary[[#This Row],[StartDate]:[StartDate]],
Table_SiteMilestoneTracking[SiteInOperations_AC],"&lt;"&amp;Table_SiteMilestoneTrackingSummary[[#This Row],[EndDate]:[EndDate]]+1)</f>
        <v>0</v>
      </c>
      <c r="DN11" s="100">
        <f>DN10+Table_SiteMilestoneTrackingSummary[[#This Row],[SiteInOperations_AC]]</f>
        <v>0</v>
      </c>
      <c r="DO11" s="59">
        <f>Table_SiteMilestoneTrackingSummary[[#This Row],[c0_SiteDesignEV(SUM)]]+Table_SiteMilestoneTrackingSummary[[#This Row],[c1_SiteSurveyEV(SUM)]]+Table_SiteMilestoneTrackingSummary[[#This Row],[c2_SiteAcquisitionEV(SUM)]]+Table_SiteMilestoneTrackingSummary[[#This Row],[c2a_SiteCWReadinessEV(SUM)]]+Table_SiteMilestoneTrackingSummary[[#This Row],[c3_CivilWorksEV(SUM)]]+Table_SiteMilestoneTrackingSummary[[#This Row],[c4_PowerInstallEV(SUM)]]+Table_SiteMilestoneTrackingSummary[[#This Row],[c5_TxIntegrationEV(SUM)]]+Table_SiteMilestoneTrackingSummary[[#This Row],[c6_InstallationEV(SUM)]]+Table_SiteMilestoneTrackingSummary[[#This Row],[c7_IntegrationEV(SUM)]]+Table_SiteMilestoneTrackingSummary[[#This Row],[c8_AcceptanceEV(SUM)]]+Table_SiteMilestoneTrackingSummary[[#This Row],[c9_HandoverEV(SUM)]]</f>
        <v>0</v>
      </c>
      <c r="DP11" s="59">
        <f>Table_SiteMilestoneTrackingSummary[[#This Row],[c0_SiteDesignCostBL(SUM)]]+Table_SiteMilestoneTrackingSummary[[#This Row],[c1_SiteSurveyCostBL(SUM)]]+Table_SiteMilestoneTrackingSummary[[#This Row],[c2_SiteAcquisitionCostBL(SUM)]]+Table_SiteMilestoneTrackingSummary[[#This Row],[c2a_SiteCWReadinessCostBL(SUM)]]+Table_SiteMilestoneTrackingSummary[[#This Row],[c3_CivilWorksCostBL(SUM)]]+Table_SiteMilestoneTrackingSummary[[#This Row],[c4_PowerInstallCostBL(SUM)]]+Table_SiteMilestoneTrackingSummary[[#This Row],[c5_TxIntegrationCostBL(SUM)]]+Table_SiteMilestoneTrackingSummary[[#This Row],[c6_InstallationCostBL(SUM)]]+Table_SiteMilestoneTrackingSummary[[#This Row],[c7_IntegrationCostBL(SUM)]]+Table_SiteMilestoneTrackingSummary[[#This Row],[c8_AcceptanceCostBL(SUM)]]+Table_SiteMilestoneTrackingSummary[[#This Row],[c9_HandoverCostBL(SUM)]]</f>
        <v>0</v>
      </c>
      <c r="DQ11" s="59">
        <f>Table_SiteMilestoneTrackingSummary[[#This Row],[c0_SiteDesignCostAC(SUM)]]+Table_SiteMilestoneTrackingSummary[[#This Row],[c1_SiteSurveyCostAC(SUM)]]+Table_SiteMilestoneTrackingSummary[[#This Row],[c2_SiteAcquisitionCostAC(SUM)]]+Table_SiteMilestoneTrackingSummary[[#This Row],[c2a_SiteCWReadinessCostAC(SUM)]]+Table_SiteMilestoneTrackingSummary[[#This Row],[c3_CivilWorksCostAC(SUM)]]+Table_SiteMilestoneTrackingSummary[[#This Row],[c4_PowerInstallCostAC(SUM)]]+Table_SiteMilestoneTrackingSummary[[#This Row],[c5_TxIntegrationCostAC(SUM)]]+Table_SiteMilestoneTrackingSummary[[#This Row],[c6_InstallationCostAC(SUM)]]+Table_SiteMilestoneTrackingSummary[[#This Row],[c7_IntegrationCostAC(SUM)]]+Table_SiteMilestoneTrackingSummary[[#This Row],[c8_AcceptanceCostAC(SUM)]]+Table_SiteMilestoneTrackingSummary[[#This Row],[c9_HandoverCostAC(SUM)]]</f>
        <v>0</v>
      </c>
      <c r="DR11" s="59">
        <f>Table_SiteMilestoneTrackingSummary[[#This Row],[AccumulatedEV]]-Table_SiteMilestoneTrackingSummary[[#This Row],[AccumulatedPV]]</f>
        <v>0</v>
      </c>
      <c r="DS11" s="59">
        <f>Table_SiteMilestoneTrackingSummary[[#This Row],[AccumulatedEV]]-Table_SiteMilestoneTrackingSummary[[#This Row],[AccumulatedAC]]</f>
        <v>0</v>
      </c>
      <c r="DT11" s="58" t="str">
        <f>IFERROR(Table_SiteMilestoneTrackingSummary[[#This Row],[AccumulatedEV]]/Table_SiteMilestoneTrackingSummary[[#This Row],[AccumulatedPV]],"/")</f>
        <v>/</v>
      </c>
      <c r="DU11" s="101" t="str">
        <f>IFERROR(Table_SiteMilestoneTrackingSummary[[#This Row],[AccumulatedEV]]/Table_SiteMilestoneTrackingSummary[[#This Row],[AccumulatedAC]],"/")</f>
        <v>/</v>
      </c>
    </row>
    <row r="12" spans="1:125" outlineLevel="1" x14ac:dyDescent="0.3">
      <c r="A12" s="79">
        <v>2020</v>
      </c>
      <c r="B12" s="79">
        <v>9</v>
      </c>
      <c r="C12" s="95">
        <f>DATE(Table_SiteMilestoneTrackingSummary[[#This Row],[Year]],1,-2)-WEEKDAY(DATE(Table_SiteMilestoneTrackingSummary[[#This Row],[Year]],1,3))+Table_SiteMilestoneTrackingSummary[[#This Row],[Week]]*7</f>
        <v>43885</v>
      </c>
      <c r="D12" s="95">
        <f>Table_SiteMilestoneTrackingSummary[[#This Row],[StartDate]]+6</f>
        <v>43891</v>
      </c>
      <c r="E12" s="100">
        <f>COUNTIFS(Table_SiteMilestoneTracking[SiteDesignStarted_BL],"&gt;="&amp;Table_SiteMilestoneTrackingSummary[[#This Row],[StartDate]:[StartDate]],Table_SiteMilestoneTracking[SiteDesignStarted_BL],"&lt;"&amp;Table_SiteMilestoneTrackingSummary[[#This Row],[EndDate]:[EndDate]]+1)</f>
        <v>0</v>
      </c>
      <c r="F12" s="100">
        <f>F11+Table_SiteMilestoneTrackingSummary[[#This Row],[SiteDesignStarted_BL]]</f>
        <v>0</v>
      </c>
      <c r="G12" s="100">
        <f>COUNTIFS(Table_SiteMilestoneTracking[SiteDesignStarted_AC],"&gt;="&amp;Table_SiteMilestoneTrackingSummary[[#This Row],[StartDate]:[StartDate]],Table_SiteMilestoneTracking[SiteDesignStarted_AC],"&lt;"&amp;Table_SiteMilestoneTrackingSummary[[#This Row],[EndDate]:[EndDate]]+1)</f>
        <v>0</v>
      </c>
      <c r="H12" s="100">
        <f>H11+Table_SiteMilestoneTrackingSummary[[#This Row],[SiteDesignStarted_AC]]</f>
        <v>0</v>
      </c>
      <c r="I12" s="100">
        <f>Table_SiteMilestoneTrackingSummary[[#This Row],[SiteDesignReady_AC]]*$I$2</f>
        <v>0</v>
      </c>
      <c r="J12" s="100">
        <f>J11+Table_SiteMilestoneTrackingSummary[[#This Row],[c0_SiteDesignEV]]</f>
        <v>0</v>
      </c>
      <c r="K12" s="97">
        <f>SUMIFS(Table_SiteMilestoneTracking[c0_SiteDesignCostBL],
Table_SiteMilestoneTracking[SiteDesignReady_BL],"&gt;="&amp;Table_SiteMilestoneTrackingSummary[[#This Row],[StartDate]:[StartDate]],
Table_SiteMilestoneTracking[SiteDesignReady_BL],"&lt;"&amp;Table_SiteMilestoneTrackingSummary[[#This Row],[EndDate]:[EndDate]]+1)</f>
        <v>0</v>
      </c>
      <c r="L12" s="59">
        <f>L11+Table_SiteMilestoneTrackingSummary[[#This Row],[c0_SiteDesignCostBL]]</f>
        <v>0</v>
      </c>
      <c r="M12" s="97">
        <f>SUMIFS(Table_SiteMilestoneTracking[c0_SiteDesignCostAC],
Table_SiteMilestoneTracking[SiteDesignReady_AC],"&gt;="&amp;Table_SiteMilestoneTrackingSummary[[#This Row],[StartDate]:[StartDate]],
Table_SiteMilestoneTracking[SiteDesignReady_AC],"&lt;"&amp;Table_SiteMilestoneTrackingSummary[[#This Row],[EndDate]:[EndDate]]+1)</f>
        <v>0</v>
      </c>
      <c r="N12" s="59">
        <f>N11+Table_SiteMilestoneTrackingSummary[[#This Row],[c0_SiteDesignCostAC]]</f>
        <v>0</v>
      </c>
      <c r="O12" s="96">
        <f>COUNTIFS(Table_SiteMilestoneTracking[SiteDesignReady_BL],"&gt;="&amp;Table_SiteMilestoneTrackingSummary[[#This Row],[StartDate]:[StartDate]],
Table_SiteMilestoneTracking[SiteDesignReady_BL],"&lt;"&amp;Table_SiteMilestoneTrackingSummary[[#This Row],[EndDate]:[EndDate]]+1)</f>
        <v>0</v>
      </c>
      <c r="P12" s="100">
        <f>P11+Table_SiteMilestoneTrackingSummary[[#This Row],[SiteDesignReady_BL]]</f>
        <v>0</v>
      </c>
      <c r="Q12" s="100">
        <f>COUNTIFS(Table_SiteMilestoneTracking[SiteDesignReady_AC],"&gt;="&amp;Table_SiteMilestoneTrackingSummary[[#This Row],[StartDate]:[StartDate]],Table_SiteMilestoneTracking[SiteDesignReady_AC],"&lt;"&amp;Table_SiteMilestoneTrackingSummary[[#This Row],[EndDate]:[EndDate]]+1)</f>
        <v>0</v>
      </c>
      <c r="R12" s="100">
        <f>R11+Table_SiteMilestoneTrackingSummary[[#This Row],[SiteDesignReady_AC]]</f>
        <v>0</v>
      </c>
      <c r="S12" s="100">
        <f>Table_SiteMilestoneTrackingSummary[[#This Row],[ReadyForCW_AC]]*$S$2</f>
        <v>0</v>
      </c>
      <c r="T12" s="100">
        <f>T11+Table_SiteMilestoneTrackingSummary[[#This Row],[c1_SiteSurveyEV]]</f>
        <v>0</v>
      </c>
      <c r="U12" s="96">
        <f>SUMIFS(Table_SiteMilestoneTracking[c1_SiteSurveyCostBL],
Table_SiteMilestoneTracking[SiteSurveyCompleted_BL],"&gt;="&amp;Table_SiteMilestoneTrackingSummary[[#This Row],[StartDate]:[StartDate]],
Table_SiteMilestoneTracking[SiteSurveyCompleted_BL],"&lt;"&amp;Table_SiteMilestoneTrackingSummary[[#This Row],[EndDate]:[EndDate]]+1)</f>
        <v>0</v>
      </c>
      <c r="V12" s="100">
        <f>V11+Table_SiteMilestoneTrackingSummary[[#This Row],[c1_SiteSurveyCostBL]]</f>
        <v>0</v>
      </c>
      <c r="W12" s="96">
        <f>SUMIFS(Table_SiteMilestoneTracking[c1_SiteSurveyCostAC],
Table_SiteMilestoneTracking[SiteSurveyCompleted_AC],"&gt;="&amp;Table_SiteMilestoneTrackingSummary[[#This Row],[StartDate]:[StartDate]],
Table_SiteMilestoneTracking[SiteSurveyCompleted_AC],"&lt;"&amp;Table_SiteMilestoneTrackingSummary[[#This Row],[EndDate]:[EndDate]]+1)</f>
        <v>0</v>
      </c>
      <c r="X12" s="100">
        <f>X11+Table_SiteMilestoneTrackingSummary[[#This Row],[c1_SiteSurveyCostAC]]</f>
        <v>0</v>
      </c>
      <c r="Y12" s="96">
        <f>COUNTIFS(Table_SiteMilestoneTracking[SiteSurveyCompleted_BL],"&gt;="&amp;Table_SiteMilestoneTrackingSummary[[#This Row],[StartDate]:[StartDate]],
Table_SiteMilestoneTracking[SiteSurveyCompleted_BL],"&lt;"&amp;Table_SiteMilestoneTrackingSummary[[#This Row],[EndDate]:[EndDate]]+1)</f>
        <v>0</v>
      </c>
      <c r="Z12" s="100">
        <f>Z11+Table_SiteMilestoneTrackingSummary[[#This Row],[SiteSurveyCompleted_BL]]</f>
        <v>0</v>
      </c>
      <c r="AA12" s="96">
        <f>COUNTIFS(Table_SiteMilestoneTracking[SiteSurveyCompleted_AC],"&gt;="&amp;Table_SiteMilestoneTrackingSummary[[#This Row],[StartDate]:[StartDate]],
Table_SiteMilestoneTracking[SiteSurveyCompleted_AC],"&lt;"&amp;Table_SiteMilestoneTrackingSummary[[#This Row],[EndDate]:[EndDate]]+1)</f>
        <v>0</v>
      </c>
      <c r="AB12" s="100">
        <f>AB11+Table_SiteMilestoneTrackingSummary[[#This Row],[SiteSurveyCompleted_AC]]</f>
        <v>0</v>
      </c>
      <c r="AC12" s="100">
        <f>$AC$2*Table_SiteMilestoneTrackingSummary[[#This Row],[SiteAcquired_AC]]</f>
        <v>0</v>
      </c>
      <c r="AD12" s="100">
        <f>AD11+Table_SiteMilestoneTrackingSummary[[#This Row],[c2_SiteAcquisitionEV]]</f>
        <v>0</v>
      </c>
      <c r="AE12" s="96">
        <f>SUMIFS(Table_SiteMilestoneTracking[c2_SiteAcquisitionCostBL],
Table_SiteMilestoneTracking[SiteAcquired_BL],"&gt;="&amp;Table_SiteMilestoneTrackingSummary[[#This Row],[StartDate]:[StartDate]],
Table_SiteMilestoneTracking[SiteAcquired_BL],"&lt;"&amp;Table_SiteMilestoneTrackingSummary[[#This Row],[EndDate]:[EndDate]]+1)</f>
        <v>0</v>
      </c>
      <c r="AF12" s="100">
        <f>AF11+Table_SiteMilestoneTrackingSummary[[#This Row],[c2_SiteAcquisitionCostBL]]</f>
        <v>0</v>
      </c>
      <c r="AG12" s="96">
        <f>SUMIFS(Table_SiteMilestoneTracking[c2_SiteAcquisitionCostAC],
Table_SiteMilestoneTracking[SiteAcquired_AC],"&gt;="&amp;Table_SiteMilestoneTrackingSummary[[#This Row],[StartDate]:[StartDate]],
Table_SiteMilestoneTracking[SiteAcquired_AC],"&lt;"&amp;Table_SiteMilestoneTrackingSummary[[#This Row],[EndDate]:[EndDate]]+1)</f>
        <v>0</v>
      </c>
      <c r="AH12" s="100">
        <f>AH11+Table_SiteMilestoneTrackingSummary[[#This Row],[c2_SiteAcquisitionCostAC]]</f>
        <v>0</v>
      </c>
      <c r="AI12" s="96">
        <f>COUNTIFS(Table_SiteMilestoneTracking[SiteAcquired_BL],"&gt;="&amp;Table_SiteMilestoneTrackingSummary[[#This Row],[StartDate]:[StartDate]],
Table_SiteMilestoneTracking[SiteAcquired_BL],"&lt;"&amp;Table_SiteMilestoneTrackingSummary[[#This Row],[EndDate]:[EndDate]]+1)</f>
        <v>0</v>
      </c>
      <c r="AJ12" s="100">
        <f>AJ11+Table_SiteMilestoneTrackingSummary[[#This Row],[SiteAcquired_BL]]</f>
        <v>0</v>
      </c>
      <c r="AK12" s="96">
        <f>COUNTIFS(Table_SiteMilestoneTracking[SiteAcquired_AC],"&gt;="&amp;Table_SiteMilestoneTrackingSummary[[#This Row],[StartDate]:[StartDate]],
Table_SiteMilestoneTracking[SiteAcquired_AC],"&lt;"&amp;Table_SiteMilestoneTrackingSummary[[#This Row],[EndDate]:[EndDate]]+1)</f>
        <v>0</v>
      </c>
      <c r="AL12" s="100">
        <f>AL11+Table_SiteMilestoneTrackingSummary[[#This Row],[SiteAcquired_AC]]</f>
        <v>0</v>
      </c>
      <c r="AM12" s="100">
        <f>Table_SiteMilestoneTrackingSummary[[#This Row],[ReadyForCW_AC]]*$AM$2</f>
        <v>0</v>
      </c>
      <c r="AN12" s="100">
        <f>AN11+Table_SiteMilestoneTrackingSummary[[#This Row],[c2a_SiteCWReadinessEV]]</f>
        <v>0</v>
      </c>
      <c r="AO12" s="96">
        <f>SUMIFS(Table_SiteMilestoneTracking[c2a_SiteCWReadinessCost_BL],
Table_SiteMilestoneTracking[SiteReadyForCW_BL],"&gt;="&amp;Table_SiteMilestoneTrackingSummary[[#This Row],[StartDate]:[StartDate]],
Table_SiteMilestoneTracking[SiteReadyForCW_BL],"&lt;"&amp;Table_SiteMilestoneTrackingSummary[[#This Row],[EndDate]:[EndDate]]+1)</f>
        <v>0</v>
      </c>
      <c r="AP12" s="100">
        <f>AP11+Table_SiteMilestoneTrackingSummary[[#This Row],[c2a_SiteCWReadinessCostBL]]</f>
        <v>0</v>
      </c>
      <c r="AQ12" s="96">
        <f>SUMIFS(Table_SiteMilestoneTracking[c2a_SiteCWReadinessCost_AC],
Table_SiteMilestoneTracking[SiteReadyForCW_AC],"&gt;="&amp;Table_SiteMilestoneTrackingSummary[[#This Row],[StartDate]:[StartDate]],
Table_SiteMilestoneTracking[SiteReadyForCW_AC],"&lt;"&amp;Table_SiteMilestoneTrackingSummary[[#This Row],[EndDate]:[EndDate]]+1)</f>
        <v>0</v>
      </c>
      <c r="AR12" s="100">
        <f>AR11+Table_SiteMilestoneTrackingSummary[[#This Row],[c2a_SiteCWReadinessCostAC]]</f>
        <v>0</v>
      </c>
      <c r="AS12" s="96">
        <f>COUNTIFS(Table_SiteMilestoneTracking[SiteReadyForCW_BL],"&gt;="&amp;Table_SiteMilestoneTrackingSummary[[#This Row],[StartDate]:[StartDate]],
Table_SiteMilestoneTracking[SiteReadyForCW_BL],"&lt;"&amp;Table_SiteMilestoneTrackingSummary[[#This Row],[EndDate]:[EndDate]]+1)</f>
        <v>0</v>
      </c>
      <c r="AT12" s="100">
        <f>AT11+Table_SiteMilestoneTrackingSummary[[#This Row],[ReadyForCW_BL]]</f>
        <v>0</v>
      </c>
      <c r="AU12" s="96">
        <f>COUNTIFS(Table_SiteMilestoneTracking[SiteReadyForCW_AC],"&gt;="&amp;Table_SiteMilestoneTrackingSummary[[#This Row],[StartDate]:[StartDate]],
Table_SiteMilestoneTracking[SiteReadyForCW_AC],"&lt;"&amp;Table_SiteMilestoneTrackingSummary[[#This Row],[EndDate]:[EndDate]]+1)</f>
        <v>0</v>
      </c>
      <c r="AV12" s="100">
        <f>AV11+Table_SiteMilestoneTrackingSummary[[#This Row],[ReadyForCW_AC]]</f>
        <v>0</v>
      </c>
      <c r="AW12" s="100">
        <f>$AW$2*Table_SiteMilestoneTrackingSummary[[#This Row],[ReadyForPower_AC]]</f>
        <v>0</v>
      </c>
      <c r="AX12" s="100">
        <f>AX11+Table_SiteMilestoneTrackingSummary[[#This Row],[c3_CivilWorksEV]]</f>
        <v>0</v>
      </c>
      <c r="AY12" s="96">
        <f>SUMIFS(Table_SiteMilestoneTracking[c3_CivilWorksCostBL],
Table_SiteMilestoneTracking[SiteReadyForPower_BL],"&gt;="&amp;Table_SiteMilestoneTrackingSummary[[#This Row],[StartDate]:[StartDate]],
Table_SiteMilestoneTracking[SiteReadyForPower_BL],"&lt;"&amp;Table_SiteMilestoneTrackingSummary[[#This Row],[EndDate]:[EndDate]]+1)</f>
        <v>0</v>
      </c>
      <c r="AZ12" s="100">
        <f>AZ11+Table_SiteMilestoneTrackingSummary[[#This Row],[c3_CivilWorksCostBL]]</f>
        <v>0</v>
      </c>
      <c r="BA12" s="96">
        <f>SUMIFS(Table_SiteMilestoneTracking[c3_CivilWorksCostAC],
Table_SiteMilestoneTracking[SiteReadyForPower_AC],"&gt;="&amp;Table_SiteMilestoneTrackingSummary[[#This Row],[StartDate]:[StartDate]],
Table_SiteMilestoneTracking[SiteReadyForPower_AC],"&lt;"&amp;Table_SiteMilestoneTrackingSummary[[#This Row],[EndDate]:[EndDate]]+1)</f>
        <v>0</v>
      </c>
      <c r="BB12" s="100">
        <f>BB11+Table_SiteMilestoneTrackingSummary[[#This Row],[c3_CivilWorksCostAC]]</f>
        <v>0</v>
      </c>
      <c r="BC12" s="96">
        <f>COUNTIFS(Table_SiteMilestoneTracking[SiteReadyForPower_BL],"&gt;="&amp;Table_SiteMilestoneTrackingSummary[[#This Row],[StartDate]:[StartDate]],
Table_SiteMilestoneTracking[SiteReadyForPower_BL],"&lt;"&amp;Table_SiteMilestoneTrackingSummary[[#This Row],[EndDate]:[EndDate]]+1)</f>
        <v>0</v>
      </c>
      <c r="BD12" s="100">
        <f>BD11+Table_SiteMilestoneTrackingSummary[[#This Row],[ReadyForPower_BL]]</f>
        <v>0</v>
      </c>
      <c r="BE12" s="96">
        <f>COUNTIFS(Table_SiteMilestoneTracking[SiteReadyForPower_AC],"&gt;="&amp;Table_SiteMilestoneTrackingSummary[[#This Row],[StartDate]:[StartDate]],
Table_SiteMilestoneTracking[SiteReadyForPower_AC],"&lt;"&amp;Table_SiteMilestoneTrackingSummary[[#This Row],[EndDate]:[EndDate]]+1)</f>
        <v>0</v>
      </c>
      <c r="BF12" s="100">
        <f>BF11+Table_SiteMilestoneTrackingSummary[[#This Row],[ReadyForPower_AC]]</f>
        <v>0</v>
      </c>
      <c r="BG12" s="100">
        <f>$BG$2*Table_SiteMilestoneTrackingSummary[[#This Row],[TXReady_AC]]</f>
        <v>0</v>
      </c>
      <c r="BH12" s="100">
        <f>BH11+Table_SiteMilestoneTrackingSummary[[#This Row],[c4_PowerInstallEV]]</f>
        <v>0</v>
      </c>
      <c r="BI12" s="96">
        <f>SUMIFS(Table_SiteMilestoneTracking[c4_PowerInstallCostBL],
Table_SiteMilestoneTracking[TXReady_BL],"&gt;="&amp;Table_SiteMilestoneTrackingSummary[[#This Row],[StartDate]:[StartDate]],
Table_SiteMilestoneTracking[TXReady_BL],"&lt;"&amp;Table_SiteMilestoneTrackingSummary[[#This Row],[EndDate]:[EndDate]]+1)</f>
        <v>0</v>
      </c>
      <c r="BJ12" s="100">
        <f>BJ11+Table_SiteMilestoneTrackingSummary[[#This Row],[c4_PowerInstallCostBL]]</f>
        <v>0</v>
      </c>
      <c r="BK12" s="96">
        <f>SUMIFS(Table_SiteMilestoneTracking[c4_PowerInstallCostAC],
Table_SiteMilestoneTracking[TXReady_AC],"&gt;="&amp;Table_SiteMilestoneTrackingSummary[[#This Row],[StartDate]:[StartDate]],
Table_SiteMilestoneTracking[TXReady_AC],"&lt;"&amp;Table_SiteMilestoneTrackingSummary[[#This Row],[EndDate]:[EndDate]]+1)</f>
        <v>0</v>
      </c>
      <c r="BL12" s="100">
        <f>BL11+Table_SiteMilestoneTrackingSummary[[#This Row],[c4_PowerInstallCostAC]]</f>
        <v>0</v>
      </c>
      <c r="BM12" s="96">
        <f>COUNTIFS(Table_SiteMilestoneTracking[TXReady_BL],"&gt;="&amp;Table_SiteMilestoneTrackingSummary[[#This Row],[StartDate]:[StartDate]],
Table_SiteMilestoneTracking[TXReady_BL],"&lt;"&amp;Table_SiteMilestoneTrackingSummary[[#This Row],[EndDate]:[EndDate]]+1)</f>
        <v>0</v>
      </c>
      <c r="BN12" s="100">
        <f>BN11+Table_SiteMilestoneTrackingSummary[[#This Row],[TXReady_BL]]</f>
        <v>0</v>
      </c>
      <c r="BO12" s="100">
        <f>COUNTIFS(Table_SiteMilestoneTracking[TXReady_AC],"&gt;="&amp;Table_SiteMilestoneTrackingSummary[[#This Row],[StartDate]:[StartDate]],Table_SiteMilestoneTracking[TXReady_AC],"&lt;"&amp;Table_SiteMilestoneTrackingSummary[[#This Row],[EndDate]:[EndDate]]+1)</f>
        <v>0</v>
      </c>
      <c r="BP12" s="100">
        <f>BP11+Table_SiteMilestoneTrackingSummary[[#This Row],[TXReady_AC]]</f>
        <v>0</v>
      </c>
      <c r="BQ12" s="100">
        <f>$BQ$2*Table_SiteMilestoneTrackingSummary[[#This Row],[ReadyForInstallation_AC]]</f>
        <v>0</v>
      </c>
      <c r="BR12" s="100">
        <f>BR11+Table_SiteMilestoneTrackingSummary[[#This Row],[c5_TxIntegrationEV]]</f>
        <v>0</v>
      </c>
      <c r="BS12" s="96">
        <f>SUMIFS(Table_SiteMilestoneTracking[c5_TxintegrationCostBL],
Table_SiteMilestoneTracking[SiteReadyForInstallation_BL],"&gt;="&amp;Table_SiteMilestoneTrackingSummary[[#This Row],[StartDate]:[StartDate]],
Table_SiteMilestoneTracking[SiteReadyForInstallation_BL],"&lt;"&amp;Table_SiteMilestoneTrackingSummary[[#This Row],[EndDate]:[EndDate]]+1)</f>
        <v>0</v>
      </c>
      <c r="BT12" s="100">
        <f>BT11+Table_SiteMilestoneTrackingSummary[[#This Row],[c5_TxIntegrationCostBL]]</f>
        <v>0</v>
      </c>
      <c r="BU12" s="96">
        <f>SUMIFS(Table_SiteMilestoneTracking[c5_TxintegrationCostAC],
Table_SiteMilestoneTracking[SiteReadyForInstallation_AC],"&gt;="&amp;Table_SiteMilestoneTrackingSummary[[#This Row],[StartDate]:[StartDate]],
Table_SiteMilestoneTracking[SiteReadyForInstallation_AC],"&lt;"&amp;Table_SiteMilestoneTrackingSummary[[#This Row],[EndDate]:[EndDate]]+1)</f>
        <v>0</v>
      </c>
      <c r="BV12" s="100">
        <f>BV11+Table_SiteMilestoneTrackingSummary[[#This Row],[c5_TxIntegrationCostAC]]</f>
        <v>0</v>
      </c>
      <c r="BW12" s="96">
        <f>COUNTIFS(Table_SiteMilestoneTracking[SiteReadyForInstallation_BL],"&gt;="&amp;Table_SiteMilestoneTrackingSummary[[#This Row],[StartDate]:[StartDate]],
Table_SiteMilestoneTracking[SiteReadyForInstallation_BL],"&lt;"&amp;Table_SiteMilestoneTrackingSummary[[#This Row],[EndDate]:[EndDate]]+1)</f>
        <v>0</v>
      </c>
      <c r="BX12" s="100">
        <f>BX11+Table_SiteMilestoneTrackingSummary[[#This Row],[ReadyForInstallation_BL]]</f>
        <v>0</v>
      </c>
      <c r="BY12" s="96">
        <f>COUNTIFS(Table_SiteMilestoneTracking[SiteReadyForInstallation_AC],"&gt;="&amp;Table_SiteMilestoneTrackingSummary[[#This Row],[StartDate]:[StartDate]],
Table_SiteMilestoneTracking[SiteReadyForInstallation_AC],"&lt;"&amp;Table_SiteMilestoneTrackingSummary[[#This Row],[EndDate]:[EndDate]]+1)</f>
        <v>0</v>
      </c>
      <c r="BZ12" s="100">
        <f>BZ11+Table_SiteMilestoneTrackingSummary[[#This Row],[ReadyForInstallation_AC]]</f>
        <v>0</v>
      </c>
      <c r="CA12" s="100">
        <f>$CA$2*Table_SiteMilestoneTrackingSummary[[#This Row],[ReadyForIntegration_AC]]</f>
        <v>0</v>
      </c>
      <c r="CB12" s="100">
        <f>CB11+Table_SiteMilestoneTrackingSummary[[#This Row],[c6_InstallationEV]]</f>
        <v>0</v>
      </c>
      <c r="CC12" s="96">
        <f>SUMIFS(Table_SiteMilestoneTracking[c6_InstallationCostBL],
Table_SiteMilestoneTracking[SiteReadyForIntegration_BL],"&gt;="&amp;Table_SiteMilestoneTrackingSummary[[#This Row],[StartDate]:[StartDate]],
Table_SiteMilestoneTracking[SiteReadyForIntegration_BL],"&lt;"&amp;Table_SiteMilestoneTrackingSummary[[#This Row],[EndDate]:[EndDate]]+1)</f>
        <v>0</v>
      </c>
      <c r="CD12" s="100">
        <f>CD11+Table_SiteMilestoneTrackingSummary[[#This Row],[c6_InstallationCostBL]]</f>
        <v>0</v>
      </c>
      <c r="CE12" s="96">
        <f>SUMIFS(Table_SiteMilestoneTracking[c6_InstallationCostAC],
Table_SiteMilestoneTracking[SiteReadyForIntegration_AC],"&gt;="&amp;Table_SiteMilestoneTrackingSummary[[#This Row],[StartDate]:[StartDate]],
Table_SiteMilestoneTracking[SiteReadyForIntegration_AC],"&lt;"&amp;Table_SiteMilestoneTrackingSummary[[#This Row],[EndDate]:[EndDate]]+1)</f>
        <v>0</v>
      </c>
      <c r="CF12" s="100">
        <f>CF11+Table_SiteMilestoneTrackingSummary[[#This Row],[c6_InstallationCostAC]]</f>
        <v>0</v>
      </c>
      <c r="CG12" s="96">
        <f>COUNTIFS(Table_SiteMilestoneTracking[SiteReadyForIntegration_BL],"&gt;="&amp;Table_SiteMilestoneTrackingSummary[[#This Row],[StartDate]:[StartDate]],
Table_SiteMilestoneTracking[SiteReadyForIntegration_BL],"&lt;"&amp;Table_SiteMilestoneTrackingSummary[[#This Row],[EndDate]:[EndDate]]+1)</f>
        <v>0</v>
      </c>
      <c r="CH12" s="100">
        <f>CH11+Table_SiteMilestoneTrackingSummary[[#This Row],[ReadyForIntegration_BL]]</f>
        <v>0</v>
      </c>
      <c r="CI12" s="96">
        <f>COUNTIFS(Table_SiteMilestoneTracking[SiteReadyForIntegration_AC],"&gt;="&amp;Table_SiteMilestoneTrackingSummary[[#This Row],[StartDate]:[StartDate]],
Table_SiteMilestoneTracking[SiteReadyForIntegration_AC],"&lt;"&amp;Table_SiteMilestoneTrackingSummary[[#This Row],[EndDate]:[EndDate]]+1)</f>
        <v>0</v>
      </c>
      <c r="CJ12" s="100">
        <f>CJ11+Table_SiteMilestoneTrackingSummary[[#This Row],[ReadyForIntegration_AC]]</f>
        <v>0</v>
      </c>
      <c r="CK12" s="100">
        <f>$CK$2*Table_SiteMilestoneTrackingSummary[[#This Row],[SiteOnAir_AC]]</f>
        <v>0</v>
      </c>
      <c r="CL12" s="100">
        <f>CL11+Table_SiteMilestoneTrackingSummary[[#This Row],[c7_IntegrationEV]]</f>
        <v>0</v>
      </c>
      <c r="CM12" s="96">
        <f>SUMIFS(Table_SiteMilestoneTracking[c7_IntegrationCostBL],
Table_SiteMilestoneTracking[SiteOnAir_BL],"&gt;="&amp;Table_SiteMilestoneTrackingSummary[[#This Row],[StartDate]:[StartDate]],
Table_SiteMilestoneTracking[SiteOnAir_BL],"&lt;"&amp;Table_SiteMilestoneTrackingSummary[[#This Row],[EndDate]:[EndDate]]+1)</f>
        <v>0</v>
      </c>
      <c r="CN12" s="100">
        <f>CN11+Table_SiteMilestoneTrackingSummary[[#This Row],[c7_IntegrationCostBL]]</f>
        <v>0</v>
      </c>
      <c r="CO12" s="96">
        <f>SUMIFS(Table_SiteMilestoneTracking[c7_IntegrationCostAC],
Table_SiteMilestoneTracking[SiteOnAir_AC],"&gt;="&amp;Table_SiteMilestoneTrackingSummary[[#This Row],[StartDate]:[StartDate]],
Table_SiteMilestoneTracking[SiteOnAir_AC],"&lt;"&amp;Table_SiteMilestoneTrackingSummary[[#This Row],[EndDate]:[EndDate]]+1)</f>
        <v>0</v>
      </c>
      <c r="CP12" s="100">
        <f>CP11+Table_SiteMilestoneTrackingSummary[[#This Row],[c7_IntegrationCostAC]]</f>
        <v>0</v>
      </c>
      <c r="CQ12" s="96">
        <f>COUNTIFS(Table_SiteMilestoneTracking[SiteOnAir_BL],"&gt;="&amp;Table_SiteMilestoneTrackingSummary[[#This Row],[StartDate]:[StartDate]],
Table_SiteMilestoneTracking[SiteOnAir_BL],"&lt;"&amp;Table_SiteMilestoneTrackingSummary[[#This Row],[EndDate]:[EndDate]]+1)</f>
        <v>0</v>
      </c>
      <c r="CR12" s="100">
        <f>CR11+Table_SiteMilestoneTrackingSummary[[#This Row],[SiteOnAir_BL]]</f>
        <v>0</v>
      </c>
      <c r="CS12" s="96">
        <f>COUNTIFS(Table_SiteMilestoneTracking[SiteOnAir_AC],"&gt;="&amp;Table_SiteMilestoneTrackingSummary[[#This Row],[StartDate]:[StartDate]],
Table_SiteMilestoneTracking[SiteOnAir_AC],"&lt;"&amp;Table_SiteMilestoneTrackingSummary[[#This Row],[EndDate]:[EndDate]]+1)</f>
        <v>0</v>
      </c>
      <c r="CT12" s="100">
        <f>CT11+Table_SiteMilestoneTrackingSummary[[#This Row],[SiteOnAir_AC]]</f>
        <v>0</v>
      </c>
      <c r="CU12" s="100">
        <f>$CU$2*Table_SiteMilestoneTrackingSummary[[#This Row],[SiteAccepted_AC]]</f>
        <v>0</v>
      </c>
      <c r="CV12" s="100">
        <f>CV11+Table_SiteMilestoneTrackingSummary[[#This Row],[c8_AcceptanceEV]]</f>
        <v>0</v>
      </c>
      <c r="CW12" s="96">
        <f>SUMIFS(Table_SiteMilestoneTracking[c8_AcceptanceCostBL],
Table_SiteMilestoneTracking[SiteAccepted_BL],"&gt;="&amp;Table_SiteMilestoneTrackingSummary[[#This Row],[StartDate]:[StartDate]],
Table_SiteMilestoneTracking[SiteAccepted_BL],"&lt;"&amp;Table_SiteMilestoneTrackingSummary[[#This Row],[EndDate]:[EndDate]]+1)</f>
        <v>0</v>
      </c>
      <c r="CX12" s="100">
        <f>CX11+Table_SiteMilestoneTrackingSummary[[#This Row],[c8_AcceptanceCostBL]]</f>
        <v>0</v>
      </c>
      <c r="CY12" s="96">
        <f>SUMIFS(Table_SiteMilestoneTracking[c8_AcceptanceCostAC],
Table_SiteMilestoneTracking[SiteAccepted_AC],"&gt;="&amp;Table_SiteMilestoneTrackingSummary[[#This Row],[StartDate]:[StartDate]],
Table_SiteMilestoneTracking[SiteAccepted_AC],"&lt;"&amp;Table_SiteMilestoneTrackingSummary[[#This Row],[EndDate]:[EndDate]]+1)</f>
        <v>0</v>
      </c>
      <c r="CZ12" s="100">
        <f>CZ11+Table_SiteMilestoneTrackingSummary[[#This Row],[c8_AcceptanceCostAC]]</f>
        <v>0</v>
      </c>
      <c r="DA12" s="96">
        <f>COUNTIFS(Table_SiteMilestoneTracking[SiteAccepted_BL],"&gt;="&amp;Table_SiteMilestoneTrackingSummary[[#This Row],[StartDate]:[StartDate]],
Table_SiteMilestoneTracking[SiteAccepted_BL],"&lt;"&amp;Table_SiteMilestoneTrackingSummary[[#This Row],[EndDate]:[EndDate]]+1)</f>
        <v>0</v>
      </c>
      <c r="DB12" s="100">
        <f>DB11+Table_SiteMilestoneTrackingSummary[[#This Row],[SiteAccepted_BL]]</f>
        <v>0</v>
      </c>
      <c r="DC12" s="96">
        <f>COUNTIFS(Table_SiteMilestoneTracking[SiteAccepted_AC],"&gt;="&amp;Table_SiteMilestoneTrackingSummary[[#This Row],[StartDate]:[StartDate]],
Table_SiteMilestoneTracking[SiteAccepted_AC],"&lt;"&amp;Table_SiteMilestoneTrackingSummary[[#This Row],[EndDate]:[EndDate]]+1)</f>
        <v>0</v>
      </c>
      <c r="DD12" s="100">
        <f>DD11+Table_SiteMilestoneTrackingSummary[[#This Row],[SiteAccepted_AC]]</f>
        <v>0</v>
      </c>
      <c r="DE12" s="100">
        <f>$DE$2*Table_SiteMilestoneTrackingSummary[[#This Row],[SiteInOperations_AC]]</f>
        <v>0</v>
      </c>
      <c r="DF12" s="100">
        <f>DF11+Table_SiteMilestoneTrackingSummary[[#This Row],[c9_HandoverEV]]</f>
        <v>0</v>
      </c>
      <c r="DG12" s="96">
        <f>SUMIFS(Table_SiteMilestoneTracking[c9_HandoverCostBL],
Table_SiteMilestoneTracking[SiteInOperations_BL],"&gt;="&amp;Table_SiteMilestoneTrackingSummary[[#This Row],[StartDate]:[StartDate]],
Table_SiteMilestoneTracking[SiteInOperations_BL],"&lt;"&amp;Table_SiteMilestoneTrackingSummary[[#This Row],[EndDate]:[EndDate]]+1)</f>
        <v>0</v>
      </c>
      <c r="DH12" s="100">
        <f>DH11+Table_SiteMilestoneTrackingSummary[[#This Row],[c9_HandoverCostBL2]]</f>
        <v>0</v>
      </c>
      <c r="DI12" s="96">
        <f>SUMIFS(Table_SiteMilestoneTracking[c9_HandoverCostAC],
Table_SiteMilestoneTracking[SiteInOperations_AC],"&gt;="&amp;Table_SiteMilestoneTrackingSummary[[#This Row],[StartDate]:[StartDate]],
Table_SiteMilestoneTracking[SiteInOperations_AC],"&lt;"&amp;Table_SiteMilestoneTrackingSummary[[#This Row],[EndDate]:[EndDate]]+1)</f>
        <v>0</v>
      </c>
      <c r="DJ12" s="100">
        <f>DJ11+Table_SiteMilestoneTrackingSummary[[#This Row],[c9_HandoverCostAC]]</f>
        <v>0</v>
      </c>
      <c r="DK12" s="96">
        <f>COUNTIFS(Table_SiteMilestoneTracking[SiteInOperations_BL],"&gt;="&amp;Table_SiteMilestoneTrackingSummary[[#This Row],[StartDate]:[StartDate]],
Table_SiteMilestoneTracking[SiteInOperations_BL],"&lt;"&amp;Table_SiteMilestoneTrackingSummary[[#This Row],[EndDate]:[EndDate]]+1)</f>
        <v>0</v>
      </c>
      <c r="DL12" s="100">
        <f>DL11+Table_SiteMilestoneTrackingSummary[[#This Row],[SiteInOperations_BL]]</f>
        <v>0</v>
      </c>
      <c r="DM12" s="96">
        <f>COUNTIFS(Table_SiteMilestoneTracking[SiteInOperations_AC],"&gt;="&amp;Table_SiteMilestoneTrackingSummary[[#This Row],[StartDate]:[StartDate]],
Table_SiteMilestoneTracking[SiteInOperations_AC],"&lt;"&amp;Table_SiteMilestoneTrackingSummary[[#This Row],[EndDate]:[EndDate]]+1)</f>
        <v>0</v>
      </c>
      <c r="DN12" s="100">
        <f>DN11+Table_SiteMilestoneTrackingSummary[[#This Row],[SiteInOperations_AC]]</f>
        <v>0</v>
      </c>
      <c r="DO12" s="59">
        <f>Table_SiteMilestoneTrackingSummary[[#This Row],[c0_SiteDesignEV(SUM)]]+Table_SiteMilestoneTrackingSummary[[#This Row],[c1_SiteSurveyEV(SUM)]]+Table_SiteMilestoneTrackingSummary[[#This Row],[c2_SiteAcquisitionEV(SUM)]]+Table_SiteMilestoneTrackingSummary[[#This Row],[c2a_SiteCWReadinessEV(SUM)]]+Table_SiteMilestoneTrackingSummary[[#This Row],[c3_CivilWorksEV(SUM)]]+Table_SiteMilestoneTrackingSummary[[#This Row],[c4_PowerInstallEV(SUM)]]+Table_SiteMilestoneTrackingSummary[[#This Row],[c5_TxIntegrationEV(SUM)]]+Table_SiteMilestoneTrackingSummary[[#This Row],[c6_InstallationEV(SUM)]]+Table_SiteMilestoneTrackingSummary[[#This Row],[c7_IntegrationEV(SUM)]]+Table_SiteMilestoneTrackingSummary[[#This Row],[c8_AcceptanceEV(SUM)]]+Table_SiteMilestoneTrackingSummary[[#This Row],[c9_HandoverEV(SUM)]]</f>
        <v>0</v>
      </c>
      <c r="DP12" s="59">
        <f>Table_SiteMilestoneTrackingSummary[[#This Row],[c0_SiteDesignCostBL(SUM)]]+Table_SiteMilestoneTrackingSummary[[#This Row],[c1_SiteSurveyCostBL(SUM)]]+Table_SiteMilestoneTrackingSummary[[#This Row],[c2_SiteAcquisitionCostBL(SUM)]]+Table_SiteMilestoneTrackingSummary[[#This Row],[c2a_SiteCWReadinessCostBL(SUM)]]+Table_SiteMilestoneTrackingSummary[[#This Row],[c3_CivilWorksCostBL(SUM)]]+Table_SiteMilestoneTrackingSummary[[#This Row],[c4_PowerInstallCostBL(SUM)]]+Table_SiteMilestoneTrackingSummary[[#This Row],[c5_TxIntegrationCostBL(SUM)]]+Table_SiteMilestoneTrackingSummary[[#This Row],[c6_InstallationCostBL(SUM)]]+Table_SiteMilestoneTrackingSummary[[#This Row],[c7_IntegrationCostBL(SUM)]]+Table_SiteMilestoneTrackingSummary[[#This Row],[c8_AcceptanceCostBL(SUM)]]+Table_SiteMilestoneTrackingSummary[[#This Row],[c9_HandoverCostBL(SUM)]]</f>
        <v>0</v>
      </c>
      <c r="DQ12" s="59">
        <f>Table_SiteMilestoneTrackingSummary[[#This Row],[c0_SiteDesignCostAC(SUM)]]+Table_SiteMilestoneTrackingSummary[[#This Row],[c1_SiteSurveyCostAC(SUM)]]+Table_SiteMilestoneTrackingSummary[[#This Row],[c2_SiteAcquisitionCostAC(SUM)]]+Table_SiteMilestoneTrackingSummary[[#This Row],[c2a_SiteCWReadinessCostAC(SUM)]]+Table_SiteMilestoneTrackingSummary[[#This Row],[c3_CivilWorksCostAC(SUM)]]+Table_SiteMilestoneTrackingSummary[[#This Row],[c4_PowerInstallCostAC(SUM)]]+Table_SiteMilestoneTrackingSummary[[#This Row],[c5_TxIntegrationCostAC(SUM)]]+Table_SiteMilestoneTrackingSummary[[#This Row],[c6_InstallationCostAC(SUM)]]+Table_SiteMilestoneTrackingSummary[[#This Row],[c7_IntegrationCostAC(SUM)]]+Table_SiteMilestoneTrackingSummary[[#This Row],[c8_AcceptanceCostAC(SUM)]]+Table_SiteMilestoneTrackingSummary[[#This Row],[c9_HandoverCostAC(SUM)]]</f>
        <v>0</v>
      </c>
      <c r="DR12" s="59">
        <f>Table_SiteMilestoneTrackingSummary[[#This Row],[AccumulatedEV]]-Table_SiteMilestoneTrackingSummary[[#This Row],[AccumulatedPV]]</f>
        <v>0</v>
      </c>
      <c r="DS12" s="59">
        <f>Table_SiteMilestoneTrackingSummary[[#This Row],[AccumulatedEV]]-Table_SiteMilestoneTrackingSummary[[#This Row],[AccumulatedAC]]</f>
        <v>0</v>
      </c>
      <c r="DT12" s="58" t="str">
        <f>IFERROR(Table_SiteMilestoneTrackingSummary[[#This Row],[AccumulatedEV]]/Table_SiteMilestoneTrackingSummary[[#This Row],[AccumulatedPV]],"/")</f>
        <v>/</v>
      </c>
      <c r="DU12" s="101" t="str">
        <f>IFERROR(Table_SiteMilestoneTrackingSummary[[#This Row],[AccumulatedEV]]/Table_SiteMilestoneTrackingSummary[[#This Row],[AccumulatedAC]],"/")</f>
        <v>/</v>
      </c>
    </row>
    <row r="13" spans="1:125" outlineLevel="1" x14ac:dyDescent="0.3">
      <c r="A13" s="79">
        <v>2020</v>
      </c>
      <c r="B13" s="79">
        <v>10</v>
      </c>
      <c r="C13" s="95">
        <f>DATE(Table_SiteMilestoneTrackingSummary[[#This Row],[Year]],1,-2)-WEEKDAY(DATE(Table_SiteMilestoneTrackingSummary[[#This Row],[Year]],1,3))+Table_SiteMilestoneTrackingSummary[[#This Row],[Week]]*7</f>
        <v>43892</v>
      </c>
      <c r="D13" s="95">
        <f>Table_SiteMilestoneTrackingSummary[[#This Row],[StartDate]]+6</f>
        <v>43898</v>
      </c>
      <c r="E13" s="100">
        <f>COUNTIFS(Table_SiteMilestoneTracking[SiteDesignStarted_BL],"&gt;="&amp;Table_SiteMilestoneTrackingSummary[[#This Row],[StartDate]:[StartDate]],Table_SiteMilestoneTracking[SiteDesignStarted_BL],"&lt;"&amp;Table_SiteMilestoneTrackingSummary[[#This Row],[EndDate]:[EndDate]]+1)</f>
        <v>0</v>
      </c>
      <c r="F13" s="100">
        <f>F12+Table_SiteMilestoneTrackingSummary[[#This Row],[SiteDesignStarted_BL]]</f>
        <v>0</v>
      </c>
      <c r="G13" s="100">
        <f>COUNTIFS(Table_SiteMilestoneTracking[SiteDesignStarted_AC],"&gt;="&amp;Table_SiteMilestoneTrackingSummary[[#This Row],[StartDate]:[StartDate]],Table_SiteMilestoneTracking[SiteDesignStarted_AC],"&lt;"&amp;Table_SiteMilestoneTrackingSummary[[#This Row],[EndDate]:[EndDate]]+1)</f>
        <v>0</v>
      </c>
      <c r="H13" s="100">
        <f>H12+Table_SiteMilestoneTrackingSummary[[#This Row],[SiteDesignStarted_AC]]</f>
        <v>0</v>
      </c>
      <c r="I13" s="100">
        <f>Table_SiteMilestoneTrackingSummary[[#This Row],[SiteDesignReady_AC]]*$I$2</f>
        <v>0</v>
      </c>
      <c r="J13" s="100">
        <f>J12+Table_SiteMilestoneTrackingSummary[[#This Row],[c0_SiteDesignEV]]</f>
        <v>0</v>
      </c>
      <c r="K13" s="97">
        <f>SUMIFS(Table_SiteMilestoneTracking[c0_SiteDesignCostBL],
Table_SiteMilestoneTracking[SiteDesignReady_BL],"&gt;="&amp;Table_SiteMilestoneTrackingSummary[[#This Row],[StartDate]:[StartDate]],
Table_SiteMilestoneTracking[SiteDesignReady_BL],"&lt;"&amp;Table_SiteMilestoneTrackingSummary[[#This Row],[EndDate]:[EndDate]]+1)</f>
        <v>0</v>
      </c>
      <c r="L13" s="59">
        <f>L12+Table_SiteMilestoneTrackingSummary[[#This Row],[c0_SiteDesignCostBL]]</f>
        <v>0</v>
      </c>
      <c r="M13" s="97">
        <f>SUMIFS(Table_SiteMilestoneTracking[c0_SiteDesignCostAC],
Table_SiteMilestoneTracking[SiteDesignReady_AC],"&gt;="&amp;Table_SiteMilestoneTrackingSummary[[#This Row],[StartDate]:[StartDate]],
Table_SiteMilestoneTracking[SiteDesignReady_AC],"&lt;"&amp;Table_SiteMilestoneTrackingSummary[[#This Row],[EndDate]:[EndDate]]+1)</f>
        <v>0</v>
      </c>
      <c r="N13" s="59">
        <f>N12+Table_SiteMilestoneTrackingSummary[[#This Row],[c0_SiteDesignCostAC]]</f>
        <v>0</v>
      </c>
      <c r="O13" s="96">
        <f>COUNTIFS(Table_SiteMilestoneTracking[SiteDesignReady_BL],"&gt;="&amp;Table_SiteMilestoneTrackingSummary[[#This Row],[StartDate]:[StartDate]],
Table_SiteMilestoneTracking[SiteDesignReady_BL],"&lt;"&amp;Table_SiteMilestoneTrackingSummary[[#This Row],[EndDate]:[EndDate]]+1)</f>
        <v>0</v>
      </c>
      <c r="P13" s="100">
        <f>P12+Table_SiteMilestoneTrackingSummary[[#This Row],[SiteDesignReady_BL]]</f>
        <v>0</v>
      </c>
      <c r="Q13" s="100">
        <f>COUNTIFS(Table_SiteMilestoneTracking[SiteDesignReady_AC],"&gt;="&amp;Table_SiteMilestoneTrackingSummary[[#This Row],[StartDate]:[StartDate]],Table_SiteMilestoneTracking[SiteDesignReady_AC],"&lt;"&amp;Table_SiteMilestoneTrackingSummary[[#This Row],[EndDate]:[EndDate]]+1)</f>
        <v>0</v>
      </c>
      <c r="R13" s="100">
        <f>R12+Table_SiteMilestoneTrackingSummary[[#This Row],[SiteDesignReady_AC]]</f>
        <v>0</v>
      </c>
      <c r="S13" s="100">
        <f>Table_SiteMilestoneTrackingSummary[[#This Row],[ReadyForCW_AC]]*$S$2</f>
        <v>0</v>
      </c>
      <c r="T13" s="100">
        <f>T12+Table_SiteMilestoneTrackingSummary[[#This Row],[c1_SiteSurveyEV]]</f>
        <v>0</v>
      </c>
      <c r="U13" s="96">
        <f>SUMIFS(Table_SiteMilestoneTracking[c1_SiteSurveyCostBL],
Table_SiteMilestoneTracking[SiteSurveyCompleted_BL],"&gt;="&amp;Table_SiteMilestoneTrackingSummary[[#This Row],[StartDate]:[StartDate]],
Table_SiteMilestoneTracking[SiteSurveyCompleted_BL],"&lt;"&amp;Table_SiteMilestoneTrackingSummary[[#This Row],[EndDate]:[EndDate]]+1)</f>
        <v>0</v>
      </c>
      <c r="V13" s="100">
        <f>V12+Table_SiteMilestoneTrackingSummary[[#This Row],[c1_SiteSurveyCostBL]]</f>
        <v>0</v>
      </c>
      <c r="W13" s="96">
        <f>SUMIFS(Table_SiteMilestoneTracking[c1_SiteSurveyCostAC],
Table_SiteMilestoneTracking[SiteSurveyCompleted_AC],"&gt;="&amp;Table_SiteMilestoneTrackingSummary[[#This Row],[StartDate]:[StartDate]],
Table_SiteMilestoneTracking[SiteSurveyCompleted_AC],"&lt;"&amp;Table_SiteMilestoneTrackingSummary[[#This Row],[EndDate]:[EndDate]]+1)</f>
        <v>0</v>
      </c>
      <c r="X13" s="100">
        <f>X12+Table_SiteMilestoneTrackingSummary[[#This Row],[c1_SiteSurveyCostAC]]</f>
        <v>0</v>
      </c>
      <c r="Y13" s="96">
        <f>COUNTIFS(Table_SiteMilestoneTracking[SiteSurveyCompleted_BL],"&gt;="&amp;Table_SiteMilestoneTrackingSummary[[#This Row],[StartDate]:[StartDate]],
Table_SiteMilestoneTracking[SiteSurveyCompleted_BL],"&lt;"&amp;Table_SiteMilestoneTrackingSummary[[#This Row],[EndDate]:[EndDate]]+1)</f>
        <v>0</v>
      </c>
      <c r="Z13" s="100">
        <f>Z12+Table_SiteMilestoneTrackingSummary[[#This Row],[SiteSurveyCompleted_BL]]</f>
        <v>0</v>
      </c>
      <c r="AA13" s="96">
        <f>COUNTIFS(Table_SiteMilestoneTracking[SiteSurveyCompleted_AC],"&gt;="&amp;Table_SiteMilestoneTrackingSummary[[#This Row],[StartDate]:[StartDate]],
Table_SiteMilestoneTracking[SiteSurveyCompleted_AC],"&lt;"&amp;Table_SiteMilestoneTrackingSummary[[#This Row],[EndDate]:[EndDate]]+1)</f>
        <v>0</v>
      </c>
      <c r="AB13" s="100">
        <f>AB12+Table_SiteMilestoneTrackingSummary[[#This Row],[SiteSurveyCompleted_AC]]</f>
        <v>0</v>
      </c>
      <c r="AC13" s="100">
        <f>$AC$2*Table_SiteMilestoneTrackingSummary[[#This Row],[SiteAcquired_AC]]</f>
        <v>0</v>
      </c>
      <c r="AD13" s="100">
        <f>AD12+Table_SiteMilestoneTrackingSummary[[#This Row],[c2_SiteAcquisitionEV]]</f>
        <v>0</v>
      </c>
      <c r="AE13" s="96">
        <f>SUMIFS(Table_SiteMilestoneTracking[c2_SiteAcquisitionCostBL],
Table_SiteMilestoneTracking[SiteAcquired_BL],"&gt;="&amp;Table_SiteMilestoneTrackingSummary[[#This Row],[StartDate]:[StartDate]],
Table_SiteMilestoneTracking[SiteAcquired_BL],"&lt;"&amp;Table_SiteMilestoneTrackingSummary[[#This Row],[EndDate]:[EndDate]]+1)</f>
        <v>0</v>
      </c>
      <c r="AF13" s="100">
        <f>AF12+Table_SiteMilestoneTrackingSummary[[#This Row],[c2_SiteAcquisitionCostBL]]</f>
        <v>0</v>
      </c>
      <c r="AG13" s="96">
        <f>SUMIFS(Table_SiteMilestoneTracking[c2_SiteAcquisitionCostAC],
Table_SiteMilestoneTracking[SiteAcquired_AC],"&gt;="&amp;Table_SiteMilestoneTrackingSummary[[#This Row],[StartDate]:[StartDate]],
Table_SiteMilestoneTracking[SiteAcquired_AC],"&lt;"&amp;Table_SiteMilestoneTrackingSummary[[#This Row],[EndDate]:[EndDate]]+1)</f>
        <v>0</v>
      </c>
      <c r="AH13" s="100">
        <f>AH12+Table_SiteMilestoneTrackingSummary[[#This Row],[c2_SiteAcquisitionCostAC]]</f>
        <v>0</v>
      </c>
      <c r="AI13" s="96">
        <f>COUNTIFS(Table_SiteMilestoneTracking[SiteAcquired_BL],"&gt;="&amp;Table_SiteMilestoneTrackingSummary[[#This Row],[StartDate]:[StartDate]],
Table_SiteMilestoneTracking[SiteAcquired_BL],"&lt;"&amp;Table_SiteMilestoneTrackingSummary[[#This Row],[EndDate]:[EndDate]]+1)</f>
        <v>0</v>
      </c>
      <c r="AJ13" s="100">
        <f>AJ12+Table_SiteMilestoneTrackingSummary[[#This Row],[SiteAcquired_BL]]</f>
        <v>0</v>
      </c>
      <c r="AK13" s="96">
        <f>COUNTIFS(Table_SiteMilestoneTracking[SiteAcquired_AC],"&gt;="&amp;Table_SiteMilestoneTrackingSummary[[#This Row],[StartDate]:[StartDate]],
Table_SiteMilestoneTracking[SiteAcquired_AC],"&lt;"&amp;Table_SiteMilestoneTrackingSummary[[#This Row],[EndDate]:[EndDate]]+1)</f>
        <v>0</v>
      </c>
      <c r="AL13" s="100">
        <f>AL12+Table_SiteMilestoneTrackingSummary[[#This Row],[SiteAcquired_AC]]</f>
        <v>0</v>
      </c>
      <c r="AM13" s="100">
        <f>Table_SiteMilestoneTrackingSummary[[#This Row],[ReadyForCW_AC]]*$AM$2</f>
        <v>0</v>
      </c>
      <c r="AN13" s="100">
        <f>AN12+Table_SiteMilestoneTrackingSummary[[#This Row],[c2a_SiteCWReadinessEV]]</f>
        <v>0</v>
      </c>
      <c r="AO13" s="96">
        <f>SUMIFS(Table_SiteMilestoneTracking[c2a_SiteCWReadinessCost_BL],
Table_SiteMilestoneTracking[SiteReadyForCW_BL],"&gt;="&amp;Table_SiteMilestoneTrackingSummary[[#This Row],[StartDate]:[StartDate]],
Table_SiteMilestoneTracking[SiteReadyForCW_BL],"&lt;"&amp;Table_SiteMilestoneTrackingSummary[[#This Row],[EndDate]:[EndDate]]+1)</f>
        <v>0</v>
      </c>
      <c r="AP13" s="100">
        <f>AP12+Table_SiteMilestoneTrackingSummary[[#This Row],[c2a_SiteCWReadinessCostBL]]</f>
        <v>0</v>
      </c>
      <c r="AQ13" s="96">
        <f>SUMIFS(Table_SiteMilestoneTracking[c2a_SiteCWReadinessCost_AC],
Table_SiteMilestoneTracking[SiteReadyForCW_AC],"&gt;="&amp;Table_SiteMilestoneTrackingSummary[[#This Row],[StartDate]:[StartDate]],
Table_SiteMilestoneTracking[SiteReadyForCW_AC],"&lt;"&amp;Table_SiteMilestoneTrackingSummary[[#This Row],[EndDate]:[EndDate]]+1)</f>
        <v>0</v>
      </c>
      <c r="AR13" s="100">
        <f>AR12+Table_SiteMilestoneTrackingSummary[[#This Row],[c2a_SiteCWReadinessCostAC]]</f>
        <v>0</v>
      </c>
      <c r="AS13" s="96">
        <f>COUNTIFS(Table_SiteMilestoneTracking[SiteReadyForCW_BL],"&gt;="&amp;Table_SiteMilestoneTrackingSummary[[#This Row],[StartDate]:[StartDate]],
Table_SiteMilestoneTracking[SiteReadyForCW_BL],"&lt;"&amp;Table_SiteMilestoneTrackingSummary[[#This Row],[EndDate]:[EndDate]]+1)</f>
        <v>0</v>
      </c>
      <c r="AT13" s="100">
        <f>AT12+Table_SiteMilestoneTrackingSummary[[#This Row],[ReadyForCW_BL]]</f>
        <v>0</v>
      </c>
      <c r="AU13" s="96">
        <f>COUNTIFS(Table_SiteMilestoneTracking[SiteReadyForCW_AC],"&gt;="&amp;Table_SiteMilestoneTrackingSummary[[#This Row],[StartDate]:[StartDate]],
Table_SiteMilestoneTracking[SiteReadyForCW_AC],"&lt;"&amp;Table_SiteMilestoneTrackingSummary[[#This Row],[EndDate]:[EndDate]]+1)</f>
        <v>0</v>
      </c>
      <c r="AV13" s="100">
        <f>AV12+Table_SiteMilestoneTrackingSummary[[#This Row],[ReadyForCW_AC]]</f>
        <v>0</v>
      </c>
      <c r="AW13" s="100">
        <f>$AW$2*Table_SiteMilestoneTrackingSummary[[#This Row],[ReadyForPower_AC]]</f>
        <v>0</v>
      </c>
      <c r="AX13" s="100">
        <f>AX12+Table_SiteMilestoneTrackingSummary[[#This Row],[c3_CivilWorksEV]]</f>
        <v>0</v>
      </c>
      <c r="AY13" s="96">
        <f>SUMIFS(Table_SiteMilestoneTracking[c3_CivilWorksCostBL],
Table_SiteMilestoneTracking[SiteReadyForPower_BL],"&gt;="&amp;Table_SiteMilestoneTrackingSummary[[#This Row],[StartDate]:[StartDate]],
Table_SiteMilestoneTracking[SiteReadyForPower_BL],"&lt;"&amp;Table_SiteMilestoneTrackingSummary[[#This Row],[EndDate]:[EndDate]]+1)</f>
        <v>0</v>
      </c>
      <c r="AZ13" s="100">
        <f>AZ12+Table_SiteMilestoneTrackingSummary[[#This Row],[c3_CivilWorksCostBL]]</f>
        <v>0</v>
      </c>
      <c r="BA13" s="96">
        <f>SUMIFS(Table_SiteMilestoneTracking[c3_CivilWorksCostAC],
Table_SiteMilestoneTracking[SiteReadyForPower_AC],"&gt;="&amp;Table_SiteMilestoneTrackingSummary[[#This Row],[StartDate]:[StartDate]],
Table_SiteMilestoneTracking[SiteReadyForPower_AC],"&lt;"&amp;Table_SiteMilestoneTrackingSummary[[#This Row],[EndDate]:[EndDate]]+1)</f>
        <v>0</v>
      </c>
      <c r="BB13" s="100">
        <f>BB12+Table_SiteMilestoneTrackingSummary[[#This Row],[c3_CivilWorksCostAC]]</f>
        <v>0</v>
      </c>
      <c r="BC13" s="96">
        <f>COUNTIFS(Table_SiteMilestoneTracking[SiteReadyForPower_BL],"&gt;="&amp;Table_SiteMilestoneTrackingSummary[[#This Row],[StartDate]:[StartDate]],
Table_SiteMilestoneTracking[SiteReadyForPower_BL],"&lt;"&amp;Table_SiteMilestoneTrackingSummary[[#This Row],[EndDate]:[EndDate]]+1)</f>
        <v>0</v>
      </c>
      <c r="BD13" s="100">
        <f>BD12+Table_SiteMilestoneTrackingSummary[[#This Row],[ReadyForPower_BL]]</f>
        <v>0</v>
      </c>
      <c r="BE13" s="96">
        <f>COUNTIFS(Table_SiteMilestoneTracking[SiteReadyForPower_AC],"&gt;="&amp;Table_SiteMilestoneTrackingSummary[[#This Row],[StartDate]:[StartDate]],
Table_SiteMilestoneTracking[SiteReadyForPower_AC],"&lt;"&amp;Table_SiteMilestoneTrackingSummary[[#This Row],[EndDate]:[EndDate]]+1)</f>
        <v>0</v>
      </c>
      <c r="BF13" s="100">
        <f>BF12+Table_SiteMilestoneTrackingSummary[[#This Row],[ReadyForPower_AC]]</f>
        <v>0</v>
      </c>
      <c r="BG13" s="100">
        <f>$BG$2*Table_SiteMilestoneTrackingSummary[[#This Row],[TXReady_AC]]</f>
        <v>0</v>
      </c>
      <c r="BH13" s="100">
        <f>BH12+Table_SiteMilestoneTrackingSummary[[#This Row],[c4_PowerInstallEV]]</f>
        <v>0</v>
      </c>
      <c r="BI13" s="96">
        <f>SUMIFS(Table_SiteMilestoneTracking[c4_PowerInstallCostBL],
Table_SiteMilestoneTracking[TXReady_BL],"&gt;="&amp;Table_SiteMilestoneTrackingSummary[[#This Row],[StartDate]:[StartDate]],
Table_SiteMilestoneTracking[TXReady_BL],"&lt;"&amp;Table_SiteMilestoneTrackingSummary[[#This Row],[EndDate]:[EndDate]]+1)</f>
        <v>0</v>
      </c>
      <c r="BJ13" s="100">
        <f>BJ12+Table_SiteMilestoneTrackingSummary[[#This Row],[c4_PowerInstallCostBL]]</f>
        <v>0</v>
      </c>
      <c r="BK13" s="96">
        <f>SUMIFS(Table_SiteMilestoneTracking[c4_PowerInstallCostAC],
Table_SiteMilestoneTracking[TXReady_AC],"&gt;="&amp;Table_SiteMilestoneTrackingSummary[[#This Row],[StartDate]:[StartDate]],
Table_SiteMilestoneTracking[TXReady_AC],"&lt;"&amp;Table_SiteMilestoneTrackingSummary[[#This Row],[EndDate]:[EndDate]]+1)</f>
        <v>0</v>
      </c>
      <c r="BL13" s="100">
        <f>BL12+Table_SiteMilestoneTrackingSummary[[#This Row],[c4_PowerInstallCostAC]]</f>
        <v>0</v>
      </c>
      <c r="BM13" s="96">
        <f>COUNTIFS(Table_SiteMilestoneTracking[TXReady_BL],"&gt;="&amp;Table_SiteMilestoneTrackingSummary[[#This Row],[StartDate]:[StartDate]],
Table_SiteMilestoneTracking[TXReady_BL],"&lt;"&amp;Table_SiteMilestoneTrackingSummary[[#This Row],[EndDate]:[EndDate]]+1)</f>
        <v>0</v>
      </c>
      <c r="BN13" s="100">
        <f>BN12+Table_SiteMilestoneTrackingSummary[[#This Row],[TXReady_BL]]</f>
        <v>0</v>
      </c>
      <c r="BO13" s="100">
        <f>COUNTIFS(Table_SiteMilestoneTracking[TXReady_AC],"&gt;="&amp;Table_SiteMilestoneTrackingSummary[[#This Row],[StartDate]:[StartDate]],Table_SiteMilestoneTracking[TXReady_AC],"&lt;"&amp;Table_SiteMilestoneTrackingSummary[[#This Row],[EndDate]:[EndDate]]+1)</f>
        <v>0</v>
      </c>
      <c r="BP13" s="100">
        <f>BP12+Table_SiteMilestoneTrackingSummary[[#This Row],[TXReady_AC]]</f>
        <v>0</v>
      </c>
      <c r="BQ13" s="100">
        <f>$BQ$2*Table_SiteMilestoneTrackingSummary[[#This Row],[ReadyForInstallation_AC]]</f>
        <v>0</v>
      </c>
      <c r="BR13" s="100">
        <f>BR12+Table_SiteMilestoneTrackingSummary[[#This Row],[c5_TxIntegrationEV]]</f>
        <v>0</v>
      </c>
      <c r="BS13" s="96">
        <f>SUMIFS(Table_SiteMilestoneTracking[c5_TxintegrationCostBL],
Table_SiteMilestoneTracking[SiteReadyForInstallation_BL],"&gt;="&amp;Table_SiteMilestoneTrackingSummary[[#This Row],[StartDate]:[StartDate]],
Table_SiteMilestoneTracking[SiteReadyForInstallation_BL],"&lt;"&amp;Table_SiteMilestoneTrackingSummary[[#This Row],[EndDate]:[EndDate]]+1)</f>
        <v>0</v>
      </c>
      <c r="BT13" s="100">
        <f>BT12+Table_SiteMilestoneTrackingSummary[[#This Row],[c5_TxIntegrationCostBL]]</f>
        <v>0</v>
      </c>
      <c r="BU13" s="96">
        <f>SUMIFS(Table_SiteMilestoneTracking[c5_TxintegrationCostAC],
Table_SiteMilestoneTracking[SiteReadyForInstallation_AC],"&gt;="&amp;Table_SiteMilestoneTrackingSummary[[#This Row],[StartDate]:[StartDate]],
Table_SiteMilestoneTracking[SiteReadyForInstallation_AC],"&lt;"&amp;Table_SiteMilestoneTrackingSummary[[#This Row],[EndDate]:[EndDate]]+1)</f>
        <v>0</v>
      </c>
      <c r="BV13" s="100">
        <f>BV12+Table_SiteMilestoneTrackingSummary[[#This Row],[c5_TxIntegrationCostAC]]</f>
        <v>0</v>
      </c>
      <c r="BW13" s="96">
        <f>COUNTIFS(Table_SiteMilestoneTracking[SiteReadyForInstallation_BL],"&gt;="&amp;Table_SiteMilestoneTrackingSummary[[#This Row],[StartDate]:[StartDate]],
Table_SiteMilestoneTracking[SiteReadyForInstallation_BL],"&lt;"&amp;Table_SiteMilestoneTrackingSummary[[#This Row],[EndDate]:[EndDate]]+1)</f>
        <v>0</v>
      </c>
      <c r="BX13" s="100">
        <f>BX12+Table_SiteMilestoneTrackingSummary[[#This Row],[ReadyForInstallation_BL]]</f>
        <v>0</v>
      </c>
      <c r="BY13" s="96">
        <f>COUNTIFS(Table_SiteMilestoneTracking[SiteReadyForInstallation_AC],"&gt;="&amp;Table_SiteMilestoneTrackingSummary[[#This Row],[StartDate]:[StartDate]],
Table_SiteMilestoneTracking[SiteReadyForInstallation_AC],"&lt;"&amp;Table_SiteMilestoneTrackingSummary[[#This Row],[EndDate]:[EndDate]]+1)</f>
        <v>0</v>
      </c>
      <c r="BZ13" s="100">
        <f>BZ12+Table_SiteMilestoneTrackingSummary[[#This Row],[ReadyForInstallation_AC]]</f>
        <v>0</v>
      </c>
      <c r="CA13" s="100">
        <f>$CA$2*Table_SiteMilestoneTrackingSummary[[#This Row],[ReadyForIntegration_AC]]</f>
        <v>0</v>
      </c>
      <c r="CB13" s="100">
        <f>CB12+Table_SiteMilestoneTrackingSummary[[#This Row],[c6_InstallationEV]]</f>
        <v>0</v>
      </c>
      <c r="CC13" s="96">
        <f>SUMIFS(Table_SiteMilestoneTracking[c6_InstallationCostBL],
Table_SiteMilestoneTracking[SiteReadyForIntegration_BL],"&gt;="&amp;Table_SiteMilestoneTrackingSummary[[#This Row],[StartDate]:[StartDate]],
Table_SiteMilestoneTracking[SiteReadyForIntegration_BL],"&lt;"&amp;Table_SiteMilestoneTrackingSummary[[#This Row],[EndDate]:[EndDate]]+1)</f>
        <v>0</v>
      </c>
      <c r="CD13" s="100">
        <f>CD12+Table_SiteMilestoneTrackingSummary[[#This Row],[c6_InstallationCostBL]]</f>
        <v>0</v>
      </c>
      <c r="CE13" s="96">
        <f>SUMIFS(Table_SiteMilestoneTracking[c6_InstallationCostAC],
Table_SiteMilestoneTracking[SiteReadyForIntegration_AC],"&gt;="&amp;Table_SiteMilestoneTrackingSummary[[#This Row],[StartDate]:[StartDate]],
Table_SiteMilestoneTracking[SiteReadyForIntegration_AC],"&lt;"&amp;Table_SiteMilestoneTrackingSummary[[#This Row],[EndDate]:[EndDate]]+1)</f>
        <v>0</v>
      </c>
      <c r="CF13" s="100">
        <f>CF12+Table_SiteMilestoneTrackingSummary[[#This Row],[c6_InstallationCostAC]]</f>
        <v>0</v>
      </c>
      <c r="CG13" s="96">
        <f>COUNTIFS(Table_SiteMilestoneTracking[SiteReadyForIntegration_BL],"&gt;="&amp;Table_SiteMilestoneTrackingSummary[[#This Row],[StartDate]:[StartDate]],
Table_SiteMilestoneTracking[SiteReadyForIntegration_BL],"&lt;"&amp;Table_SiteMilestoneTrackingSummary[[#This Row],[EndDate]:[EndDate]]+1)</f>
        <v>0</v>
      </c>
      <c r="CH13" s="100">
        <f>CH12+Table_SiteMilestoneTrackingSummary[[#This Row],[ReadyForIntegration_BL]]</f>
        <v>0</v>
      </c>
      <c r="CI13" s="96">
        <f>COUNTIFS(Table_SiteMilestoneTracking[SiteReadyForIntegration_AC],"&gt;="&amp;Table_SiteMilestoneTrackingSummary[[#This Row],[StartDate]:[StartDate]],
Table_SiteMilestoneTracking[SiteReadyForIntegration_AC],"&lt;"&amp;Table_SiteMilestoneTrackingSummary[[#This Row],[EndDate]:[EndDate]]+1)</f>
        <v>0</v>
      </c>
      <c r="CJ13" s="100">
        <f>CJ12+Table_SiteMilestoneTrackingSummary[[#This Row],[ReadyForIntegration_AC]]</f>
        <v>0</v>
      </c>
      <c r="CK13" s="100">
        <f>$CK$2*Table_SiteMilestoneTrackingSummary[[#This Row],[SiteOnAir_AC]]</f>
        <v>0</v>
      </c>
      <c r="CL13" s="100">
        <f>CL12+Table_SiteMilestoneTrackingSummary[[#This Row],[c7_IntegrationEV]]</f>
        <v>0</v>
      </c>
      <c r="CM13" s="96">
        <f>SUMIFS(Table_SiteMilestoneTracking[c7_IntegrationCostBL],
Table_SiteMilestoneTracking[SiteOnAir_BL],"&gt;="&amp;Table_SiteMilestoneTrackingSummary[[#This Row],[StartDate]:[StartDate]],
Table_SiteMilestoneTracking[SiteOnAir_BL],"&lt;"&amp;Table_SiteMilestoneTrackingSummary[[#This Row],[EndDate]:[EndDate]]+1)</f>
        <v>0</v>
      </c>
      <c r="CN13" s="100">
        <f>CN12+Table_SiteMilestoneTrackingSummary[[#This Row],[c7_IntegrationCostBL]]</f>
        <v>0</v>
      </c>
      <c r="CO13" s="96">
        <f>SUMIFS(Table_SiteMilestoneTracking[c7_IntegrationCostAC],
Table_SiteMilestoneTracking[SiteOnAir_AC],"&gt;="&amp;Table_SiteMilestoneTrackingSummary[[#This Row],[StartDate]:[StartDate]],
Table_SiteMilestoneTracking[SiteOnAir_AC],"&lt;"&amp;Table_SiteMilestoneTrackingSummary[[#This Row],[EndDate]:[EndDate]]+1)</f>
        <v>0</v>
      </c>
      <c r="CP13" s="100">
        <f>CP12+Table_SiteMilestoneTrackingSummary[[#This Row],[c7_IntegrationCostAC]]</f>
        <v>0</v>
      </c>
      <c r="CQ13" s="96">
        <f>COUNTIFS(Table_SiteMilestoneTracking[SiteOnAir_BL],"&gt;="&amp;Table_SiteMilestoneTrackingSummary[[#This Row],[StartDate]:[StartDate]],
Table_SiteMilestoneTracking[SiteOnAir_BL],"&lt;"&amp;Table_SiteMilestoneTrackingSummary[[#This Row],[EndDate]:[EndDate]]+1)</f>
        <v>0</v>
      </c>
      <c r="CR13" s="100">
        <f>CR12+Table_SiteMilestoneTrackingSummary[[#This Row],[SiteOnAir_BL]]</f>
        <v>0</v>
      </c>
      <c r="CS13" s="96">
        <f>COUNTIFS(Table_SiteMilestoneTracking[SiteOnAir_AC],"&gt;="&amp;Table_SiteMilestoneTrackingSummary[[#This Row],[StartDate]:[StartDate]],
Table_SiteMilestoneTracking[SiteOnAir_AC],"&lt;"&amp;Table_SiteMilestoneTrackingSummary[[#This Row],[EndDate]:[EndDate]]+1)</f>
        <v>0</v>
      </c>
      <c r="CT13" s="100">
        <f>CT12+Table_SiteMilestoneTrackingSummary[[#This Row],[SiteOnAir_AC]]</f>
        <v>0</v>
      </c>
      <c r="CU13" s="100">
        <f>$CU$2*Table_SiteMilestoneTrackingSummary[[#This Row],[SiteAccepted_AC]]</f>
        <v>0</v>
      </c>
      <c r="CV13" s="100">
        <f>CV12+Table_SiteMilestoneTrackingSummary[[#This Row],[c8_AcceptanceEV]]</f>
        <v>0</v>
      </c>
      <c r="CW13" s="96">
        <f>SUMIFS(Table_SiteMilestoneTracking[c8_AcceptanceCostBL],
Table_SiteMilestoneTracking[SiteAccepted_BL],"&gt;="&amp;Table_SiteMilestoneTrackingSummary[[#This Row],[StartDate]:[StartDate]],
Table_SiteMilestoneTracking[SiteAccepted_BL],"&lt;"&amp;Table_SiteMilestoneTrackingSummary[[#This Row],[EndDate]:[EndDate]]+1)</f>
        <v>0</v>
      </c>
      <c r="CX13" s="100">
        <f>CX12+Table_SiteMilestoneTrackingSummary[[#This Row],[c8_AcceptanceCostBL]]</f>
        <v>0</v>
      </c>
      <c r="CY13" s="96">
        <f>SUMIFS(Table_SiteMilestoneTracking[c8_AcceptanceCostAC],
Table_SiteMilestoneTracking[SiteAccepted_AC],"&gt;="&amp;Table_SiteMilestoneTrackingSummary[[#This Row],[StartDate]:[StartDate]],
Table_SiteMilestoneTracking[SiteAccepted_AC],"&lt;"&amp;Table_SiteMilestoneTrackingSummary[[#This Row],[EndDate]:[EndDate]]+1)</f>
        <v>0</v>
      </c>
      <c r="CZ13" s="100">
        <f>CZ12+Table_SiteMilestoneTrackingSummary[[#This Row],[c8_AcceptanceCostAC]]</f>
        <v>0</v>
      </c>
      <c r="DA13" s="96">
        <f>COUNTIFS(Table_SiteMilestoneTracking[SiteAccepted_BL],"&gt;="&amp;Table_SiteMilestoneTrackingSummary[[#This Row],[StartDate]:[StartDate]],
Table_SiteMilestoneTracking[SiteAccepted_BL],"&lt;"&amp;Table_SiteMilestoneTrackingSummary[[#This Row],[EndDate]:[EndDate]]+1)</f>
        <v>0</v>
      </c>
      <c r="DB13" s="100">
        <f>DB12+Table_SiteMilestoneTrackingSummary[[#This Row],[SiteAccepted_BL]]</f>
        <v>0</v>
      </c>
      <c r="DC13" s="96">
        <f>COUNTIFS(Table_SiteMilestoneTracking[SiteAccepted_AC],"&gt;="&amp;Table_SiteMilestoneTrackingSummary[[#This Row],[StartDate]:[StartDate]],
Table_SiteMilestoneTracking[SiteAccepted_AC],"&lt;"&amp;Table_SiteMilestoneTrackingSummary[[#This Row],[EndDate]:[EndDate]]+1)</f>
        <v>0</v>
      </c>
      <c r="DD13" s="100">
        <f>DD12+Table_SiteMilestoneTrackingSummary[[#This Row],[SiteAccepted_AC]]</f>
        <v>0</v>
      </c>
      <c r="DE13" s="100">
        <f>$DE$2*Table_SiteMilestoneTrackingSummary[[#This Row],[SiteInOperations_AC]]</f>
        <v>0</v>
      </c>
      <c r="DF13" s="100">
        <f>DF12+Table_SiteMilestoneTrackingSummary[[#This Row],[c9_HandoverEV]]</f>
        <v>0</v>
      </c>
      <c r="DG13" s="96">
        <f>SUMIFS(Table_SiteMilestoneTracking[c9_HandoverCostBL],
Table_SiteMilestoneTracking[SiteInOperations_BL],"&gt;="&amp;Table_SiteMilestoneTrackingSummary[[#This Row],[StartDate]:[StartDate]],
Table_SiteMilestoneTracking[SiteInOperations_BL],"&lt;"&amp;Table_SiteMilestoneTrackingSummary[[#This Row],[EndDate]:[EndDate]]+1)</f>
        <v>0</v>
      </c>
      <c r="DH13" s="100">
        <f>DH12+Table_SiteMilestoneTrackingSummary[[#This Row],[c9_HandoverCostBL2]]</f>
        <v>0</v>
      </c>
      <c r="DI13" s="96">
        <f>SUMIFS(Table_SiteMilestoneTracking[c9_HandoverCostAC],
Table_SiteMilestoneTracking[SiteInOperations_AC],"&gt;="&amp;Table_SiteMilestoneTrackingSummary[[#This Row],[StartDate]:[StartDate]],
Table_SiteMilestoneTracking[SiteInOperations_AC],"&lt;"&amp;Table_SiteMilestoneTrackingSummary[[#This Row],[EndDate]:[EndDate]]+1)</f>
        <v>0</v>
      </c>
      <c r="DJ13" s="100">
        <f>DJ12+Table_SiteMilestoneTrackingSummary[[#This Row],[c9_HandoverCostAC]]</f>
        <v>0</v>
      </c>
      <c r="DK13" s="96">
        <f>COUNTIFS(Table_SiteMilestoneTracking[SiteInOperations_BL],"&gt;="&amp;Table_SiteMilestoneTrackingSummary[[#This Row],[StartDate]:[StartDate]],
Table_SiteMilestoneTracking[SiteInOperations_BL],"&lt;"&amp;Table_SiteMilestoneTrackingSummary[[#This Row],[EndDate]:[EndDate]]+1)</f>
        <v>0</v>
      </c>
      <c r="DL13" s="100">
        <f>DL12+Table_SiteMilestoneTrackingSummary[[#This Row],[SiteInOperations_BL]]</f>
        <v>0</v>
      </c>
      <c r="DM13" s="96">
        <f>COUNTIFS(Table_SiteMilestoneTracking[SiteInOperations_AC],"&gt;="&amp;Table_SiteMilestoneTrackingSummary[[#This Row],[StartDate]:[StartDate]],
Table_SiteMilestoneTracking[SiteInOperations_AC],"&lt;"&amp;Table_SiteMilestoneTrackingSummary[[#This Row],[EndDate]:[EndDate]]+1)</f>
        <v>0</v>
      </c>
      <c r="DN13" s="100">
        <f>DN12+Table_SiteMilestoneTrackingSummary[[#This Row],[SiteInOperations_AC]]</f>
        <v>0</v>
      </c>
      <c r="DO13" s="59">
        <f>Table_SiteMilestoneTrackingSummary[[#This Row],[c0_SiteDesignEV(SUM)]]+Table_SiteMilestoneTrackingSummary[[#This Row],[c1_SiteSurveyEV(SUM)]]+Table_SiteMilestoneTrackingSummary[[#This Row],[c2_SiteAcquisitionEV(SUM)]]+Table_SiteMilestoneTrackingSummary[[#This Row],[c2a_SiteCWReadinessEV(SUM)]]+Table_SiteMilestoneTrackingSummary[[#This Row],[c3_CivilWorksEV(SUM)]]+Table_SiteMilestoneTrackingSummary[[#This Row],[c4_PowerInstallEV(SUM)]]+Table_SiteMilestoneTrackingSummary[[#This Row],[c5_TxIntegrationEV(SUM)]]+Table_SiteMilestoneTrackingSummary[[#This Row],[c6_InstallationEV(SUM)]]+Table_SiteMilestoneTrackingSummary[[#This Row],[c7_IntegrationEV(SUM)]]+Table_SiteMilestoneTrackingSummary[[#This Row],[c8_AcceptanceEV(SUM)]]+Table_SiteMilestoneTrackingSummary[[#This Row],[c9_HandoverEV(SUM)]]</f>
        <v>0</v>
      </c>
      <c r="DP13" s="59">
        <f>Table_SiteMilestoneTrackingSummary[[#This Row],[c0_SiteDesignCostBL(SUM)]]+Table_SiteMilestoneTrackingSummary[[#This Row],[c1_SiteSurveyCostBL(SUM)]]+Table_SiteMilestoneTrackingSummary[[#This Row],[c2_SiteAcquisitionCostBL(SUM)]]+Table_SiteMilestoneTrackingSummary[[#This Row],[c2a_SiteCWReadinessCostBL(SUM)]]+Table_SiteMilestoneTrackingSummary[[#This Row],[c3_CivilWorksCostBL(SUM)]]+Table_SiteMilestoneTrackingSummary[[#This Row],[c4_PowerInstallCostBL(SUM)]]+Table_SiteMilestoneTrackingSummary[[#This Row],[c5_TxIntegrationCostBL(SUM)]]+Table_SiteMilestoneTrackingSummary[[#This Row],[c6_InstallationCostBL(SUM)]]+Table_SiteMilestoneTrackingSummary[[#This Row],[c7_IntegrationCostBL(SUM)]]+Table_SiteMilestoneTrackingSummary[[#This Row],[c8_AcceptanceCostBL(SUM)]]+Table_SiteMilestoneTrackingSummary[[#This Row],[c9_HandoverCostBL(SUM)]]</f>
        <v>0</v>
      </c>
      <c r="DQ13" s="59">
        <f>Table_SiteMilestoneTrackingSummary[[#This Row],[c0_SiteDesignCostAC(SUM)]]+Table_SiteMilestoneTrackingSummary[[#This Row],[c1_SiteSurveyCostAC(SUM)]]+Table_SiteMilestoneTrackingSummary[[#This Row],[c2_SiteAcquisitionCostAC(SUM)]]+Table_SiteMilestoneTrackingSummary[[#This Row],[c2a_SiteCWReadinessCostAC(SUM)]]+Table_SiteMilestoneTrackingSummary[[#This Row],[c3_CivilWorksCostAC(SUM)]]+Table_SiteMilestoneTrackingSummary[[#This Row],[c4_PowerInstallCostAC(SUM)]]+Table_SiteMilestoneTrackingSummary[[#This Row],[c5_TxIntegrationCostAC(SUM)]]+Table_SiteMilestoneTrackingSummary[[#This Row],[c6_InstallationCostAC(SUM)]]+Table_SiteMilestoneTrackingSummary[[#This Row],[c7_IntegrationCostAC(SUM)]]+Table_SiteMilestoneTrackingSummary[[#This Row],[c8_AcceptanceCostAC(SUM)]]+Table_SiteMilestoneTrackingSummary[[#This Row],[c9_HandoverCostAC(SUM)]]</f>
        <v>0</v>
      </c>
      <c r="DR13" s="59">
        <f>Table_SiteMilestoneTrackingSummary[[#This Row],[AccumulatedEV]]-Table_SiteMilestoneTrackingSummary[[#This Row],[AccumulatedPV]]</f>
        <v>0</v>
      </c>
      <c r="DS13" s="59">
        <f>Table_SiteMilestoneTrackingSummary[[#This Row],[AccumulatedEV]]-Table_SiteMilestoneTrackingSummary[[#This Row],[AccumulatedAC]]</f>
        <v>0</v>
      </c>
      <c r="DT13" s="58" t="str">
        <f>IFERROR(Table_SiteMilestoneTrackingSummary[[#This Row],[AccumulatedEV]]/Table_SiteMilestoneTrackingSummary[[#This Row],[AccumulatedPV]],"/")</f>
        <v>/</v>
      </c>
      <c r="DU13" s="101" t="str">
        <f>IFERROR(Table_SiteMilestoneTrackingSummary[[#This Row],[AccumulatedEV]]/Table_SiteMilestoneTrackingSummary[[#This Row],[AccumulatedAC]],"/")</f>
        <v>/</v>
      </c>
    </row>
    <row r="14" spans="1:125" outlineLevel="1" x14ac:dyDescent="0.3">
      <c r="A14" s="79">
        <v>2020</v>
      </c>
      <c r="B14" s="79">
        <v>11</v>
      </c>
      <c r="C14" s="95">
        <f>DATE(Table_SiteMilestoneTrackingSummary[[#This Row],[Year]],1,-2)-WEEKDAY(DATE(Table_SiteMilestoneTrackingSummary[[#This Row],[Year]],1,3))+Table_SiteMilestoneTrackingSummary[[#This Row],[Week]]*7</f>
        <v>43899</v>
      </c>
      <c r="D14" s="95">
        <f>Table_SiteMilestoneTrackingSummary[[#This Row],[StartDate]]+6</f>
        <v>43905</v>
      </c>
      <c r="E14" s="100">
        <f>COUNTIFS(Table_SiteMilestoneTracking[SiteDesignStarted_BL],"&gt;="&amp;Table_SiteMilestoneTrackingSummary[[#This Row],[StartDate]:[StartDate]],Table_SiteMilestoneTracking[SiteDesignStarted_BL],"&lt;"&amp;Table_SiteMilestoneTrackingSummary[[#This Row],[EndDate]:[EndDate]]+1)</f>
        <v>0</v>
      </c>
      <c r="F14" s="100">
        <f>F13+Table_SiteMilestoneTrackingSummary[[#This Row],[SiteDesignStarted_BL]]</f>
        <v>0</v>
      </c>
      <c r="G14" s="100">
        <f>COUNTIFS(Table_SiteMilestoneTracking[SiteDesignStarted_AC],"&gt;="&amp;Table_SiteMilestoneTrackingSummary[[#This Row],[StartDate]:[StartDate]],Table_SiteMilestoneTracking[SiteDesignStarted_AC],"&lt;"&amp;Table_SiteMilestoneTrackingSummary[[#This Row],[EndDate]:[EndDate]]+1)</f>
        <v>0</v>
      </c>
      <c r="H14" s="100">
        <f>H13+Table_SiteMilestoneTrackingSummary[[#This Row],[SiteDesignStarted_AC]]</f>
        <v>0</v>
      </c>
      <c r="I14" s="100">
        <f>Table_SiteMilestoneTrackingSummary[[#This Row],[SiteDesignReady_AC]]*$I$2</f>
        <v>0</v>
      </c>
      <c r="J14" s="100">
        <f>J13+Table_SiteMilestoneTrackingSummary[[#This Row],[c0_SiteDesignEV]]</f>
        <v>0</v>
      </c>
      <c r="K14" s="97">
        <f>SUMIFS(Table_SiteMilestoneTracking[c0_SiteDesignCostBL],
Table_SiteMilestoneTracking[SiteDesignReady_BL],"&gt;="&amp;Table_SiteMilestoneTrackingSummary[[#This Row],[StartDate]:[StartDate]],
Table_SiteMilestoneTracking[SiteDesignReady_BL],"&lt;"&amp;Table_SiteMilestoneTrackingSummary[[#This Row],[EndDate]:[EndDate]]+1)</f>
        <v>0</v>
      </c>
      <c r="L14" s="59">
        <f>L13+Table_SiteMilestoneTrackingSummary[[#This Row],[c0_SiteDesignCostBL]]</f>
        <v>0</v>
      </c>
      <c r="M14" s="97">
        <f>SUMIFS(Table_SiteMilestoneTracking[c0_SiteDesignCostAC],
Table_SiteMilestoneTracking[SiteDesignReady_AC],"&gt;="&amp;Table_SiteMilestoneTrackingSummary[[#This Row],[StartDate]:[StartDate]],
Table_SiteMilestoneTracking[SiteDesignReady_AC],"&lt;"&amp;Table_SiteMilestoneTrackingSummary[[#This Row],[EndDate]:[EndDate]]+1)</f>
        <v>0</v>
      </c>
      <c r="N14" s="59">
        <f>N13+Table_SiteMilestoneTrackingSummary[[#This Row],[c0_SiteDesignCostAC]]</f>
        <v>0</v>
      </c>
      <c r="O14" s="96">
        <f>COUNTIFS(Table_SiteMilestoneTracking[SiteDesignReady_BL],"&gt;="&amp;Table_SiteMilestoneTrackingSummary[[#This Row],[StartDate]:[StartDate]],
Table_SiteMilestoneTracking[SiteDesignReady_BL],"&lt;"&amp;Table_SiteMilestoneTrackingSummary[[#This Row],[EndDate]:[EndDate]]+1)</f>
        <v>0</v>
      </c>
      <c r="P14" s="100">
        <f>P13+Table_SiteMilestoneTrackingSummary[[#This Row],[SiteDesignReady_BL]]</f>
        <v>0</v>
      </c>
      <c r="Q14" s="100">
        <f>COUNTIFS(Table_SiteMilestoneTracking[SiteDesignReady_AC],"&gt;="&amp;Table_SiteMilestoneTrackingSummary[[#This Row],[StartDate]:[StartDate]],Table_SiteMilestoneTracking[SiteDesignReady_AC],"&lt;"&amp;Table_SiteMilestoneTrackingSummary[[#This Row],[EndDate]:[EndDate]]+1)</f>
        <v>0</v>
      </c>
      <c r="R14" s="100">
        <f>R13+Table_SiteMilestoneTrackingSummary[[#This Row],[SiteDesignReady_AC]]</f>
        <v>0</v>
      </c>
      <c r="S14" s="100">
        <f>Table_SiteMilestoneTrackingSummary[[#This Row],[ReadyForCW_AC]]*$S$2</f>
        <v>0</v>
      </c>
      <c r="T14" s="100">
        <f>T13+Table_SiteMilestoneTrackingSummary[[#This Row],[c1_SiteSurveyEV]]</f>
        <v>0</v>
      </c>
      <c r="U14" s="96">
        <f>SUMIFS(Table_SiteMilestoneTracking[c1_SiteSurveyCostBL],
Table_SiteMilestoneTracking[SiteSurveyCompleted_BL],"&gt;="&amp;Table_SiteMilestoneTrackingSummary[[#This Row],[StartDate]:[StartDate]],
Table_SiteMilestoneTracking[SiteSurveyCompleted_BL],"&lt;"&amp;Table_SiteMilestoneTrackingSummary[[#This Row],[EndDate]:[EndDate]]+1)</f>
        <v>0</v>
      </c>
      <c r="V14" s="100">
        <f>V13+Table_SiteMilestoneTrackingSummary[[#This Row],[c1_SiteSurveyCostBL]]</f>
        <v>0</v>
      </c>
      <c r="W14" s="96">
        <f>SUMIFS(Table_SiteMilestoneTracking[c1_SiteSurveyCostAC],
Table_SiteMilestoneTracking[SiteSurveyCompleted_AC],"&gt;="&amp;Table_SiteMilestoneTrackingSummary[[#This Row],[StartDate]:[StartDate]],
Table_SiteMilestoneTracking[SiteSurveyCompleted_AC],"&lt;"&amp;Table_SiteMilestoneTrackingSummary[[#This Row],[EndDate]:[EndDate]]+1)</f>
        <v>0</v>
      </c>
      <c r="X14" s="100">
        <f>X13+Table_SiteMilestoneTrackingSummary[[#This Row],[c1_SiteSurveyCostAC]]</f>
        <v>0</v>
      </c>
      <c r="Y14" s="96">
        <f>COUNTIFS(Table_SiteMilestoneTracking[SiteSurveyCompleted_BL],"&gt;="&amp;Table_SiteMilestoneTrackingSummary[[#This Row],[StartDate]:[StartDate]],
Table_SiteMilestoneTracking[SiteSurveyCompleted_BL],"&lt;"&amp;Table_SiteMilestoneTrackingSummary[[#This Row],[EndDate]:[EndDate]]+1)</f>
        <v>0</v>
      </c>
      <c r="Z14" s="100">
        <f>Z13+Table_SiteMilestoneTrackingSummary[[#This Row],[SiteSurveyCompleted_BL]]</f>
        <v>0</v>
      </c>
      <c r="AA14" s="96">
        <f>COUNTIFS(Table_SiteMilestoneTracking[SiteSurveyCompleted_AC],"&gt;="&amp;Table_SiteMilestoneTrackingSummary[[#This Row],[StartDate]:[StartDate]],
Table_SiteMilestoneTracking[SiteSurveyCompleted_AC],"&lt;"&amp;Table_SiteMilestoneTrackingSummary[[#This Row],[EndDate]:[EndDate]]+1)</f>
        <v>0</v>
      </c>
      <c r="AB14" s="100">
        <f>AB13+Table_SiteMilestoneTrackingSummary[[#This Row],[SiteSurveyCompleted_AC]]</f>
        <v>0</v>
      </c>
      <c r="AC14" s="100">
        <f>$AC$2*Table_SiteMilestoneTrackingSummary[[#This Row],[SiteAcquired_AC]]</f>
        <v>0</v>
      </c>
      <c r="AD14" s="100">
        <f>AD13+Table_SiteMilestoneTrackingSummary[[#This Row],[c2_SiteAcquisitionEV]]</f>
        <v>0</v>
      </c>
      <c r="AE14" s="96">
        <f>SUMIFS(Table_SiteMilestoneTracking[c2_SiteAcquisitionCostBL],
Table_SiteMilestoneTracking[SiteAcquired_BL],"&gt;="&amp;Table_SiteMilestoneTrackingSummary[[#This Row],[StartDate]:[StartDate]],
Table_SiteMilestoneTracking[SiteAcquired_BL],"&lt;"&amp;Table_SiteMilestoneTrackingSummary[[#This Row],[EndDate]:[EndDate]]+1)</f>
        <v>0</v>
      </c>
      <c r="AF14" s="100">
        <f>AF13+Table_SiteMilestoneTrackingSummary[[#This Row],[c2_SiteAcquisitionCostBL]]</f>
        <v>0</v>
      </c>
      <c r="AG14" s="96">
        <f>SUMIFS(Table_SiteMilestoneTracking[c2_SiteAcquisitionCostAC],
Table_SiteMilestoneTracking[SiteAcquired_AC],"&gt;="&amp;Table_SiteMilestoneTrackingSummary[[#This Row],[StartDate]:[StartDate]],
Table_SiteMilestoneTracking[SiteAcquired_AC],"&lt;"&amp;Table_SiteMilestoneTrackingSummary[[#This Row],[EndDate]:[EndDate]]+1)</f>
        <v>0</v>
      </c>
      <c r="AH14" s="100">
        <f>AH13+Table_SiteMilestoneTrackingSummary[[#This Row],[c2_SiteAcquisitionCostAC]]</f>
        <v>0</v>
      </c>
      <c r="AI14" s="96">
        <f>COUNTIFS(Table_SiteMilestoneTracking[SiteAcquired_BL],"&gt;="&amp;Table_SiteMilestoneTrackingSummary[[#This Row],[StartDate]:[StartDate]],
Table_SiteMilestoneTracking[SiteAcquired_BL],"&lt;"&amp;Table_SiteMilestoneTrackingSummary[[#This Row],[EndDate]:[EndDate]]+1)</f>
        <v>0</v>
      </c>
      <c r="AJ14" s="100">
        <f>AJ13+Table_SiteMilestoneTrackingSummary[[#This Row],[SiteAcquired_BL]]</f>
        <v>0</v>
      </c>
      <c r="AK14" s="96">
        <f>COUNTIFS(Table_SiteMilestoneTracking[SiteAcquired_AC],"&gt;="&amp;Table_SiteMilestoneTrackingSummary[[#This Row],[StartDate]:[StartDate]],
Table_SiteMilestoneTracking[SiteAcquired_AC],"&lt;"&amp;Table_SiteMilestoneTrackingSummary[[#This Row],[EndDate]:[EndDate]]+1)</f>
        <v>0</v>
      </c>
      <c r="AL14" s="100">
        <f>AL13+Table_SiteMilestoneTrackingSummary[[#This Row],[SiteAcquired_AC]]</f>
        <v>0</v>
      </c>
      <c r="AM14" s="100">
        <f>Table_SiteMilestoneTrackingSummary[[#This Row],[ReadyForCW_AC]]*$AM$2</f>
        <v>0</v>
      </c>
      <c r="AN14" s="100">
        <f>AN13+Table_SiteMilestoneTrackingSummary[[#This Row],[c2a_SiteCWReadinessEV]]</f>
        <v>0</v>
      </c>
      <c r="AO14" s="96">
        <f>SUMIFS(Table_SiteMilestoneTracking[c2a_SiteCWReadinessCost_BL],
Table_SiteMilestoneTracking[SiteReadyForCW_BL],"&gt;="&amp;Table_SiteMilestoneTrackingSummary[[#This Row],[StartDate]:[StartDate]],
Table_SiteMilestoneTracking[SiteReadyForCW_BL],"&lt;"&amp;Table_SiteMilestoneTrackingSummary[[#This Row],[EndDate]:[EndDate]]+1)</f>
        <v>0</v>
      </c>
      <c r="AP14" s="100">
        <f>AP13+Table_SiteMilestoneTrackingSummary[[#This Row],[c2a_SiteCWReadinessCostBL]]</f>
        <v>0</v>
      </c>
      <c r="AQ14" s="96">
        <f>SUMIFS(Table_SiteMilestoneTracking[c2a_SiteCWReadinessCost_AC],
Table_SiteMilestoneTracking[SiteReadyForCW_AC],"&gt;="&amp;Table_SiteMilestoneTrackingSummary[[#This Row],[StartDate]:[StartDate]],
Table_SiteMilestoneTracking[SiteReadyForCW_AC],"&lt;"&amp;Table_SiteMilestoneTrackingSummary[[#This Row],[EndDate]:[EndDate]]+1)</f>
        <v>0</v>
      </c>
      <c r="AR14" s="100">
        <f>AR13+Table_SiteMilestoneTrackingSummary[[#This Row],[c2a_SiteCWReadinessCostAC]]</f>
        <v>0</v>
      </c>
      <c r="AS14" s="96">
        <f>COUNTIFS(Table_SiteMilestoneTracking[SiteReadyForCW_BL],"&gt;="&amp;Table_SiteMilestoneTrackingSummary[[#This Row],[StartDate]:[StartDate]],
Table_SiteMilestoneTracking[SiteReadyForCW_BL],"&lt;"&amp;Table_SiteMilestoneTrackingSummary[[#This Row],[EndDate]:[EndDate]]+1)</f>
        <v>0</v>
      </c>
      <c r="AT14" s="100">
        <f>AT13+Table_SiteMilestoneTrackingSummary[[#This Row],[ReadyForCW_BL]]</f>
        <v>0</v>
      </c>
      <c r="AU14" s="96">
        <f>COUNTIFS(Table_SiteMilestoneTracking[SiteReadyForCW_AC],"&gt;="&amp;Table_SiteMilestoneTrackingSummary[[#This Row],[StartDate]:[StartDate]],
Table_SiteMilestoneTracking[SiteReadyForCW_AC],"&lt;"&amp;Table_SiteMilestoneTrackingSummary[[#This Row],[EndDate]:[EndDate]]+1)</f>
        <v>0</v>
      </c>
      <c r="AV14" s="100">
        <f>AV13+Table_SiteMilestoneTrackingSummary[[#This Row],[ReadyForCW_AC]]</f>
        <v>0</v>
      </c>
      <c r="AW14" s="100">
        <f>$AW$2*Table_SiteMilestoneTrackingSummary[[#This Row],[ReadyForPower_AC]]</f>
        <v>0</v>
      </c>
      <c r="AX14" s="100">
        <f>AX13+Table_SiteMilestoneTrackingSummary[[#This Row],[c3_CivilWorksEV]]</f>
        <v>0</v>
      </c>
      <c r="AY14" s="96">
        <f>SUMIFS(Table_SiteMilestoneTracking[c3_CivilWorksCostBL],
Table_SiteMilestoneTracking[SiteReadyForPower_BL],"&gt;="&amp;Table_SiteMilestoneTrackingSummary[[#This Row],[StartDate]:[StartDate]],
Table_SiteMilestoneTracking[SiteReadyForPower_BL],"&lt;"&amp;Table_SiteMilestoneTrackingSummary[[#This Row],[EndDate]:[EndDate]]+1)</f>
        <v>0</v>
      </c>
      <c r="AZ14" s="100">
        <f>AZ13+Table_SiteMilestoneTrackingSummary[[#This Row],[c3_CivilWorksCostBL]]</f>
        <v>0</v>
      </c>
      <c r="BA14" s="96">
        <f>SUMIFS(Table_SiteMilestoneTracking[c3_CivilWorksCostAC],
Table_SiteMilestoneTracking[SiteReadyForPower_AC],"&gt;="&amp;Table_SiteMilestoneTrackingSummary[[#This Row],[StartDate]:[StartDate]],
Table_SiteMilestoneTracking[SiteReadyForPower_AC],"&lt;"&amp;Table_SiteMilestoneTrackingSummary[[#This Row],[EndDate]:[EndDate]]+1)</f>
        <v>0</v>
      </c>
      <c r="BB14" s="100">
        <f>BB13+Table_SiteMilestoneTrackingSummary[[#This Row],[c3_CivilWorksCostAC]]</f>
        <v>0</v>
      </c>
      <c r="BC14" s="96">
        <f>COUNTIFS(Table_SiteMilestoneTracking[SiteReadyForPower_BL],"&gt;="&amp;Table_SiteMilestoneTrackingSummary[[#This Row],[StartDate]:[StartDate]],
Table_SiteMilestoneTracking[SiteReadyForPower_BL],"&lt;"&amp;Table_SiteMilestoneTrackingSummary[[#This Row],[EndDate]:[EndDate]]+1)</f>
        <v>0</v>
      </c>
      <c r="BD14" s="100">
        <f>BD13+Table_SiteMilestoneTrackingSummary[[#This Row],[ReadyForPower_BL]]</f>
        <v>0</v>
      </c>
      <c r="BE14" s="96">
        <f>COUNTIFS(Table_SiteMilestoneTracking[SiteReadyForPower_AC],"&gt;="&amp;Table_SiteMilestoneTrackingSummary[[#This Row],[StartDate]:[StartDate]],
Table_SiteMilestoneTracking[SiteReadyForPower_AC],"&lt;"&amp;Table_SiteMilestoneTrackingSummary[[#This Row],[EndDate]:[EndDate]]+1)</f>
        <v>0</v>
      </c>
      <c r="BF14" s="100">
        <f>BF13+Table_SiteMilestoneTrackingSummary[[#This Row],[ReadyForPower_AC]]</f>
        <v>0</v>
      </c>
      <c r="BG14" s="100">
        <f>$BG$2*Table_SiteMilestoneTrackingSummary[[#This Row],[TXReady_AC]]</f>
        <v>0</v>
      </c>
      <c r="BH14" s="100">
        <f>BH13+Table_SiteMilestoneTrackingSummary[[#This Row],[c4_PowerInstallEV]]</f>
        <v>0</v>
      </c>
      <c r="BI14" s="96">
        <f>SUMIFS(Table_SiteMilestoneTracking[c4_PowerInstallCostBL],
Table_SiteMilestoneTracking[TXReady_BL],"&gt;="&amp;Table_SiteMilestoneTrackingSummary[[#This Row],[StartDate]:[StartDate]],
Table_SiteMilestoneTracking[TXReady_BL],"&lt;"&amp;Table_SiteMilestoneTrackingSummary[[#This Row],[EndDate]:[EndDate]]+1)</f>
        <v>0</v>
      </c>
      <c r="BJ14" s="100">
        <f>BJ13+Table_SiteMilestoneTrackingSummary[[#This Row],[c4_PowerInstallCostBL]]</f>
        <v>0</v>
      </c>
      <c r="BK14" s="96">
        <f>SUMIFS(Table_SiteMilestoneTracking[c4_PowerInstallCostAC],
Table_SiteMilestoneTracking[TXReady_AC],"&gt;="&amp;Table_SiteMilestoneTrackingSummary[[#This Row],[StartDate]:[StartDate]],
Table_SiteMilestoneTracking[TXReady_AC],"&lt;"&amp;Table_SiteMilestoneTrackingSummary[[#This Row],[EndDate]:[EndDate]]+1)</f>
        <v>0</v>
      </c>
      <c r="BL14" s="100">
        <f>BL13+Table_SiteMilestoneTrackingSummary[[#This Row],[c4_PowerInstallCostAC]]</f>
        <v>0</v>
      </c>
      <c r="BM14" s="96">
        <f>COUNTIFS(Table_SiteMilestoneTracking[TXReady_BL],"&gt;="&amp;Table_SiteMilestoneTrackingSummary[[#This Row],[StartDate]:[StartDate]],
Table_SiteMilestoneTracking[TXReady_BL],"&lt;"&amp;Table_SiteMilestoneTrackingSummary[[#This Row],[EndDate]:[EndDate]]+1)</f>
        <v>0</v>
      </c>
      <c r="BN14" s="100">
        <f>BN13+Table_SiteMilestoneTrackingSummary[[#This Row],[TXReady_BL]]</f>
        <v>0</v>
      </c>
      <c r="BO14" s="100">
        <f>COUNTIFS(Table_SiteMilestoneTracking[TXReady_AC],"&gt;="&amp;Table_SiteMilestoneTrackingSummary[[#This Row],[StartDate]:[StartDate]],Table_SiteMilestoneTracking[TXReady_AC],"&lt;"&amp;Table_SiteMilestoneTrackingSummary[[#This Row],[EndDate]:[EndDate]]+1)</f>
        <v>0</v>
      </c>
      <c r="BP14" s="100">
        <f>BP13+Table_SiteMilestoneTrackingSummary[[#This Row],[TXReady_AC]]</f>
        <v>0</v>
      </c>
      <c r="BQ14" s="100">
        <f>$BQ$2*Table_SiteMilestoneTrackingSummary[[#This Row],[ReadyForInstallation_AC]]</f>
        <v>0</v>
      </c>
      <c r="BR14" s="100">
        <f>BR13+Table_SiteMilestoneTrackingSummary[[#This Row],[c5_TxIntegrationEV]]</f>
        <v>0</v>
      </c>
      <c r="BS14" s="96">
        <f>SUMIFS(Table_SiteMilestoneTracking[c5_TxintegrationCostBL],
Table_SiteMilestoneTracking[SiteReadyForInstallation_BL],"&gt;="&amp;Table_SiteMilestoneTrackingSummary[[#This Row],[StartDate]:[StartDate]],
Table_SiteMilestoneTracking[SiteReadyForInstallation_BL],"&lt;"&amp;Table_SiteMilestoneTrackingSummary[[#This Row],[EndDate]:[EndDate]]+1)</f>
        <v>0</v>
      </c>
      <c r="BT14" s="100">
        <f>BT13+Table_SiteMilestoneTrackingSummary[[#This Row],[c5_TxIntegrationCostBL]]</f>
        <v>0</v>
      </c>
      <c r="BU14" s="96">
        <f>SUMIFS(Table_SiteMilestoneTracking[c5_TxintegrationCostAC],
Table_SiteMilestoneTracking[SiteReadyForInstallation_AC],"&gt;="&amp;Table_SiteMilestoneTrackingSummary[[#This Row],[StartDate]:[StartDate]],
Table_SiteMilestoneTracking[SiteReadyForInstallation_AC],"&lt;"&amp;Table_SiteMilestoneTrackingSummary[[#This Row],[EndDate]:[EndDate]]+1)</f>
        <v>0</v>
      </c>
      <c r="BV14" s="100">
        <f>BV13+Table_SiteMilestoneTrackingSummary[[#This Row],[c5_TxIntegrationCostAC]]</f>
        <v>0</v>
      </c>
      <c r="BW14" s="96">
        <f>COUNTIFS(Table_SiteMilestoneTracking[SiteReadyForInstallation_BL],"&gt;="&amp;Table_SiteMilestoneTrackingSummary[[#This Row],[StartDate]:[StartDate]],
Table_SiteMilestoneTracking[SiteReadyForInstallation_BL],"&lt;"&amp;Table_SiteMilestoneTrackingSummary[[#This Row],[EndDate]:[EndDate]]+1)</f>
        <v>0</v>
      </c>
      <c r="BX14" s="100">
        <f>BX13+Table_SiteMilestoneTrackingSummary[[#This Row],[ReadyForInstallation_BL]]</f>
        <v>0</v>
      </c>
      <c r="BY14" s="96">
        <f>COUNTIFS(Table_SiteMilestoneTracking[SiteReadyForInstallation_AC],"&gt;="&amp;Table_SiteMilestoneTrackingSummary[[#This Row],[StartDate]:[StartDate]],
Table_SiteMilestoneTracking[SiteReadyForInstallation_AC],"&lt;"&amp;Table_SiteMilestoneTrackingSummary[[#This Row],[EndDate]:[EndDate]]+1)</f>
        <v>0</v>
      </c>
      <c r="BZ14" s="100">
        <f>BZ13+Table_SiteMilestoneTrackingSummary[[#This Row],[ReadyForInstallation_AC]]</f>
        <v>0</v>
      </c>
      <c r="CA14" s="100">
        <f>$CA$2*Table_SiteMilestoneTrackingSummary[[#This Row],[ReadyForIntegration_AC]]</f>
        <v>0</v>
      </c>
      <c r="CB14" s="100">
        <f>CB13+Table_SiteMilestoneTrackingSummary[[#This Row],[c6_InstallationEV]]</f>
        <v>0</v>
      </c>
      <c r="CC14" s="96">
        <f>SUMIFS(Table_SiteMilestoneTracking[c6_InstallationCostBL],
Table_SiteMilestoneTracking[SiteReadyForIntegration_BL],"&gt;="&amp;Table_SiteMilestoneTrackingSummary[[#This Row],[StartDate]:[StartDate]],
Table_SiteMilestoneTracking[SiteReadyForIntegration_BL],"&lt;"&amp;Table_SiteMilestoneTrackingSummary[[#This Row],[EndDate]:[EndDate]]+1)</f>
        <v>0</v>
      </c>
      <c r="CD14" s="100">
        <f>CD13+Table_SiteMilestoneTrackingSummary[[#This Row],[c6_InstallationCostBL]]</f>
        <v>0</v>
      </c>
      <c r="CE14" s="96">
        <f>SUMIFS(Table_SiteMilestoneTracking[c6_InstallationCostAC],
Table_SiteMilestoneTracking[SiteReadyForIntegration_AC],"&gt;="&amp;Table_SiteMilestoneTrackingSummary[[#This Row],[StartDate]:[StartDate]],
Table_SiteMilestoneTracking[SiteReadyForIntegration_AC],"&lt;"&amp;Table_SiteMilestoneTrackingSummary[[#This Row],[EndDate]:[EndDate]]+1)</f>
        <v>0</v>
      </c>
      <c r="CF14" s="100">
        <f>CF13+Table_SiteMilestoneTrackingSummary[[#This Row],[c6_InstallationCostAC]]</f>
        <v>0</v>
      </c>
      <c r="CG14" s="96">
        <f>COUNTIFS(Table_SiteMilestoneTracking[SiteReadyForIntegration_BL],"&gt;="&amp;Table_SiteMilestoneTrackingSummary[[#This Row],[StartDate]:[StartDate]],
Table_SiteMilestoneTracking[SiteReadyForIntegration_BL],"&lt;"&amp;Table_SiteMilestoneTrackingSummary[[#This Row],[EndDate]:[EndDate]]+1)</f>
        <v>0</v>
      </c>
      <c r="CH14" s="100">
        <f>CH13+Table_SiteMilestoneTrackingSummary[[#This Row],[ReadyForIntegration_BL]]</f>
        <v>0</v>
      </c>
      <c r="CI14" s="96">
        <f>COUNTIFS(Table_SiteMilestoneTracking[SiteReadyForIntegration_AC],"&gt;="&amp;Table_SiteMilestoneTrackingSummary[[#This Row],[StartDate]:[StartDate]],
Table_SiteMilestoneTracking[SiteReadyForIntegration_AC],"&lt;"&amp;Table_SiteMilestoneTrackingSummary[[#This Row],[EndDate]:[EndDate]]+1)</f>
        <v>0</v>
      </c>
      <c r="CJ14" s="100">
        <f>CJ13+Table_SiteMilestoneTrackingSummary[[#This Row],[ReadyForIntegration_AC]]</f>
        <v>0</v>
      </c>
      <c r="CK14" s="100">
        <f>$CK$2*Table_SiteMilestoneTrackingSummary[[#This Row],[SiteOnAir_AC]]</f>
        <v>0</v>
      </c>
      <c r="CL14" s="100">
        <f>CL13+Table_SiteMilestoneTrackingSummary[[#This Row],[c7_IntegrationEV]]</f>
        <v>0</v>
      </c>
      <c r="CM14" s="96">
        <f>SUMIFS(Table_SiteMilestoneTracking[c7_IntegrationCostBL],
Table_SiteMilestoneTracking[SiteOnAir_BL],"&gt;="&amp;Table_SiteMilestoneTrackingSummary[[#This Row],[StartDate]:[StartDate]],
Table_SiteMilestoneTracking[SiteOnAir_BL],"&lt;"&amp;Table_SiteMilestoneTrackingSummary[[#This Row],[EndDate]:[EndDate]]+1)</f>
        <v>0</v>
      </c>
      <c r="CN14" s="100">
        <f>CN13+Table_SiteMilestoneTrackingSummary[[#This Row],[c7_IntegrationCostBL]]</f>
        <v>0</v>
      </c>
      <c r="CO14" s="96">
        <f>SUMIFS(Table_SiteMilestoneTracking[c7_IntegrationCostAC],
Table_SiteMilestoneTracking[SiteOnAir_AC],"&gt;="&amp;Table_SiteMilestoneTrackingSummary[[#This Row],[StartDate]:[StartDate]],
Table_SiteMilestoneTracking[SiteOnAir_AC],"&lt;"&amp;Table_SiteMilestoneTrackingSummary[[#This Row],[EndDate]:[EndDate]]+1)</f>
        <v>0</v>
      </c>
      <c r="CP14" s="100">
        <f>CP13+Table_SiteMilestoneTrackingSummary[[#This Row],[c7_IntegrationCostAC]]</f>
        <v>0</v>
      </c>
      <c r="CQ14" s="96">
        <f>COUNTIFS(Table_SiteMilestoneTracking[SiteOnAir_BL],"&gt;="&amp;Table_SiteMilestoneTrackingSummary[[#This Row],[StartDate]:[StartDate]],
Table_SiteMilestoneTracking[SiteOnAir_BL],"&lt;"&amp;Table_SiteMilestoneTrackingSummary[[#This Row],[EndDate]:[EndDate]]+1)</f>
        <v>0</v>
      </c>
      <c r="CR14" s="100">
        <f>CR13+Table_SiteMilestoneTrackingSummary[[#This Row],[SiteOnAir_BL]]</f>
        <v>0</v>
      </c>
      <c r="CS14" s="96">
        <f>COUNTIFS(Table_SiteMilestoneTracking[SiteOnAir_AC],"&gt;="&amp;Table_SiteMilestoneTrackingSummary[[#This Row],[StartDate]:[StartDate]],
Table_SiteMilestoneTracking[SiteOnAir_AC],"&lt;"&amp;Table_SiteMilestoneTrackingSummary[[#This Row],[EndDate]:[EndDate]]+1)</f>
        <v>0</v>
      </c>
      <c r="CT14" s="100">
        <f>CT13+Table_SiteMilestoneTrackingSummary[[#This Row],[SiteOnAir_AC]]</f>
        <v>0</v>
      </c>
      <c r="CU14" s="100">
        <f>$CU$2*Table_SiteMilestoneTrackingSummary[[#This Row],[SiteAccepted_AC]]</f>
        <v>0</v>
      </c>
      <c r="CV14" s="100">
        <f>CV13+Table_SiteMilestoneTrackingSummary[[#This Row],[c8_AcceptanceEV]]</f>
        <v>0</v>
      </c>
      <c r="CW14" s="96">
        <f>SUMIFS(Table_SiteMilestoneTracking[c8_AcceptanceCostBL],
Table_SiteMilestoneTracking[SiteAccepted_BL],"&gt;="&amp;Table_SiteMilestoneTrackingSummary[[#This Row],[StartDate]:[StartDate]],
Table_SiteMilestoneTracking[SiteAccepted_BL],"&lt;"&amp;Table_SiteMilestoneTrackingSummary[[#This Row],[EndDate]:[EndDate]]+1)</f>
        <v>0</v>
      </c>
      <c r="CX14" s="100">
        <f>CX13+Table_SiteMilestoneTrackingSummary[[#This Row],[c8_AcceptanceCostBL]]</f>
        <v>0</v>
      </c>
      <c r="CY14" s="96">
        <f>SUMIFS(Table_SiteMilestoneTracking[c8_AcceptanceCostAC],
Table_SiteMilestoneTracking[SiteAccepted_AC],"&gt;="&amp;Table_SiteMilestoneTrackingSummary[[#This Row],[StartDate]:[StartDate]],
Table_SiteMilestoneTracking[SiteAccepted_AC],"&lt;"&amp;Table_SiteMilestoneTrackingSummary[[#This Row],[EndDate]:[EndDate]]+1)</f>
        <v>0</v>
      </c>
      <c r="CZ14" s="100">
        <f>CZ13+Table_SiteMilestoneTrackingSummary[[#This Row],[c8_AcceptanceCostAC]]</f>
        <v>0</v>
      </c>
      <c r="DA14" s="96">
        <f>COUNTIFS(Table_SiteMilestoneTracking[SiteAccepted_BL],"&gt;="&amp;Table_SiteMilestoneTrackingSummary[[#This Row],[StartDate]:[StartDate]],
Table_SiteMilestoneTracking[SiteAccepted_BL],"&lt;"&amp;Table_SiteMilestoneTrackingSummary[[#This Row],[EndDate]:[EndDate]]+1)</f>
        <v>0</v>
      </c>
      <c r="DB14" s="100">
        <f>DB13+Table_SiteMilestoneTrackingSummary[[#This Row],[SiteAccepted_BL]]</f>
        <v>0</v>
      </c>
      <c r="DC14" s="96">
        <f>COUNTIFS(Table_SiteMilestoneTracking[SiteAccepted_AC],"&gt;="&amp;Table_SiteMilestoneTrackingSummary[[#This Row],[StartDate]:[StartDate]],
Table_SiteMilestoneTracking[SiteAccepted_AC],"&lt;"&amp;Table_SiteMilestoneTrackingSummary[[#This Row],[EndDate]:[EndDate]]+1)</f>
        <v>0</v>
      </c>
      <c r="DD14" s="100">
        <f>DD13+Table_SiteMilestoneTrackingSummary[[#This Row],[SiteAccepted_AC]]</f>
        <v>0</v>
      </c>
      <c r="DE14" s="100">
        <f>$DE$2*Table_SiteMilestoneTrackingSummary[[#This Row],[SiteInOperations_AC]]</f>
        <v>0</v>
      </c>
      <c r="DF14" s="100">
        <f>DF13+Table_SiteMilestoneTrackingSummary[[#This Row],[c9_HandoverEV]]</f>
        <v>0</v>
      </c>
      <c r="DG14" s="96">
        <f>SUMIFS(Table_SiteMilestoneTracking[c9_HandoverCostBL],
Table_SiteMilestoneTracking[SiteInOperations_BL],"&gt;="&amp;Table_SiteMilestoneTrackingSummary[[#This Row],[StartDate]:[StartDate]],
Table_SiteMilestoneTracking[SiteInOperations_BL],"&lt;"&amp;Table_SiteMilestoneTrackingSummary[[#This Row],[EndDate]:[EndDate]]+1)</f>
        <v>0</v>
      </c>
      <c r="DH14" s="100">
        <f>DH13+Table_SiteMilestoneTrackingSummary[[#This Row],[c9_HandoverCostBL2]]</f>
        <v>0</v>
      </c>
      <c r="DI14" s="96">
        <f>SUMIFS(Table_SiteMilestoneTracking[c9_HandoverCostAC],
Table_SiteMilestoneTracking[SiteInOperations_AC],"&gt;="&amp;Table_SiteMilestoneTrackingSummary[[#This Row],[StartDate]:[StartDate]],
Table_SiteMilestoneTracking[SiteInOperations_AC],"&lt;"&amp;Table_SiteMilestoneTrackingSummary[[#This Row],[EndDate]:[EndDate]]+1)</f>
        <v>0</v>
      </c>
      <c r="DJ14" s="100">
        <f>DJ13+Table_SiteMilestoneTrackingSummary[[#This Row],[c9_HandoverCostAC]]</f>
        <v>0</v>
      </c>
      <c r="DK14" s="96">
        <f>COUNTIFS(Table_SiteMilestoneTracking[SiteInOperations_BL],"&gt;="&amp;Table_SiteMilestoneTrackingSummary[[#This Row],[StartDate]:[StartDate]],
Table_SiteMilestoneTracking[SiteInOperations_BL],"&lt;"&amp;Table_SiteMilestoneTrackingSummary[[#This Row],[EndDate]:[EndDate]]+1)</f>
        <v>0</v>
      </c>
      <c r="DL14" s="100">
        <f>DL13+Table_SiteMilestoneTrackingSummary[[#This Row],[SiteInOperations_BL]]</f>
        <v>0</v>
      </c>
      <c r="DM14" s="96">
        <f>COUNTIFS(Table_SiteMilestoneTracking[SiteInOperations_AC],"&gt;="&amp;Table_SiteMilestoneTrackingSummary[[#This Row],[StartDate]:[StartDate]],
Table_SiteMilestoneTracking[SiteInOperations_AC],"&lt;"&amp;Table_SiteMilestoneTrackingSummary[[#This Row],[EndDate]:[EndDate]]+1)</f>
        <v>0</v>
      </c>
      <c r="DN14" s="100">
        <f>DN13+Table_SiteMilestoneTrackingSummary[[#This Row],[SiteInOperations_AC]]</f>
        <v>0</v>
      </c>
      <c r="DO14" s="59">
        <f>Table_SiteMilestoneTrackingSummary[[#This Row],[c0_SiteDesignEV(SUM)]]+Table_SiteMilestoneTrackingSummary[[#This Row],[c1_SiteSurveyEV(SUM)]]+Table_SiteMilestoneTrackingSummary[[#This Row],[c2_SiteAcquisitionEV(SUM)]]+Table_SiteMilestoneTrackingSummary[[#This Row],[c2a_SiteCWReadinessEV(SUM)]]+Table_SiteMilestoneTrackingSummary[[#This Row],[c3_CivilWorksEV(SUM)]]+Table_SiteMilestoneTrackingSummary[[#This Row],[c4_PowerInstallEV(SUM)]]+Table_SiteMilestoneTrackingSummary[[#This Row],[c5_TxIntegrationEV(SUM)]]+Table_SiteMilestoneTrackingSummary[[#This Row],[c6_InstallationEV(SUM)]]+Table_SiteMilestoneTrackingSummary[[#This Row],[c7_IntegrationEV(SUM)]]+Table_SiteMilestoneTrackingSummary[[#This Row],[c8_AcceptanceEV(SUM)]]+Table_SiteMilestoneTrackingSummary[[#This Row],[c9_HandoverEV(SUM)]]</f>
        <v>0</v>
      </c>
      <c r="DP14" s="59">
        <f>Table_SiteMilestoneTrackingSummary[[#This Row],[c0_SiteDesignCostBL(SUM)]]+Table_SiteMilestoneTrackingSummary[[#This Row],[c1_SiteSurveyCostBL(SUM)]]+Table_SiteMilestoneTrackingSummary[[#This Row],[c2_SiteAcquisitionCostBL(SUM)]]+Table_SiteMilestoneTrackingSummary[[#This Row],[c2a_SiteCWReadinessCostBL(SUM)]]+Table_SiteMilestoneTrackingSummary[[#This Row],[c3_CivilWorksCostBL(SUM)]]+Table_SiteMilestoneTrackingSummary[[#This Row],[c4_PowerInstallCostBL(SUM)]]+Table_SiteMilestoneTrackingSummary[[#This Row],[c5_TxIntegrationCostBL(SUM)]]+Table_SiteMilestoneTrackingSummary[[#This Row],[c6_InstallationCostBL(SUM)]]+Table_SiteMilestoneTrackingSummary[[#This Row],[c7_IntegrationCostBL(SUM)]]+Table_SiteMilestoneTrackingSummary[[#This Row],[c8_AcceptanceCostBL(SUM)]]+Table_SiteMilestoneTrackingSummary[[#This Row],[c9_HandoverCostBL(SUM)]]</f>
        <v>0</v>
      </c>
      <c r="DQ14" s="59">
        <f>Table_SiteMilestoneTrackingSummary[[#This Row],[c0_SiteDesignCostAC(SUM)]]+Table_SiteMilestoneTrackingSummary[[#This Row],[c1_SiteSurveyCostAC(SUM)]]+Table_SiteMilestoneTrackingSummary[[#This Row],[c2_SiteAcquisitionCostAC(SUM)]]+Table_SiteMilestoneTrackingSummary[[#This Row],[c2a_SiteCWReadinessCostAC(SUM)]]+Table_SiteMilestoneTrackingSummary[[#This Row],[c3_CivilWorksCostAC(SUM)]]+Table_SiteMilestoneTrackingSummary[[#This Row],[c4_PowerInstallCostAC(SUM)]]+Table_SiteMilestoneTrackingSummary[[#This Row],[c5_TxIntegrationCostAC(SUM)]]+Table_SiteMilestoneTrackingSummary[[#This Row],[c6_InstallationCostAC(SUM)]]+Table_SiteMilestoneTrackingSummary[[#This Row],[c7_IntegrationCostAC(SUM)]]+Table_SiteMilestoneTrackingSummary[[#This Row],[c8_AcceptanceCostAC(SUM)]]+Table_SiteMilestoneTrackingSummary[[#This Row],[c9_HandoverCostAC(SUM)]]</f>
        <v>0</v>
      </c>
      <c r="DR14" s="59">
        <f>Table_SiteMilestoneTrackingSummary[[#This Row],[AccumulatedEV]]-Table_SiteMilestoneTrackingSummary[[#This Row],[AccumulatedPV]]</f>
        <v>0</v>
      </c>
      <c r="DS14" s="59">
        <f>Table_SiteMilestoneTrackingSummary[[#This Row],[AccumulatedEV]]-Table_SiteMilestoneTrackingSummary[[#This Row],[AccumulatedAC]]</f>
        <v>0</v>
      </c>
      <c r="DT14" s="58" t="str">
        <f>IFERROR(Table_SiteMilestoneTrackingSummary[[#This Row],[AccumulatedEV]]/Table_SiteMilestoneTrackingSummary[[#This Row],[AccumulatedPV]],"/")</f>
        <v>/</v>
      </c>
      <c r="DU14" s="101" t="str">
        <f>IFERROR(Table_SiteMilestoneTrackingSummary[[#This Row],[AccumulatedEV]]/Table_SiteMilestoneTrackingSummary[[#This Row],[AccumulatedAC]],"/")</f>
        <v>/</v>
      </c>
    </row>
    <row r="15" spans="1:125" outlineLevel="1" x14ac:dyDescent="0.3">
      <c r="A15" s="79">
        <v>2020</v>
      </c>
      <c r="B15" s="79">
        <v>12</v>
      </c>
      <c r="C15" s="95">
        <f>DATE(Table_SiteMilestoneTrackingSummary[[#This Row],[Year]],1,-2)-WEEKDAY(DATE(Table_SiteMilestoneTrackingSummary[[#This Row],[Year]],1,3))+Table_SiteMilestoneTrackingSummary[[#This Row],[Week]]*7</f>
        <v>43906</v>
      </c>
      <c r="D15" s="95">
        <f>Table_SiteMilestoneTrackingSummary[[#This Row],[StartDate]]+6</f>
        <v>43912</v>
      </c>
      <c r="E15" s="100">
        <f>COUNTIFS(Table_SiteMilestoneTracking[SiteDesignStarted_BL],"&gt;="&amp;Table_SiteMilestoneTrackingSummary[[#This Row],[StartDate]:[StartDate]],Table_SiteMilestoneTracking[SiteDesignStarted_BL],"&lt;"&amp;Table_SiteMilestoneTrackingSummary[[#This Row],[EndDate]:[EndDate]]+1)</f>
        <v>0</v>
      </c>
      <c r="F15" s="100">
        <f>F14+Table_SiteMilestoneTrackingSummary[[#This Row],[SiteDesignStarted_BL]]</f>
        <v>0</v>
      </c>
      <c r="G15" s="100">
        <f>COUNTIFS(Table_SiteMilestoneTracking[SiteDesignStarted_AC],"&gt;="&amp;Table_SiteMilestoneTrackingSummary[[#This Row],[StartDate]:[StartDate]],Table_SiteMilestoneTracking[SiteDesignStarted_AC],"&lt;"&amp;Table_SiteMilestoneTrackingSummary[[#This Row],[EndDate]:[EndDate]]+1)</f>
        <v>0</v>
      </c>
      <c r="H15" s="100">
        <f>H14+Table_SiteMilestoneTrackingSummary[[#This Row],[SiteDesignStarted_AC]]</f>
        <v>0</v>
      </c>
      <c r="I15" s="100">
        <f>Table_SiteMilestoneTrackingSummary[[#This Row],[SiteDesignReady_AC]]*$I$2</f>
        <v>0</v>
      </c>
      <c r="J15" s="100">
        <f>J14+Table_SiteMilestoneTrackingSummary[[#This Row],[c0_SiteDesignEV]]</f>
        <v>0</v>
      </c>
      <c r="K15" s="97">
        <f>SUMIFS(Table_SiteMilestoneTracking[c0_SiteDesignCostBL],
Table_SiteMilestoneTracking[SiteDesignReady_BL],"&gt;="&amp;Table_SiteMilestoneTrackingSummary[[#This Row],[StartDate]:[StartDate]],
Table_SiteMilestoneTracking[SiteDesignReady_BL],"&lt;"&amp;Table_SiteMilestoneTrackingSummary[[#This Row],[EndDate]:[EndDate]]+1)</f>
        <v>0</v>
      </c>
      <c r="L15" s="59">
        <f>L14+Table_SiteMilestoneTrackingSummary[[#This Row],[c0_SiteDesignCostBL]]</f>
        <v>0</v>
      </c>
      <c r="M15" s="97">
        <f>SUMIFS(Table_SiteMilestoneTracking[c0_SiteDesignCostAC],
Table_SiteMilestoneTracking[SiteDesignReady_AC],"&gt;="&amp;Table_SiteMilestoneTrackingSummary[[#This Row],[StartDate]:[StartDate]],
Table_SiteMilestoneTracking[SiteDesignReady_AC],"&lt;"&amp;Table_SiteMilestoneTrackingSummary[[#This Row],[EndDate]:[EndDate]]+1)</f>
        <v>0</v>
      </c>
      <c r="N15" s="59">
        <f>N14+Table_SiteMilestoneTrackingSummary[[#This Row],[c0_SiteDesignCostAC]]</f>
        <v>0</v>
      </c>
      <c r="O15" s="96">
        <f>COUNTIFS(Table_SiteMilestoneTracking[SiteDesignReady_BL],"&gt;="&amp;Table_SiteMilestoneTrackingSummary[[#This Row],[StartDate]:[StartDate]],
Table_SiteMilestoneTracking[SiteDesignReady_BL],"&lt;"&amp;Table_SiteMilestoneTrackingSummary[[#This Row],[EndDate]:[EndDate]]+1)</f>
        <v>0</v>
      </c>
      <c r="P15" s="100">
        <f>P14+Table_SiteMilestoneTrackingSummary[[#This Row],[SiteDesignReady_BL]]</f>
        <v>0</v>
      </c>
      <c r="Q15" s="100">
        <f>COUNTIFS(Table_SiteMilestoneTracking[SiteDesignReady_AC],"&gt;="&amp;Table_SiteMilestoneTrackingSummary[[#This Row],[StartDate]:[StartDate]],Table_SiteMilestoneTracking[SiteDesignReady_AC],"&lt;"&amp;Table_SiteMilestoneTrackingSummary[[#This Row],[EndDate]:[EndDate]]+1)</f>
        <v>0</v>
      </c>
      <c r="R15" s="100">
        <f>R14+Table_SiteMilestoneTrackingSummary[[#This Row],[SiteDesignReady_AC]]</f>
        <v>0</v>
      </c>
      <c r="S15" s="100">
        <f>Table_SiteMilestoneTrackingSummary[[#This Row],[ReadyForCW_AC]]*$S$2</f>
        <v>0</v>
      </c>
      <c r="T15" s="100">
        <f>T14+Table_SiteMilestoneTrackingSummary[[#This Row],[c1_SiteSurveyEV]]</f>
        <v>0</v>
      </c>
      <c r="U15" s="96">
        <f>SUMIFS(Table_SiteMilestoneTracking[c1_SiteSurveyCostBL],
Table_SiteMilestoneTracking[SiteSurveyCompleted_BL],"&gt;="&amp;Table_SiteMilestoneTrackingSummary[[#This Row],[StartDate]:[StartDate]],
Table_SiteMilestoneTracking[SiteSurveyCompleted_BL],"&lt;"&amp;Table_SiteMilestoneTrackingSummary[[#This Row],[EndDate]:[EndDate]]+1)</f>
        <v>0</v>
      </c>
      <c r="V15" s="100">
        <f>V14+Table_SiteMilestoneTrackingSummary[[#This Row],[c1_SiteSurveyCostBL]]</f>
        <v>0</v>
      </c>
      <c r="W15" s="96">
        <f>SUMIFS(Table_SiteMilestoneTracking[c1_SiteSurveyCostAC],
Table_SiteMilestoneTracking[SiteSurveyCompleted_AC],"&gt;="&amp;Table_SiteMilestoneTrackingSummary[[#This Row],[StartDate]:[StartDate]],
Table_SiteMilestoneTracking[SiteSurveyCompleted_AC],"&lt;"&amp;Table_SiteMilestoneTrackingSummary[[#This Row],[EndDate]:[EndDate]]+1)</f>
        <v>0</v>
      </c>
      <c r="X15" s="100">
        <f>X14+Table_SiteMilestoneTrackingSummary[[#This Row],[c1_SiteSurveyCostAC]]</f>
        <v>0</v>
      </c>
      <c r="Y15" s="96">
        <f>COUNTIFS(Table_SiteMilestoneTracking[SiteSurveyCompleted_BL],"&gt;="&amp;Table_SiteMilestoneTrackingSummary[[#This Row],[StartDate]:[StartDate]],
Table_SiteMilestoneTracking[SiteSurveyCompleted_BL],"&lt;"&amp;Table_SiteMilestoneTrackingSummary[[#This Row],[EndDate]:[EndDate]]+1)</f>
        <v>0</v>
      </c>
      <c r="Z15" s="100">
        <f>Z14+Table_SiteMilestoneTrackingSummary[[#This Row],[SiteSurveyCompleted_BL]]</f>
        <v>0</v>
      </c>
      <c r="AA15" s="96">
        <f>COUNTIFS(Table_SiteMilestoneTracking[SiteSurveyCompleted_AC],"&gt;="&amp;Table_SiteMilestoneTrackingSummary[[#This Row],[StartDate]:[StartDate]],
Table_SiteMilestoneTracking[SiteSurveyCompleted_AC],"&lt;"&amp;Table_SiteMilestoneTrackingSummary[[#This Row],[EndDate]:[EndDate]]+1)</f>
        <v>0</v>
      </c>
      <c r="AB15" s="100">
        <f>AB14+Table_SiteMilestoneTrackingSummary[[#This Row],[SiteSurveyCompleted_AC]]</f>
        <v>0</v>
      </c>
      <c r="AC15" s="100">
        <f>$AC$2*Table_SiteMilestoneTrackingSummary[[#This Row],[SiteAcquired_AC]]</f>
        <v>0</v>
      </c>
      <c r="AD15" s="100">
        <f>AD14+Table_SiteMilestoneTrackingSummary[[#This Row],[c2_SiteAcquisitionEV]]</f>
        <v>0</v>
      </c>
      <c r="AE15" s="96">
        <f>SUMIFS(Table_SiteMilestoneTracking[c2_SiteAcquisitionCostBL],
Table_SiteMilestoneTracking[SiteAcquired_BL],"&gt;="&amp;Table_SiteMilestoneTrackingSummary[[#This Row],[StartDate]:[StartDate]],
Table_SiteMilestoneTracking[SiteAcquired_BL],"&lt;"&amp;Table_SiteMilestoneTrackingSummary[[#This Row],[EndDate]:[EndDate]]+1)</f>
        <v>0</v>
      </c>
      <c r="AF15" s="100">
        <f>AF14+Table_SiteMilestoneTrackingSummary[[#This Row],[c2_SiteAcquisitionCostBL]]</f>
        <v>0</v>
      </c>
      <c r="AG15" s="96">
        <f>SUMIFS(Table_SiteMilestoneTracking[c2_SiteAcquisitionCostAC],
Table_SiteMilestoneTracking[SiteAcquired_AC],"&gt;="&amp;Table_SiteMilestoneTrackingSummary[[#This Row],[StartDate]:[StartDate]],
Table_SiteMilestoneTracking[SiteAcquired_AC],"&lt;"&amp;Table_SiteMilestoneTrackingSummary[[#This Row],[EndDate]:[EndDate]]+1)</f>
        <v>0</v>
      </c>
      <c r="AH15" s="100">
        <f>AH14+Table_SiteMilestoneTrackingSummary[[#This Row],[c2_SiteAcquisitionCostAC]]</f>
        <v>0</v>
      </c>
      <c r="AI15" s="96">
        <f>COUNTIFS(Table_SiteMilestoneTracking[SiteAcquired_BL],"&gt;="&amp;Table_SiteMilestoneTrackingSummary[[#This Row],[StartDate]:[StartDate]],
Table_SiteMilestoneTracking[SiteAcquired_BL],"&lt;"&amp;Table_SiteMilestoneTrackingSummary[[#This Row],[EndDate]:[EndDate]]+1)</f>
        <v>0</v>
      </c>
      <c r="AJ15" s="100">
        <f>AJ14+Table_SiteMilestoneTrackingSummary[[#This Row],[SiteAcquired_BL]]</f>
        <v>0</v>
      </c>
      <c r="AK15" s="96">
        <f>COUNTIFS(Table_SiteMilestoneTracking[SiteAcquired_AC],"&gt;="&amp;Table_SiteMilestoneTrackingSummary[[#This Row],[StartDate]:[StartDate]],
Table_SiteMilestoneTracking[SiteAcquired_AC],"&lt;"&amp;Table_SiteMilestoneTrackingSummary[[#This Row],[EndDate]:[EndDate]]+1)</f>
        <v>0</v>
      </c>
      <c r="AL15" s="100">
        <f>AL14+Table_SiteMilestoneTrackingSummary[[#This Row],[SiteAcquired_AC]]</f>
        <v>0</v>
      </c>
      <c r="AM15" s="100">
        <f>Table_SiteMilestoneTrackingSummary[[#This Row],[ReadyForCW_AC]]*$AM$2</f>
        <v>0</v>
      </c>
      <c r="AN15" s="100">
        <f>AN14+Table_SiteMilestoneTrackingSummary[[#This Row],[c2a_SiteCWReadinessEV]]</f>
        <v>0</v>
      </c>
      <c r="AO15" s="96">
        <f>SUMIFS(Table_SiteMilestoneTracking[c2a_SiteCWReadinessCost_BL],
Table_SiteMilestoneTracking[SiteReadyForCW_BL],"&gt;="&amp;Table_SiteMilestoneTrackingSummary[[#This Row],[StartDate]:[StartDate]],
Table_SiteMilestoneTracking[SiteReadyForCW_BL],"&lt;"&amp;Table_SiteMilestoneTrackingSummary[[#This Row],[EndDate]:[EndDate]]+1)</f>
        <v>0</v>
      </c>
      <c r="AP15" s="100">
        <f>AP14+Table_SiteMilestoneTrackingSummary[[#This Row],[c2a_SiteCWReadinessCostBL]]</f>
        <v>0</v>
      </c>
      <c r="AQ15" s="96">
        <f>SUMIFS(Table_SiteMilestoneTracking[c2a_SiteCWReadinessCost_AC],
Table_SiteMilestoneTracking[SiteReadyForCW_AC],"&gt;="&amp;Table_SiteMilestoneTrackingSummary[[#This Row],[StartDate]:[StartDate]],
Table_SiteMilestoneTracking[SiteReadyForCW_AC],"&lt;"&amp;Table_SiteMilestoneTrackingSummary[[#This Row],[EndDate]:[EndDate]]+1)</f>
        <v>0</v>
      </c>
      <c r="AR15" s="100">
        <f>AR14+Table_SiteMilestoneTrackingSummary[[#This Row],[c2a_SiteCWReadinessCostAC]]</f>
        <v>0</v>
      </c>
      <c r="AS15" s="96">
        <f>COUNTIFS(Table_SiteMilestoneTracking[SiteReadyForCW_BL],"&gt;="&amp;Table_SiteMilestoneTrackingSummary[[#This Row],[StartDate]:[StartDate]],
Table_SiteMilestoneTracking[SiteReadyForCW_BL],"&lt;"&amp;Table_SiteMilestoneTrackingSummary[[#This Row],[EndDate]:[EndDate]]+1)</f>
        <v>0</v>
      </c>
      <c r="AT15" s="100">
        <f>AT14+Table_SiteMilestoneTrackingSummary[[#This Row],[ReadyForCW_BL]]</f>
        <v>0</v>
      </c>
      <c r="AU15" s="96">
        <f>COUNTIFS(Table_SiteMilestoneTracking[SiteReadyForCW_AC],"&gt;="&amp;Table_SiteMilestoneTrackingSummary[[#This Row],[StartDate]:[StartDate]],
Table_SiteMilestoneTracking[SiteReadyForCW_AC],"&lt;"&amp;Table_SiteMilestoneTrackingSummary[[#This Row],[EndDate]:[EndDate]]+1)</f>
        <v>0</v>
      </c>
      <c r="AV15" s="100">
        <f>AV14+Table_SiteMilestoneTrackingSummary[[#This Row],[ReadyForCW_AC]]</f>
        <v>0</v>
      </c>
      <c r="AW15" s="100">
        <f>$AW$2*Table_SiteMilestoneTrackingSummary[[#This Row],[ReadyForPower_AC]]</f>
        <v>0</v>
      </c>
      <c r="AX15" s="100">
        <f>AX14+Table_SiteMilestoneTrackingSummary[[#This Row],[c3_CivilWorksEV]]</f>
        <v>0</v>
      </c>
      <c r="AY15" s="96">
        <f>SUMIFS(Table_SiteMilestoneTracking[c3_CivilWorksCostBL],
Table_SiteMilestoneTracking[SiteReadyForPower_BL],"&gt;="&amp;Table_SiteMilestoneTrackingSummary[[#This Row],[StartDate]:[StartDate]],
Table_SiteMilestoneTracking[SiteReadyForPower_BL],"&lt;"&amp;Table_SiteMilestoneTrackingSummary[[#This Row],[EndDate]:[EndDate]]+1)</f>
        <v>0</v>
      </c>
      <c r="AZ15" s="100">
        <f>AZ14+Table_SiteMilestoneTrackingSummary[[#This Row],[c3_CivilWorksCostBL]]</f>
        <v>0</v>
      </c>
      <c r="BA15" s="96">
        <f>SUMIFS(Table_SiteMilestoneTracking[c3_CivilWorksCostAC],
Table_SiteMilestoneTracking[SiteReadyForPower_AC],"&gt;="&amp;Table_SiteMilestoneTrackingSummary[[#This Row],[StartDate]:[StartDate]],
Table_SiteMilestoneTracking[SiteReadyForPower_AC],"&lt;"&amp;Table_SiteMilestoneTrackingSummary[[#This Row],[EndDate]:[EndDate]]+1)</f>
        <v>0</v>
      </c>
      <c r="BB15" s="100">
        <f>BB14+Table_SiteMilestoneTrackingSummary[[#This Row],[c3_CivilWorksCostAC]]</f>
        <v>0</v>
      </c>
      <c r="BC15" s="96">
        <f>COUNTIFS(Table_SiteMilestoneTracking[SiteReadyForPower_BL],"&gt;="&amp;Table_SiteMilestoneTrackingSummary[[#This Row],[StartDate]:[StartDate]],
Table_SiteMilestoneTracking[SiteReadyForPower_BL],"&lt;"&amp;Table_SiteMilestoneTrackingSummary[[#This Row],[EndDate]:[EndDate]]+1)</f>
        <v>0</v>
      </c>
      <c r="BD15" s="100">
        <f>BD14+Table_SiteMilestoneTrackingSummary[[#This Row],[ReadyForPower_BL]]</f>
        <v>0</v>
      </c>
      <c r="BE15" s="96">
        <f>COUNTIFS(Table_SiteMilestoneTracking[SiteReadyForPower_AC],"&gt;="&amp;Table_SiteMilestoneTrackingSummary[[#This Row],[StartDate]:[StartDate]],
Table_SiteMilestoneTracking[SiteReadyForPower_AC],"&lt;"&amp;Table_SiteMilestoneTrackingSummary[[#This Row],[EndDate]:[EndDate]]+1)</f>
        <v>0</v>
      </c>
      <c r="BF15" s="100">
        <f>BF14+Table_SiteMilestoneTrackingSummary[[#This Row],[ReadyForPower_AC]]</f>
        <v>0</v>
      </c>
      <c r="BG15" s="100">
        <f>$BG$2*Table_SiteMilestoneTrackingSummary[[#This Row],[TXReady_AC]]</f>
        <v>0</v>
      </c>
      <c r="BH15" s="100">
        <f>BH14+Table_SiteMilestoneTrackingSummary[[#This Row],[c4_PowerInstallEV]]</f>
        <v>0</v>
      </c>
      <c r="BI15" s="96">
        <f>SUMIFS(Table_SiteMilestoneTracking[c4_PowerInstallCostBL],
Table_SiteMilestoneTracking[TXReady_BL],"&gt;="&amp;Table_SiteMilestoneTrackingSummary[[#This Row],[StartDate]:[StartDate]],
Table_SiteMilestoneTracking[TXReady_BL],"&lt;"&amp;Table_SiteMilestoneTrackingSummary[[#This Row],[EndDate]:[EndDate]]+1)</f>
        <v>0</v>
      </c>
      <c r="BJ15" s="100">
        <f>BJ14+Table_SiteMilestoneTrackingSummary[[#This Row],[c4_PowerInstallCostBL]]</f>
        <v>0</v>
      </c>
      <c r="BK15" s="96">
        <f>SUMIFS(Table_SiteMilestoneTracking[c4_PowerInstallCostAC],
Table_SiteMilestoneTracking[TXReady_AC],"&gt;="&amp;Table_SiteMilestoneTrackingSummary[[#This Row],[StartDate]:[StartDate]],
Table_SiteMilestoneTracking[TXReady_AC],"&lt;"&amp;Table_SiteMilestoneTrackingSummary[[#This Row],[EndDate]:[EndDate]]+1)</f>
        <v>0</v>
      </c>
      <c r="BL15" s="100">
        <f>BL14+Table_SiteMilestoneTrackingSummary[[#This Row],[c4_PowerInstallCostAC]]</f>
        <v>0</v>
      </c>
      <c r="BM15" s="96">
        <f>COUNTIFS(Table_SiteMilestoneTracking[TXReady_BL],"&gt;="&amp;Table_SiteMilestoneTrackingSummary[[#This Row],[StartDate]:[StartDate]],
Table_SiteMilestoneTracking[TXReady_BL],"&lt;"&amp;Table_SiteMilestoneTrackingSummary[[#This Row],[EndDate]:[EndDate]]+1)</f>
        <v>0</v>
      </c>
      <c r="BN15" s="100">
        <f>BN14+Table_SiteMilestoneTrackingSummary[[#This Row],[TXReady_BL]]</f>
        <v>0</v>
      </c>
      <c r="BO15" s="100">
        <f>COUNTIFS(Table_SiteMilestoneTracking[TXReady_AC],"&gt;="&amp;Table_SiteMilestoneTrackingSummary[[#This Row],[StartDate]:[StartDate]],Table_SiteMilestoneTracking[TXReady_AC],"&lt;"&amp;Table_SiteMilestoneTrackingSummary[[#This Row],[EndDate]:[EndDate]]+1)</f>
        <v>0</v>
      </c>
      <c r="BP15" s="100">
        <f>BP14+Table_SiteMilestoneTrackingSummary[[#This Row],[TXReady_AC]]</f>
        <v>0</v>
      </c>
      <c r="BQ15" s="100">
        <f>$BQ$2*Table_SiteMilestoneTrackingSummary[[#This Row],[ReadyForInstallation_AC]]</f>
        <v>0</v>
      </c>
      <c r="BR15" s="100">
        <f>BR14+Table_SiteMilestoneTrackingSummary[[#This Row],[c5_TxIntegrationEV]]</f>
        <v>0</v>
      </c>
      <c r="BS15" s="96">
        <f>SUMIFS(Table_SiteMilestoneTracking[c5_TxintegrationCostBL],
Table_SiteMilestoneTracking[SiteReadyForInstallation_BL],"&gt;="&amp;Table_SiteMilestoneTrackingSummary[[#This Row],[StartDate]:[StartDate]],
Table_SiteMilestoneTracking[SiteReadyForInstallation_BL],"&lt;"&amp;Table_SiteMilestoneTrackingSummary[[#This Row],[EndDate]:[EndDate]]+1)</f>
        <v>0</v>
      </c>
      <c r="BT15" s="100">
        <f>BT14+Table_SiteMilestoneTrackingSummary[[#This Row],[c5_TxIntegrationCostBL]]</f>
        <v>0</v>
      </c>
      <c r="BU15" s="96">
        <f>SUMIFS(Table_SiteMilestoneTracking[c5_TxintegrationCostAC],
Table_SiteMilestoneTracking[SiteReadyForInstallation_AC],"&gt;="&amp;Table_SiteMilestoneTrackingSummary[[#This Row],[StartDate]:[StartDate]],
Table_SiteMilestoneTracking[SiteReadyForInstallation_AC],"&lt;"&amp;Table_SiteMilestoneTrackingSummary[[#This Row],[EndDate]:[EndDate]]+1)</f>
        <v>0</v>
      </c>
      <c r="BV15" s="100">
        <f>BV14+Table_SiteMilestoneTrackingSummary[[#This Row],[c5_TxIntegrationCostAC]]</f>
        <v>0</v>
      </c>
      <c r="BW15" s="96">
        <f>COUNTIFS(Table_SiteMilestoneTracking[SiteReadyForInstallation_BL],"&gt;="&amp;Table_SiteMilestoneTrackingSummary[[#This Row],[StartDate]:[StartDate]],
Table_SiteMilestoneTracking[SiteReadyForInstallation_BL],"&lt;"&amp;Table_SiteMilestoneTrackingSummary[[#This Row],[EndDate]:[EndDate]]+1)</f>
        <v>0</v>
      </c>
      <c r="BX15" s="100">
        <f>BX14+Table_SiteMilestoneTrackingSummary[[#This Row],[ReadyForInstallation_BL]]</f>
        <v>0</v>
      </c>
      <c r="BY15" s="96">
        <f>COUNTIFS(Table_SiteMilestoneTracking[SiteReadyForInstallation_AC],"&gt;="&amp;Table_SiteMilestoneTrackingSummary[[#This Row],[StartDate]:[StartDate]],
Table_SiteMilestoneTracking[SiteReadyForInstallation_AC],"&lt;"&amp;Table_SiteMilestoneTrackingSummary[[#This Row],[EndDate]:[EndDate]]+1)</f>
        <v>0</v>
      </c>
      <c r="BZ15" s="100">
        <f>BZ14+Table_SiteMilestoneTrackingSummary[[#This Row],[ReadyForInstallation_AC]]</f>
        <v>0</v>
      </c>
      <c r="CA15" s="100">
        <f>$CA$2*Table_SiteMilestoneTrackingSummary[[#This Row],[ReadyForIntegration_AC]]</f>
        <v>0</v>
      </c>
      <c r="CB15" s="100">
        <f>CB14+Table_SiteMilestoneTrackingSummary[[#This Row],[c6_InstallationEV]]</f>
        <v>0</v>
      </c>
      <c r="CC15" s="96">
        <f>SUMIFS(Table_SiteMilestoneTracking[c6_InstallationCostBL],
Table_SiteMilestoneTracking[SiteReadyForIntegration_BL],"&gt;="&amp;Table_SiteMilestoneTrackingSummary[[#This Row],[StartDate]:[StartDate]],
Table_SiteMilestoneTracking[SiteReadyForIntegration_BL],"&lt;"&amp;Table_SiteMilestoneTrackingSummary[[#This Row],[EndDate]:[EndDate]]+1)</f>
        <v>0</v>
      </c>
      <c r="CD15" s="100">
        <f>CD14+Table_SiteMilestoneTrackingSummary[[#This Row],[c6_InstallationCostBL]]</f>
        <v>0</v>
      </c>
      <c r="CE15" s="96">
        <f>SUMIFS(Table_SiteMilestoneTracking[c6_InstallationCostAC],
Table_SiteMilestoneTracking[SiteReadyForIntegration_AC],"&gt;="&amp;Table_SiteMilestoneTrackingSummary[[#This Row],[StartDate]:[StartDate]],
Table_SiteMilestoneTracking[SiteReadyForIntegration_AC],"&lt;"&amp;Table_SiteMilestoneTrackingSummary[[#This Row],[EndDate]:[EndDate]]+1)</f>
        <v>0</v>
      </c>
      <c r="CF15" s="100">
        <f>CF14+Table_SiteMilestoneTrackingSummary[[#This Row],[c6_InstallationCostAC]]</f>
        <v>0</v>
      </c>
      <c r="CG15" s="96">
        <f>COUNTIFS(Table_SiteMilestoneTracking[SiteReadyForIntegration_BL],"&gt;="&amp;Table_SiteMilestoneTrackingSummary[[#This Row],[StartDate]:[StartDate]],
Table_SiteMilestoneTracking[SiteReadyForIntegration_BL],"&lt;"&amp;Table_SiteMilestoneTrackingSummary[[#This Row],[EndDate]:[EndDate]]+1)</f>
        <v>0</v>
      </c>
      <c r="CH15" s="100">
        <f>CH14+Table_SiteMilestoneTrackingSummary[[#This Row],[ReadyForIntegration_BL]]</f>
        <v>0</v>
      </c>
      <c r="CI15" s="96">
        <f>COUNTIFS(Table_SiteMilestoneTracking[SiteReadyForIntegration_AC],"&gt;="&amp;Table_SiteMilestoneTrackingSummary[[#This Row],[StartDate]:[StartDate]],
Table_SiteMilestoneTracking[SiteReadyForIntegration_AC],"&lt;"&amp;Table_SiteMilestoneTrackingSummary[[#This Row],[EndDate]:[EndDate]]+1)</f>
        <v>0</v>
      </c>
      <c r="CJ15" s="100">
        <f>CJ14+Table_SiteMilestoneTrackingSummary[[#This Row],[ReadyForIntegration_AC]]</f>
        <v>0</v>
      </c>
      <c r="CK15" s="100">
        <f>$CK$2*Table_SiteMilestoneTrackingSummary[[#This Row],[SiteOnAir_AC]]</f>
        <v>0</v>
      </c>
      <c r="CL15" s="100">
        <f>CL14+Table_SiteMilestoneTrackingSummary[[#This Row],[c7_IntegrationEV]]</f>
        <v>0</v>
      </c>
      <c r="CM15" s="96">
        <f>SUMIFS(Table_SiteMilestoneTracking[c7_IntegrationCostBL],
Table_SiteMilestoneTracking[SiteOnAir_BL],"&gt;="&amp;Table_SiteMilestoneTrackingSummary[[#This Row],[StartDate]:[StartDate]],
Table_SiteMilestoneTracking[SiteOnAir_BL],"&lt;"&amp;Table_SiteMilestoneTrackingSummary[[#This Row],[EndDate]:[EndDate]]+1)</f>
        <v>0</v>
      </c>
      <c r="CN15" s="100">
        <f>CN14+Table_SiteMilestoneTrackingSummary[[#This Row],[c7_IntegrationCostBL]]</f>
        <v>0</v>
      </c>
      <c r="CO15" s="96">
        <f>SUMIFS(Table_SiteMilestoneTracking[c7_IntegrationCostAC],
Table_SiteMilestoneTracking[SiteOnAir_AC],"&gt;="&amp;Table_SiteMilestoneTrackingSummary[[#This Row],[StartDate]:[StartDate]],
Table_SiteMilestoneTracking[SiteOnAir_AC],"&lt;"&amp;Table_SiteMilestoneTrackingSummary[[#This Row],[EndDate]:[EndDate]]+1)</f>
        <v>0</v>
      </c>
      <c r="CP15" s="100">
        <f>CP14+Table_SiteMilestoneTrackingSummary[[#This Row],[c7_IntegrationCostAC]]</f>
        <v>0</v>
      </c>
      <c r="CQ15" s="96">
        <f>COUNTIFS(Table_SiteMilestoneTracking[SiteOnAir_BL],"&gt;="&amp;Table_SiteMilestoneTrackingSummary[[#This Row],[StartDate]:[StartDate]],
Table_SiteMilestoneTracking[SiteOnAir_BL],"&lt;"&amp;Table_SiteMilestoneTrackingSummary[[#This Row],[EndDate]:[EndDate]]+1)</f>
        <v>0</v>
      </c>
      <c r="CR15" s="100">
        <f>CR14+Table_SiteMilestoneTrackingSummary[[#This Row],[SiteOnAir_BL]]</f>
        <v>0</v>
      </c>
      <c r="CS15" s="96">
        <f>COUNTIFS(Table_SiteMilestoneTracking[SiteOnAir_AC],"&gt;="&amp;Table_SiteMilestoneTrackingSummary[[#This Row],[StartDate]:[StartDate]],
Table_SiteMilestoneTracking[SiteOnAir_AC],"&lt;"&amp;Table_SiteMilestoneTrackingSummary[[#This Row],[EndDate]:[EndDate]]+1)</f>
        <v>0</v>
      </c>
      <c r="CT15" s="100">
        <f>CT14+Table_SiteMilestoneTrackingSummary[[#This Row],[SiteOnAir_AC]]</f>
        <v>0</v>
      </c>
      <c r="CU15" s="100">
        <f>$CU$2*Table_SiteMilestoneTrackingSummary[[#This Row],[SiteAccepted_AC]]</f>
        <v>0</v>
      </c>
      <c r="CV15" s="100">
        <f>CV14+Table_SiteMilestoneTrackingSummary[[#This Row],[c8_AcceptanceEV]]</f>
        <v>0</v>
      </c>
      <c r="CW15" s="96">
        <f>SUMIFS(Table_SiteMilestoneTracking[c8_AcceptanceCostBL],
Table_SiteMilestoneTracking[SiteAccepted_BL],"&gt;="&amp;Table_SiteMilestoneTrackingSummary[[#This Row],[StartDate]:[StartDate]],
Table_SiteMilestoneTracking[SiteAccepted_BL],"&lt;"&amp;Table_SiteMilestoneTrackingSummary[[#This Row],[EndDate]:[EndDate]]+1)</f>
        <v>0</v>
      </c>
      <c r="CX15" s="100">
        <f>CX14+Table_SiteMilestoneTrackingSummary[[#This Row],[c8_AcceptanceCostBL]]</f>
        <v>0</v>
      </c>
      <c r="CY15" s="96">
        <f>SUMIFS(Table_SiteMilestoneTracking[c8_AcceptanceCostAC],
Table_SiteMilestoneTracking[SiteAccepted_AC],"&gt;="&amp;Table_SiteMilestoneTrackingSummary[[#This Row],[StartDate]:[StartDate]],
Table_SiteMilestoneTracking[SiteAccepted_AC],"&lt;"&amp;Table_SiteMilestoneTrackingSummary[[#This Row],[EndDate]:[EndDate]]+1)</f>
        <v>0</v>
      </c>
      <c r="CZ15" s="100">
        <f>CZ14+Table_SiteMilestoneTrackingSummary[[#This Row],[c8_AcceptanceCostAC]]</f>
        <v>0</v>
      </c>
      <c r="DA15" s="96">
        <f>COUNTIFS(Table_SiteMilestoneTracking[SiteAccepted_BL],"&gt;="&amp;Table_SiteMilestoneTrackingSummary[[#This Row],[StartDate]:[StartDate]],
Table_SiteMilestoneTracking[SiteAccepted_BL],"&lt;"&amp;Table_SiteMilestoneTrackingSummary[[#This Row],[EndDate]:[EndDate]]+1)</f>
        <v>0</v>
      </c>
      <c r="DB15" s="100">
        <f>DB14+Table_SiteMilestoneTrackingSummary[[#This Row],[SiteAccepted_BL]]</f>
        <v>0</v>
      </c>
      <c r="DC15" s="96">
        <f>COUNTIFS(Table_SiteMilestoneTracking[SiteAccepted_AC],"&gt;="&amp;Table_SiteMilestoneTrackingSummary[[#This Row],[StartDate]:[StartDate]],
Table_SiteMilestoneTracking[SiteAccepted_AC],"&lt;"&amp;Table_SiteMilestoneTrackingSummary[[#This Row],[EndDate]:[EndDate]]+1)</f>
        <v>0</v>
      </c>
      <c r="DD15" s="100">
        <f>DD14+Table_SiteMilestoneTrackingSummary[[#This Row],[SiteAccepted_AC]]</f>
        <v>0</v>
      </c>
      <c r="DE15" s="100">
        <f>$DE$2*Table_SiteMilestoneTrackingSummary[[#This Row],[SiteInOperations_AC]]</f>
        <v>0</v>
      </c>
      <c r="DF15" s="100">
        <f>DF14+Table_SiteMilestoneTrackingSummary[[#This Row],[c9_HandoverEV]]</f>
        <v>0</v>
      </c>
      <c r="DG15" s="96">
        <f>SUMIFS(Table_SiteMilestoneTracking[c9_HandoverCostBL],
Table_SiteMilestoneTracking[SiteInOperations_BL],"&gt;="&amp;Table_SiteMilestoneTrackingSummary[[#This Row],[StartDate]:[StartDate]],
Table_SiteMilestoneTracking[SiteInOperations_BL],"&lt;"&amp;Table_SiteMilestoneTrackingSummary[[#This Row],[EndDate]:[EndDate]]+1)</f>
        <v>0</v>
      </c>
      <c r="DH15" s="100">
        <f>DH14+Table_SiteMilestoneTrackingSummary[[#This Row],[c9_HandoverCostBL2]]</f>
        <v>0</v>
      </c>
      <c r="DI15" s="96">
        <f>SUMIFS(Table_SiteMilestoneTracking[c9_HandoverCostAC],
Table_SiteMilestoneTracking[SiteInOperations_AC],"&gt;="&amp;Table_SiteMilestoneTrackingSummary[[#This Row],[StartDate]:[StartDate]],
Table_SiteMilestoneTracking[SiteInOperations_AC],"&lt;"&amp;Table_SiteMilestoneTrackingSummary[[#This Row],[EndDate]:[EndDate]]+1)</f>
        <v>0</v>
      </c>
      <c r="DJ15" s="100">
        <f>DJ14+Table_SiteMilestoneTrackingSummary[[#This Row],[c9_HandoverCostAC]]</f>
        <v>0</v>
      </c>
      <c r="DK15" s="96">
        <f>COUNTIFS(Table_SiteMilestoneTracking[SiteInOperations_BL],"&gt;="&amp;Table_SiteMilestoneTrackingSummary[[#This Row],[StartDate]:[StartDate]],
Table_SiteMilestoneTracking[SiteInOperations_BL],"&lt;"&amp;Table_SiteMilestoneTrackingSummary[[#This Row],[EndDate]:[EndDate]]+1)</f>
        <v>0</v>
      </c>
      <c r="DL15" s="100">
        <f>DL14+Table_SiteMilestoneTrackingSummary[[#This Row],[SiteInOperations_BL]]</f>
        <v>0</v>
      </c>
      <c r="DM15" s="96">
        <f>COUNTIFS(Table_SiteMilestoneTracking[SiteInOperations_AC],"&gt;="&amp;Table_SiteMilestoneTrackingSummary[[#This Row],[StartDate]:[StartDate]],
Table_SiteMilestoneTracking[SiteInOperations_AC],"&lt;"&amp;Table_SiteMilestoneTrackingSummary[[#This Row],[EndDate]:[EndDate]]+1)</f>
        <v>0</v>
      </c>
      <c r="DN15" s="100">
        <f>DN14+Table_SiteMilestoneTrackingSummary[[#This Row],[SiteInOperations_AC]]</f>
        <v>0</v>
      </c>
      <c r="DO15" s="59">
        <f>Table_SiteMilestoneTrackingSummary[[#This Row],[c0_SiteDesignEV(SUM)]]+Table_SiteMilestoneTrackingSummary[[#This Row],[c1_SiteSurveyEV(SUM)]]+Table_SiteMilestoneTrackingSummary[[#This Row],[c2_SiteAcquisitionEV(SUM)]]+Table_SiteMilestoneTrackingSummary[[#This Row],[c2a_SiteCWReadinessEV(SUM)]]+Table_SiteMilestoneTrackingSummary[[#This Row],[c3_CivilWorksEV(SUM)]]+Table_SiteMilestoneTrackingSummary[[#This Row],[c4_PowerInstallEV(SUM)]]+Table_SiteMilestoneTrackingSummary[[#This Row],[c5_TxIntegrationEV(SUM)]]+Table_SiteMilestoneTrackingSummary[[#This Row],[c6_InstallationEV(SUM)]]+Table_SiteMilestoneTrackingSummary[[#This Row],[c7_IntegrationEV(SUM)]]+Table_SiteMilestoneTrackingSummary[[#This Row],[c8_AcceptanceEV(SUM)]]+Table_SiteMilestoneTrackingSummary[[#This Row],[c9_HandoverEV(SUM)]]</f>
        <v>0</v>
      </c>
      <c r="DP15" s="59">
        <f>Table_SiteMilestoneTrackingSummary[[#This Row],[c0_SiteDesignCostBL(SUM)]]+Table_SiteMilestoneTrackingSummary[[#This Row],[c1_SiteSurveyCostBL(SUM)]]+Table_SiteMilestoneTrackingSummary[[#This Row],[c2_SiteAcquisitionCostBL(SUM)]]+Table_SiteMilestoneTrackingSummary[[#This Row],[c2a_SiteCWReadinessCostBL(SUM)]]+Table_SiteMilestoneTrackingSummary[[#This Row],[c3_CivilWorksCostBL(SUM)]]+Table_SiteMilestoneTrackingSummary[[#This Row],[c4_PowerInstallCostBL(SUM)]]+Table_SiteMilestoneTrackingSummary[[#This Row],[c5_TxIntegrationCostBL(SUM)]]+Table_SiteMilestoneTrackingSummary[[#This Row],[c6_InstallationCostBL(SUM)]]+Table_SiteMilestoneTrackingSummary[[#This Row],[c7_IntegrationCostBL(SUM)]]+Table_SiteMilestoneTrackingSummary[[#This Row],[c8_AcceptanceCostBL(SUM)]]+Table_SiteMilestoneTrackingSummary[[#This Row],[c9_HandoverCostBL(SUM)]]</f>
        <v>0</v>
      </c>
      <c r="DQ15" s="59">
        <f>Table_SiteMilestoneTrackingSummary[[#This Row],[c0_SiteDesignCostAC(SUM)]]+Table_SiteMilestoneTrackingSummary[[#This Row],[c1_SiteSurveyCostAC(SUM)]]+Table_SiteMilestoneTrackingSummary[[#This Row],[c2_SiteAcquisitionCostAC(SUM)]]+Table_SiteMilestoneTrackingSummary[[#This Row],[c2a_SiteCWReadinessCostAC(SUM)]]+Table_SiteMilestoneTrackingSummary[[#This Row],[c3_CivilWorksCostAC(SUM)]]+Table_SiteMilestoneTrackingSummary[[#This Row],[c4_PowerInstallCostAC(SUM)]]+Table_SiteMilestoneTrackingSummary[[#This Row],[c5_TxIntegrationCostAC(SUM)]]+Table_SiteMilestoneTrackingSummary[[#This Row],[c6_InstallationCostAC(SUM)]]+Table_SiteMilestoneTrackingSummary[[#This Row],[c7_IntegrationCostAC(SUM)]]+Table_SiteMilestoneTrackingSummary[[#This Row],[c8_AcceptanceCostAC(SUM)]]+Table_SiteMilestoneTrackingSummary[[#This Row],[c9_HandoverCostAC(SUM)]]</f>
        <v>0</v>
      </c>
      <c r="DR15" s="59">
        <f>Table_SiteMilestoneTrackingSummary[[#This Row],[AccumulatedEV]]-Table_SiteMilestoneTrackingSummary[[#This Row],[AccumulatedPV]]</f>
        <v>0</v>
      </c>
      <c r="DS15" s="59">
        <f>Table_SiteMilestoneTrackingSummary[[#This Row],[AccumulatedEV]]-Table_SiteMilestoneTrackingSummary[[#This Row],[AccumulatedAC]]</f>
        <v>0</v>
      </c>
      <c r="DT15" s="58" t="str">
        <f>IFERROR(Table_SiteMilestoneTrackingSummary[[#This Row],[AccumulatedEV]]/Table_SiteMilestoneTrackingSummary[[#This Row],[AccumulatedPV]],"/")</f>
        <v>/</v>
      </c>
      <c r="DU15" s="101" t="str">
        <f>IFERROR(Table_SiteMilestoneTrackingSummary[[#This Row],[AccumulatedEV]]/Table_SiteMilestoneTrackingSummary[[#This Row],[AccumulatedAC]],"/")</f>
        <v>/</v>
      </c>
    </row>
    <row r="16" spans="1:125" outlineLevel="1" x14ac:dyDescent="0.3">
      <c r="A16" s="79">
        <v>2020</v>
      </c>
      <c r="B16" s="79">
        <v>13</v>
      </c>
      <c r="C16" s="95">
        <f>DATE(Table_SiteMilestoneTrackingSummary[[#This Row],[Year]],1,-2)-WEEKDAY(DATE(Table_SiteMilestoneTrackingSummary[[#This Row],[Year]],1,3))+Table_SiteMilestoneTrackingSummary[[#This Row],[Week]]*7</f>
        <v>43913</v>
      </c>
      <c r="D16" s="95">
        <f>Table_SiteMilestoneTrackingSummary[[#This Row],[StartDate]]+6</f>
        <v>43919</v>
      </c>
      <c r="E16" s="100">
        <f>COUNTIFS(Table_SiteMilestoneTracking[SiteDesignStarted_BL],"&gt;="&amp;Table_SiteMilestoneTrackingSummary[[#This Row],[StartDate]:[StartDate]],Table_SiteMilestoneTracking[SiteDesignStarted_BL],"&lt;"&amp;Table_SiteMilestoneTrackingSummary[[#This Row],[EndDate]:[EndDate]]+1)</f>
        <v>0</v>
      </c>
      <c r="F16" s="100">
        <f>F15+Table_SiteMilestoneTrackingSummary[[#This Row],[SiteDesignStarted_BL]]</f>
        <v>0</v>
      </c>
      <c r="G16" s="100">
        <f>COUNTIFS(Table_SiteMilestoneTracking[SiteDesignStarted_AC],"&gt;="&amp;Table_SiteMilestoneTrackingSummary[[#This Row],[StartDate]:[StartDate]],Table_SiteMilestoneTracking[SiteDesignStarted_AC],"&lt;"&amp;Table_SiteMilestoneTrackingSummary[[#This Row],[EndDate]:[EndDate]]+1)</f>
        <v>0</v>
      </c>
      <c r="H16" s="100">
        <f>H15+Table_SiteMilestoneTrackingSummary[[#This Row],[SiteDesignStarted_AC]]</f>
        <v>0</v>
      </c>
      <c r="I16" s="100">
        <f>Table_SiteMilestoneTrackingSummary[[#This Row],[SiteDesignReady_AC]]*$I$2</f>
        <v>0</v>
      </c>
      <c r="J16" s="100">
        <f>J15+Table_SiteMilestoneTrackingSummary[[#This Row],[c0_SiteDesignEV]]</f>
        <v>0</v>
      </c>
      <c r="K16" s="97">
        <f>SUMIFS(Table_SiteMilestoneTracking[c0_SiteDesignCostBL],
Table_SiteMilestoneTracking[SiteDesignReady_BL],"&gt;="&amp;Table_SiteMilestoneTrackingSummary[[#This Row],[StartDate]:[StartDate]],
Table_SiteMilestoneTracking[SiteDesignReady_BL],"&lt;"&amp;Table_SiteMilestoneTrackingSummary[[#This Row],[EndDate]:[EndDate]]+1)</f>
        <v>0</v>
      </c>
      <c r="L16" s="59">
        <f>L15+Table_SiteMilestoneTrackingSummary[[#This Row],[c0_SiteDesignCostBL]]</f>
        <v>0</v>
      </c>
      <c r="M16" s="97">
        <f>SUMIFS(Table_SiteMilestoneTracking[c0_SiteDesignCostAC],
Table_SiteMilestoneTracking[SiteDesignReady_AC],"&gt;="&amp;Table_SiteMilestoneTrackingSummary[[#This Row],[StartDate]:[StartDate]],
Table_SiteMilestoneTracking[SiteDesignReady_AC],"&lt;"&amp;Table_SiteMilestoneTrackingSummary[[#This Row],[EndDate]:[EndDate]]+1)</f>
        <v>0</v>
      </c>
      <c r="N16" s="59">
        <f>N15+Table_SiteMilestoneTrackingSummary[[#This Row],[c0_SiteDesignCostAC]]</f>
        <v>0</v>
      </c>
      <c r="O16" s="96">
        <f>COUNTIFS(Table_SiteMilestoneTracking[SiteDesignReady_BL],"&gt;="&amp;Table_SiteMilestoneTrackingSummary[[#This Row],[StartDate]:[StartDate]],
Table_SiteMilestoneTracking[SiteDesignReady_BL],"&lt;"&amp;Table_SiteMilestoneTrackingSummary[[#This Row],[EndDate]:[EndDate]]+1)</f>
        <v>0</v>
      </c>
      <c r="P16" s="100">
        <f>P15+Table_SiteMilestoneTrackingSummary[[#This Row],[SiteDesignReady_BL]]</f>
        <v>0</v>
      </c>
      <c r="Q16" s="100">
        <f>COUNTIFS(Table_SiteMilestoneTracking[SiteDesignReady_AC],"&gt;="&amp;Table_SiteMilestoneTrackingSummary[[#This Row],[StartDate]:[StartDate]],Table_SiteMilestoneTracking[SiteDesignReady_AC],"&lt;"&amp;Table_SiteMilestoneTrackingSummary[[#This Row],[EndDate]:[EndDate]]+1)</f>
        <v>0</v>
      </c>
      <c r="R16" s="100">
        <f>R15+Table_SiteMilestoneTrackingSummary[[#This Row],[SiteDesignReady_AC]]</f>
        <v>0</v>
      </c>
      <c r="S16" s="100">
        <f>Table_SiteMilestoneTrackingSummary[[#This Row],[ReadyForCW_AC]]*$S$2</f>
        <v>0</v>
      </c>
      <c r="T16" s="100">
        <f>T15+Table_SiteMilestoneTrackingSummary[[#This Row],[c1_SiteSurveyEV]]</f>
        <v>0</v>
      </c>
      <c r="U16" s="96">
        <f>SUMIFS(Table_SiteMilestoneTracking[c1_SiteSurveyCostBL],
Table_SiteMilestoneTracking[SiteSurveyCompleted_BL],"&gt;="&amp;Table_SiteMilestoneTrackingSummary[[#This Row],[StartDate]:[StartDate]],
Table_SiteMilestoneTracking[SiteSurveyCompleted_BL],"&lt;"&amp;Table_SiteMilestoneTrackingSummary[[#This Row],[EndDate]:[EndDate]]+1)</f>
        <v>0</v>
      </c>
      <c r="V16" s="100">
        <f>V15+Table_SiteMilestoneTrackingSummary[[#This Row],[c1_SiteSurveyCostBL]]</f>
        <v>0</v>
      </c>
      <c r="W16" s="96">
        <f>SUMIFS(Table_SiteMilestoneTracking[c1_SiteSurveyCostAC],
Table_SiteMilestoneTracking[SiteSurveyCompleted_AC],"&gt;="&amp;Table_SiteMilestoneTrackingSummary[[#This Row],[StartDate]:[StartDate]],
Table_SiteMilestoneTracking[SiteSurveyCompleted_AC],"&lt;"&amp;Table_SiteMilestoneTrackingSummary[[#This Row],[EndDate]:[EndDate]]+1)</f>
        <v>0</v>
      </c>
      <c r="X16" s="100">
        <f>X15+Table_SiteMilestoneTrackingSummary[[#This Row],[c1_SiteSurveyCostAC]]</f>
        <v>0</v>
      </c>
      <c r="Y16" s="96">
        <f>COUNTIFS(Table_SiteMilestoneTracking[SiteSurveyCompleted_BL],"&gt;="&amp;Table_SiteMilestoneTrackingSummary[[#This Row],[StartDate]:[StartDate]],
Table_SiteMilestoneTracking[SiteSurveyCompleted_BL],"&lt;"&amp;Table_SiteMilestoneTrackingSummary[[#This Row],[EndDate]:[EndDate]]+1)</f>
        <v>0</v>
      </c>
      <c r="Z16" s="100">
        <f>Z15+Table_SiteMilestoneTrackingSummary[[#This Row],[SiteSurveyCompleted_BL]]</f>
        <v>0</v>
      </c>
      <c r="AA16" s="96">
        <f>COUNTIFS(Table_SiteMilestoneTracking[SiteSurveyCompleted_AC],"&gt;="&amp;Table_SiteMilestoneTrackingSummary[[#This Row],[StartDate]:[StartDate]],
Table_SiteMilestoneTracking[SiteSurveyCompleted_AC],"&lt;"&amp;Table_SiteMilestoneTrackingSummary[[#This Row],[EndDate]:[EndDate]]+1)</f>
        <v>0</v>
      </c>
      <c r="AB16" s="100">
        <f>AB15+Table_SiteMilestoneTrackingSummary[[#This Row],[SiteSurveyCompleted_AC]]</f>
        <v>0</v>
      </c>
      <c r="AC16" s="100">
        <f>$AC$2*Table_SiteMilestoneTrackingSummary[[#This Row],[SiteAcquired_AC]]</f>
        <v>0</v>
      </c>
      <c r="AD16" s="100">
        <f>AD15+Table_SiteMilestoneTrackingSummary[[#This Row],[c2_SiteAcquisitionEV]]</f>
        <v>0</v>
      </c>
      <c r="AE16" s="96">
        <f>SUMIFS(Table_SiteMilestoneTracking[c2_SiteAcquisitionCostBL],
Table_SiteMilestoneTracking[SiteAcquired_BL],"&gt;="&amp;Table_SiteMilestoneTrackingSummary[[#This Row],[StartDate]:[StartDate]],
Table_SiteMilestoneTracking[SiteAcquired_BL],"&lt;"&amp;Table_SiteMilestoneTrackingSummary[[#This Row],[EndDate]:[EndDate]]+1)</f>
        <v>0</v>
      </c>
      <c r="AF16" s="100">
        <f>AF15+Table_SiteMilestoneTrackingSummary[[#This Row],[c2_SiteAcquisitionCostBL]]</f>
        <v>0</v>
      </c>
      <c r="AG16" s="96">
        <f>SUMIFS(Table_SiteMilestoneTracking[c2_SiteAcquisitionCostAC],
Table_SiteMilestoneTracking[SiteAcquired_AC],"&gt;="&amp;Table_SiteMilestoneTrackingSummary[[#This Row],[StartDate]:[StartDate]],
Table_SiteMilestoneTracking[SiteAcquired_AC],"&lt;"&amp;Table_SiteMilestoneTrackingSummary[[#This Row],[EndDate]:[EndDate]]+1)</f>
        <v>0</v>
      </c>
      <c r="AH16" s="100">
        <f>AH15+Table_SiteMilestoneTrackingSummary[[#This Row],[c2_SiteAcquisitionCostAC]]</f>
        <v>0</v>
      </c>
      <c r="AI16" s="96">
        <f>COUNTIFS(Table_SiteMilestoneTracking[SiteAcquired_BL],"&gt;="&amp;Table_SiteMilestoneTrackingSummary[[#This Row],[StartDate]:[StartDate]],
Table_SiteMilestoneTracking[SiteAcquired_BL],"&lt;"&amp;Table_SiteMilestoneTrackingSummary[[#This Row],[EndDate]:[EndDate]]+1)</f>
        <v>0</v>
      </c>
      <c r="AJ16" s="100">
        <f>AJ15+Table_SiteMilestoneTrackingSummary[[#This Row],[SiteAcquired_BL]]</f>
        <v>0</v>
      </c>
      <c r="AK16" s="96">
        <f>COUNTIFS(Table_SiteMilestoneTracking[SiteAcquired_AC],"&gt;="&amp;Table_SiteMilestoneTrackingSummary[[#This Row],[StartDate]:[StartDate]],
Table_SiteMilestoneTracking[SiteAcquired_AC],"&lt;"&amp;Table_SiteMilestoneTrackingSummary[[#This Row],[EndDate]:[EndDate]]+1)</f>
        <v>0</v>
      </c>
      <c r="AL16" s="100">
        <f>AL15+Table_SiteMilestoneTrackingSummary[[#This Row],[SiteAcquired_AC]]</f>
        <v>0</v>
      </c>
      <c r="AM16" s="100">
        <f>Table_SiteMilestoneTrackingSummary[[#This Row],[ReadyForCW_AC]]*$AM$2</f>
        <v>0</v>
      </c>
      <c r="AN16" s="100">
        <f>AN15+Table_SiteMilestoneTrackingSummary[[#This Row],[c2a_SiteCWReadinessEV]]</f>
        <v>0</v>
      </c>
      <c r="AO16" s="96">
        <f>SUMIFS(Table_SiteMilestoneTracking[c2a_SiteCWReadinessCost_BL],
Table_SiteMilestoneTracking[SiteReadyForCW_BL],"&gt;="&amp;Table_SiteMilestoneTrackingSummary[[#This Row],[StartDate]:[StartDate]],
Table_SiteMilestoneTracking[SiteReadyForCW_BL],"&lt;"&amp;Table_SiteMilestoneTrackingSummary[[#This Row],[EndDate]:[EndDate]]+1)</f>
        <v>0</v>
      </c>
      <c r="AP16" s="100">
        <f>AP15+Table_SiteMilestoneTrackingSummary[[#This Row],[c2a_SiteCWReadinessCostBL]]</f>
        <v>0</v>
      </c>
      <c r="AQ16" s="96">
        <f>SUMIFS(Table_SiteMilestoneTracking[c2a_SiteCWReadinessCost_AC],
Table_SiteMilestoneTracking[SiteReadyForCW_AC],"&gt;="&amp;Table_SiteMilestoneTrackingSummary[[#This Row],[StartDate]:[StartDate]],
Table_SiteMilestoneTracking[SiteReadyForCW_AC],"&lt;"&amp;Table_SiteMilestoneTrackingSummary[[#This Row],[EndDate]:[EndDate]]+1)</f>
        <v>0</v>
      </c>
      <c r="AR16" s="100">
        <f>AR15+Table_SiteMilestoneTrackingSummary[[#This Row],[c2a_SiteCWReadinessCostAC]]</f>
        <v>0</v>
      </c>
      <c r="AS16" s="96">
        <f>COUNTIFS(Table_SiteMilestoneTracking[SiteReadyForCW_BL],"&gt;="&amp;Table_SiteMilestoneTrackingSummary[[#This Row],[StartDate]:[StartDate]],
Table_SiteMilestoneTracking[SiteReadyForCW_BL],"&lt;"&amp;Table_SiteMilestoneTrackingSummary[[#This Row],[EndDate]:[EndDate]]+1)</f>
        <v>0</v>
      </c>
      <c r="AT16" s="100">
        <f>AT15+Table_SiteMilestoneTrackingSummary[[#This Row],[ReadyForCW_BL]]</f>
        <v>0</v>
      </c>
      <c r="AU16" s="96">
        <f>COUNTIFS(Table_SiteMilestoneTracking[SiteReadyForCW_AC],"&gt;="&amp;Table_SiteMilestoneTrackingSummary[[#This Row],[StartDate]:[StartDate]],
Table_SiteMilestoneTracking[SiteReadyForCW_AC],"&lt;"&amp;Table_SiteMilestoneTrackingSummary[[#This Row],[EndDate]:[EndDate]]+1)</f>
        <v>0</v>
      </c>
      <c r="AV16" s="100">
        <f>AV15+Table_SiteMilestoneTrackingSummary[[#This Row],[ReadyForCW_AC]]</f>
        <v>0</v>
      </c>
      <c r="AW16" s="100">
        <f>$AW$2*Table_SiteMilestoneTrackingSummary[[#This Row],[ReadyForPower_AC]]</f>
        <v>0</v>
      </c>
      <c r="AX16" s="100">
        <f>AX15+Table_SiteMilestoneTrackingSummary[[#This Row],[c3_CivilWorksEV]]</f>
        <v>0</v>
      </c>
      <c r="AY16" s="96">
        <f>SUMIFS(Table_SiteMilestoneTracking[c3_CivilWorksCostBL],
Table_SiteMilestoneTracking[SiteReadyForPower_BL],"&gt;="&amp;Table_SiteMilestoneTrackingSummary[[#This Row],[StartDate]:[StartDate]],
Table_SiteMilestoneTracking[SiteReadyForPower_BL],"&lt;"&amp;Table_SiteMilestoneTrackingSummary[[#This Row],[EndDate]:[EndDate]]+1)</f>
        <v>0</v>
      </c>
      <c r="AZ16" s="100">
        <f>AZ15+Table_SiteMilestoneTrackingSummary[[#This Row],[c3_CivilWorksCostBL]]</f>
        <v>0</v>
      </c>
      <c r="BA16" s="96">
        <f>SUMIFS(Table_SiteMilestoneTracking[c3_CivilWorksCostAC],
Table_SiteMilestoneTracking[SiteReadyForPower_AC],"&gt;="&amp;Table_SiteMilestoneTrackingSummary[[#This Row],[StartDate]:[StartDate]],
Table_SiteMilestoneTracking[SiteReadyForPower_AC],"&lt;"&amp;Table_SiteMilestoneTrackingSummary[[#This Row],[EndDate]:[EndDate]]+1)</f>
        <v>0</v>
      </c>
      <c r="BB16" s="100">
        <f>BB15+Table_SiteMilestoneTrackingSummary[[#This Row],[c3_CivilWorksCostAC]]</f>
        <v>0</v>
      </c>
      <c r="BC16" s="96">
        <f>COUNTIFS(Table_SiteMilestoneTracking[SiteReadyForPower_BL],"&gt;="&amp;Table_SiteMilestoneTrackingSummary[[#This Row],[StartDate]:[StartDate]],
Table_SiteMilestoneTracking[SiteReadyForPower_BL],"&lt;"&amp;Table_SiteMilestoneTrackingSummary[[#This Row],[EndDate]:[EndDate]]+1)</f>
        <v>0</v>
      </c>
      <c r="BD16" s="100">
        <f>BD15+Table_SiteMilestoneTrackingSummary[[#This Row],[ReadyForPower_BL]]</f>
        <v>0</v>
      </c>
      <c r="BE16" s="96">
        <f>COUNTIFS(Table_SiteMilestoneTracking[SiteReadyForPower_AC],"&gt;="&amp;Table_SiteMilestoneTrackingSummary[[#This Row],[StartDate]:[StartDate]],
Table_SiteMilestoneTracking[SiteReadyForPower_AC],"&lt;"&amp;Table_SiteMilestoneTrackingSummary[[#This Row],[EndDate]:[EndDate]]+1)</f>
        <v>0</v>
      </c>
      <c r="BF16" s="100">
        <f>BF15+Table_SiteMilestoneTrackingSummary[[#This Row],[ReadyForPower_AC]]</f>
        <v>0</v>
      </c>
      <c r="BG16" s="100">
        <f>$BG$2*Table_SiteMilestoneTrackingSummary[[#This Row],[TXReady_AC]]</f>
        <v>0</v>
      </c>
      <c r="BH16" s="100">
        <f>BH15+Table_SiteMilestoneTrackingSummary[[#This Row],[c4_PowerInstallEV]]</f>
        <v>0</v>
      </c>
      <c r="BI16" s="96">
        <f>SUMIFS(Table_SiteMilestoneTracking[c4_PowerInstallCostBL],
Table_SiteMilestoneTracking[TXReady_BL],"&gt;="&amp;Table_SiteMilestoneTrackingSummary[[#This Row],[StartDate]:[StartDate]],
Table_SiteMilestoneTracking[TXReady_BL],"&lt;"&amp;Table_SiteMilestoneTrackingSummary[[#This Row],[EndDate]:[EndDate]]+1)</f>
        <v>0</v>
      </c>
      <c r="BJ16" s="100">
        <f>BJ15+Table_SiteMilestoneTrackingSummary[[#This Row],[c4_PowerInstallCostBL]]</f>
        <v>0</v>
      </c>
      <c r="BK16" s="96">
        <f>SUMIFS(Table_SiteMilestoneTracking[c4_PowerInstallCostAC],
Table_SiteMilestoneTracking[TXReady_AC],"&gt;="&amp;Table_SiteMilestoneTrackingSummary[[#This Row],[StartDate]:[StartDate]],
Table_SiteMilestoneTracking[TXReady_AC],"&lt;"&amp;Table_SiteMilestoneTrackingSummary[[#This Row],[EndDate]:[EndDate]]+1)</f>
        <v>0</v>
      </c>
      <c r="BL16" s="100">
        <f>BL15+Table_SiteMilestoneTrackingSummary[[#This Row],[c4_PowerInstallCostAC]]</f>
        <v>0</v>
      </c>
      <c r="BM16" s="96">
        <f>COUNTIFS(Table_SiteMilestoneTracking[TXReady_BL],"&gt;="&amp;Table_SiteMilestoneTrackingSummary[[#This Row],[StartDate]:[StartDate]],
Table_SiteMilestoneTracking[TXReady_BL],"&lt;"&amp;Table_SiteMilestoneTrackingSummary[[#This Row],[EndDate]:[EndDate]]+1)</f>
        <v>0</v>
      </c>
      <c r="BN16" s="100">
        <f>BN15+Table_SiteMilestoneTrackingSummary[[#This Row],[TXReady_BL]]</f>
        <v>0</v>
      </c>
      <c r="BO16" s="100">
        <f>COUNTIFS(Table_SiteMilestoneTracking[TXReady_AC],"&gt;="&amp;Table_SiteMilestoneTrackingSummary[[#This Row],[StartDate]:[StartDate]],Table_SiteMilestoneTracking[TXReady_AC],"&lt;"&amp;Table_SiteMilestoneTrackingSummary[[#This Row],[EndDate]:[EndDate]]+1)</f>
        <v>0</v>
      </c>
      <c r="BP16" s="100">
        <f>BP15+Table_SiteMilestoneTrackingSummary[[#This Row],[TXReady_AC]]</f>
        <v>0</v>
      </c>
      <c r="BQ16" s="100">
        <f>$BQ$2*Table_SiteMilestoneTrackingSummary[[#This Row],[ReadyForInstallation_AC]]</f>
        <v>0</v>
      </c>
      <c r="BR16" s="100">
        <f>BR15+Table_SiteMilestoneTrackingSummary[[#This Row],[c5_TxIntegrationEV]]</f>
        <v>0</v>
      </c>
      <c r="BS16" s="96">
        <f>SUMIFS(Table_SiteMilestoneTracking[c5_TxintegrationCostBL],
Table_SiteMilestoneTracking[SiteReadyForInstallation_BL],"&gt;="&amp;Table_SiteMilestoneTrackingSummary[[#This Row],[StartDate]:[StartDate]],
Table_SiteMilestoneTracking[SiteReadyForInstallation_BL],"&lt;"&amp;Table_SiteMilestoneTrackingSummary[[#This Row],[EndDate]:[EndDate]]+1)</f>
        <v>0</v>
      </c>
      <c r="BT16" s="100">
        <f>BT15+Table_SiteMilestoneTrackingSummary[[#This Row],[c5_TxIntegrationCostBL]]</f>
        <v>0</v>
      </c>
      <c r="BU16" s="96">
        <f>SUMIFS(Table_SiteMilestoneTracking[c5_TxintegrationCostAC],
Table_SiteMilestoneTracking[SiteReadyForInstallation_AC],"&gt;="&amp;Table_SiteMilestoneTrackingSummary[[#This Row],[StartDate]:[StartDate]],
Table_SiteMilestoneTracking[SiteReadyForInstallation_AC],"&lt;"&amp;Table_SiteMilestoneTrackingSummary[[#This Row],[EndDate]:[EndDate]]+1)</f>
        <v>0</v>
      </c>
      <c r="BV16" s="100">
        <f>BV15+Table_SiteMilestoneTrackingSummary[[#This Row],[c5_TxIntegrationCostAC]]</f>
        <v>0</v>
      </c>
      <c r="BW16" s="96">
        <f>COUNTIFS(Table_SiteMilestoneTracking[SiteReadyForInstallation_BL],"&gt;="&amp;Table_SiteMilestoneTrackingSummary[[#This Row],[StartDate]:[StartDate]],
Table_SiteMilestoneTracking[SiteReadyForInstallation_BL],"&lt;"&amp;Table_SiteMilestoneTrackingSummary[[#This Row],[EndDate]:[EndDate]]+1)</f>
        <v>0</v>
      </c>
      <c r="BX16" s="100">
        <f>BX15+Table_SiteMilestoneTrackingSummary[[#This Row],[ReadyForInstallation_BL]]</f>
        <v>0</v>
      </c>
      <c r="BY16" s="96">
        <f>COUNTIFS(Table_SiteMilestoneTracking[SiteReadyForInstallation_AC],"&gt;="&amp;Table_SiteMilestoneTrackingSummary[[#This Row],[StartDate]:[StartDate]],
Table_SiteMilestoneTracking[SiteReadyForInstallation_AC],"&lt;"&amp;Table_SiteMilestoneTrackingSummary[[#This Row],[EndDate]:[EndDate]]+1)</f>
        <v>0</v>
      </c>
      <c r="BZ16" s="100">
        <f>BZ15+Table_SiteMilestoneTrackingSummary[[#This Row],[ReadyForInstallation_AC]]</f>
        <v>0</v>
      </c>
      <c r="CA16" s="100">
        <f>$CA$2*Table_SiteMilestoneTrackingSummary[[#This Row],[ReadyForIntegration_AC]]</f>
        <v>0</v>
      </c>
      <c r="CB16" s="100">
        <f>CB15+Table_SiteMilestoneTrackingSummary[[#This Row],[c6_InstallationEV]]</f>
        <v>0</v>
      </c>
      <c r="CC16" s="96">
        <f>SUMIFS(Table_SiteMilestoneTracking[c6_InstallationCostBL],
Table_SiteMilestoneTracking[SiteReadyForIntegration_BL],"&gt;="&amp;Table_SiteMilestoneTrackingSummary[[#This Row],[StartDate]:[StartDate]],
Table_SiteMilestoneTracking[SiteReadyForIntegration_BL],"&lt;"&amp;Table_SiteMilestoneTrackingSummary[[#This Row],[EndDate]:[EndDate]]+1)</f>
        <v>0</v>
      </c>
      <c r="CD16" s="100">
        <f>CD15+Table_SiteMilestoneTrackingSummary[[#This Row],[c6_InstallationCostBL]]</f>
        <v>0</v>
      </c>
      <c r="CE16" s="96">
        <f>SUMIFS(Table_SiteMilestoneTracking[c6_InstallationCostAC],
Table_SiteMilestoneTracking[SiteReadyForIntegration_AC],"&gt;="&amp;Table_SiteMilestoneTrackingSummary[[#This Row],[StartDate]:[StartDate]],
Table_SiteMilestoneTracking[SiteReadyForIntegration_AC],"&lt;"&amp;Table_SiteMilestoneTrackingSummary[[#This Row],[EndDate]:[EndDate]]+1)</f>
        <v>0</v>
      </c>
      <c r="CF16" s="100">
        <f>CF15+Table_SiteMilestoneTrackingSummary[[#This Row],[c6_InstallationCostAC]]</f>
        <v>0</v>
      </c>
      <c r="CG16" s="96">
        <f>COUNTIFS(Table_SiteMilestoneTracking[SiteReadyForIntegration_BL],"&gt;="&amp;Table_SiteMilestoneTrackingSummary[[#This Row],[StartDate]:[StartDate]],
Table_SiteMilestoneTracking[SiteReadyForIntegration_BL],"&lt;"&amp;Table_SiteMilestoneTrackingSummary[[#This Row],[EndDate]:[EndDate]]+1)</f>
        <v>0</v>
      </c>
      <c r="CH16" s="100">
        <f>CH15+Table_SiteMilestoneTrackingSummary[[#This Row],[ReadyForIntegration_BL]]</f>
        <v>0</v>
      </c>
      <c r="CI16" s="96">
        <f>COUNTIFS(Table_SiteMilestoneTracking[SiteReadyForIntegration_AC],"&gt;="&amp;Table_SiteMilestoneTrackingSummary[[#This Row],[StartDate]:[StartDate]],
Table_SiteMilestoneTracking[SiteReadyForIntegration_AC],"&lt;"&amp;Table_SiteMilestoneTrackingSummary[[#This Row],[EndDate]:[EndDate]]+1)</f>
        <v>0</v>
      </c>
      <c r="CJ16" s="100">
        <f>CJ15+Table_SiteMilestoneTrackingSummary[[#This Row],[ReadyForIntegration_AC]]</f>
        <v>0</v>
      </c>
      <c r="CK16" s="100">
        <f>$CK$2*Table_SiteMilestoneTrackingSummary[[#This Row],[SiteOnAir_AC]]</f>
        <v>0</v>
      </c>
      <c r="CL16" s="100">
        <f>CL15+Table_SiteMilestoneTrackingSummary[[#This Row],[c7_IntegrationEV]]</f>
        <v>0</v>
      </c>
      <c r="CM16" s="96">
        <f>SUMIFS(Table_SiteMilestoneTracking[c7_IntegrationCostBL],
Table_SiteMilestoneTracking[SiteOnAir_BL],"&gt;="&amp;Table_SiteMilestoneTrackingSummary[[#This Row],[StartDate]:[StartDate]],
Table_SiteMilestoneTracking[SiteOnAir_BL],"&lt;"&amp;Table_SiteMilestoneTrackingSummary[[#This Row],[EndDate]:[EndDate]]+1)</f>
        <v>0</v>
      </c>
      <c r="CN16" s="100">
        <f>CN15+Table_SiteMilestoneTrackingSummary[[#This Row],[c7_IntegrationCostBL]]</f>
        <v>0</v>
      </c>
      <c r="CO16" s="96">
        <f>SUMIFS(Table_SiteMilestoneTracking[c7_IntegrationCostAC],
Table_SiteMilestoneTracking[SiteOnAir_AC],"&gt;="&amp;Table_SiteMilestoneTrackingSummary[[#This Row],[StartDate]:[StartDate]],
Table_SiteMilestoneTracking[SiteOnAir_AC],"&lt;"&amp;Table_SiteMilestoneTrackingSummary[[#This Row],[EndDate]:[EndDate]]+1)</f>
        <v>0</v>
      </c>
      <c r="CP16" s="100">
        <f>CP15+Table_SiteMilestoneTrackingSummary[[#This Row],[c7_IntegrationCostAC]]</f>
        <v>0</v>
      </c>
      <c r="CQ16" s="96">
        <f>COUNTIFS(Table_SiteMilestoneTracking[SiteOnAir_BL],"&gt;="&amp;Table_SiteMilestoneTrackingSummary[[#This Row],[StartDate]:[StartDate]],
Table_SiteMilestoneTracking[SiteOnAir_BL],"&lt;"&amp;Table_SiteMilestoneTrackingSummary[[#This Row],[EndDate]:[EndDate]]+1)</f>
        <v>0</v>
      </c>
      <c r="CR16" s="100">
        <f>CR15+Table_SiteMilestoneTrackingSummary[[#This Row],[SiteOnAir_BL]]</f>
        <v>0</v>
      </c>
      <c r="CS16" s="96">
        <f>COUNTIFS(Table_SiteMilestoneTracking[SiteOnAir_AC],"&gt;="&amp;Table_SiteMilestoneTrackingSummary[[#This Row],[StartDate]:[StartDate]],
Table_SiteMilestoneTracking[SiteOnAir_AC],"&lt;"&amp;Table_SiteMilestoneTrackingSummary[[#This Row],[EndDate]:[EndDate]]+1)</f>
        <v>0</v>
      </c>
      <c r="CT16" s="100">
        <f>CT15+Table_SiteMilestoneTrackingSummary[[#This Row],[SiteOnAir_AC]]</f>
        <v>0</v>
      </c>
      <c r="CU16" s="100">
        <f>$CU$2*Table_SiteMilestoneTrackingSummary[[#This Row],[SiteAccepted_AC]]</f>
        <v>0</v>
      </c>
      <c r="CV16" s="100">
        <f>CV15+Table_SiteMilestoneTrackingSummary[[#This Row],[c8_AcceptanceEV]]</f>
        <v>0</v>
      </c>
      <c r="CW16" s="96">
        <f>SUMIFS(Table_SiteMilestoneTracking[c8_AcceptanceCostBL],
Table_SiteMilestoneTracking[SiteAccepted_BL],"&gt;="&amp;Table_SiteMilestoneTrackingSummary[[#This Row],[StartDate]:[StartDate]],
Table_SiteMilestoneTracking[SiteAccepted_BL],"&lt;"&amp;Table_SiteMilestoneTrackingSummary[[#This Row],[EndDate]:[EndDate]]+1)</f>
        <v>0</v>
      </c>
      <c r="CX16" s="100">
        <f>CX15+Table_SiteMilestoneTrackingSummary[[#This Row],[c8_AcceptanceCostBL]]</f>
        <v>0</v>
      </c>
      <c r="CY16" s="96">
        <f>SUMIFS(Table_SiteMilestoneTracking[c8_AcceptanceCostAC],
Table_SiteMilestoneTracking[SiteAccepted_AC],"&gt;="&amp;Table_SiteMilestoneTrackingSummary[[#This Row],[StartDate]:[StartDate]],
Table_SiteMilestoneTracking[SiteAccepted_AC],"&lt;"&amp;Table_SiteMilestoneTrackingSummary[[#This Row],[EndDate]:[EndDate]]+1)</f>
        <v>0</v>
      </c>
      <c r="CZ16" s="100">
        <f>CZ15+Table_SiteMilestoneTrackingSummary[[#This Row],[c8_AcceptanceCostAC]]</f>
        <v>0</v>
      </c>
      <c r="DA16" s="96">
        <f>COUNTIFS(Table_SiteMilestoneTracking[SiteAccepted_BL],"&gt;="&amp;Table_SiteMilestoneTrackingSummary[[#This Row],[StartDate]:[StartDate]],
Table_SiteMilestoneTracking[SiteAccepted_BL],"&lt;"&amp;Table_SiteMilestoneTrackingSummary[[#This Row],[EndDate]:[EndDate]]+1)</f>
        <v>0</v>
      </c>
      <c r="DB16" s="100">
        <f>DB15+Table_SiteMilestoneTrackingSummary[[#This Row],[SiteAccepted_BL]]</f>
        <v>0</v>
      </c>
      <c r="DC16" s="96">
        <f>COUNTIFS(Table_SiteMilestoneTracking[SiteAccepted_AC],"&gt;="&amp;Table_SiteMilestoneTrackingSummary[[#This Row],[StartDate]:[StartDate]],
Table_SiteMilestoneTracking[SiteAccepted_AC],"&lt;"&amp;Table_SiteMilestoneTrackingSummary[[#This Row],[EndDate]:[EndDate]]+1)</f>
        <v>0</v>
      </c>
      <c r="DD16" s="100">
        <f>DD15+Table_SiteMilestoneTrackingSummary[[#This Row],[SiteAccepted_AC]]</f>
        <v>0</v>
      </c>
      <c r="DE16" s="100">
        <f>$DE$2*Table_SiteMilestoneTrackingSummary[[#This Row],[SiteInOperations_AC]]</f>
        <v>0</v>
      </c>
      <c r="DF16" s="100">
        <f>DF15+Table_SiteMilestoneTrackingSummary[[#This Row],[c9_HandoverEV]]</f>
        <v>0</v>
      </c>
      <c r="DG16" s="96">
        <f>SUMIFS(Table_SiteMilestoneTracking[c9_HandoverCostBL],
Table_SiteMilestoneTracking[SiteInOperations_BL],"&gt;="&amp;Table_SiteMilestoneTrackingSummary[[#This Row],[StartDate]:[StartDate]],
Table_SiteMilestoneTracking[SiteInOperations_BL],"&lt;"&amp;Table_SiteMilestoneTrackingSummary[[#This Row],[EndDate]:[EndDate]]+1)</f>
        <v>0</v>
      </c>
      <c r="DH16" s="100">
        <f>DH15+Table_SiteMilestoneTrackingSummary[[#This Row],[c9_HandoverCostBL2]]</f>
        <v>0</v>
      </c>
      <c r="DI16" s="96">
        <f>SUMIFS(Table_SiteMilestoneTracking[c9_HandoverCostAC],
Table_SiteMilestoneTracking[SiteInOperations_AC],"&gt;="&amp;Table_SiteMilestoneTrackingSummary[[#This Row],[StartDate]:[StartDate]],
Table_SiteMilestoneTracking[SiteInOperations_AC],"&lt;"&amp;Table_SiteMilestoneTrackingSummary[[#This Row],[EndDate]:[EndDate]]+1)</f>
        <v>0</v>
      </c>
      <c r="DJ16" s="100">
        <f>DJ15+Table_SiteMilestoneTrackingSummary[[#This Row],[c9_HandoverCostAC]]</f>
        <v>0</v>
      </c>
      <c r="DK16" s="96">
        <f>COUNTIFS(Table_SiteMilestoneTracking[SiteInOperations_BL],"&gt;="&amp;Table_SiteMilestoneTrackingSummary[[#This Row],[StartDate]:[StartDate]],
Table_SiteMilestoneTracking[SiteInOperations_BL],"&lt;"&amp;Table_SiteMilestoneTrackingSummary[[#This Row],[EndDate]:[EndDate]]+1)</f>
        <v>0</v>
      </c>
      <c r="DL16" s="100">
        <f>DL15+Table_SiteMilestoneTrackingSummary[[#This Row],[SiteInOperations_BL]]</f>
        <v>0</v>
      </c>
      <c r="DM16" s="96">
        <f>COUNTIFS(Table_SiteMilestoneTracking[SiteInOperations_AC],"&gt;="&amp;Table_SiteMilestoneTrackingSummary[[#This Row],[StartDate]:[StartDate]],
Table_SiteMilestoneTracking[SiteInOperations_AC],"&lt;"&amp;Table_SiteMilestoneTrackingSummary[[#This Row],[EndDate]:[EndDate]]+1)</f>
        <v>0</v>
      </c>
      <c r="DN16" s="100">
        <f>DN15+Table_SiteMilestoneTrackingSummary[[#This Row],[SiteInOperations_AC]]</f>
        <v>0</v>
      </c>
      <c r="DO16" s="59">
        <f>Table_SiteMilestoneTrackingSummary[[#This Row],[c0_SiteDesignEV(SUM)]]+Table_SiteMilestoneTrackingSummary[[#This Row],[c1_SiteSurveyEV(SUM)]]+Table_SiteMilestoneTrackingSummary[[#This Row],[c2_SiteAcquisitionEV(SUM)]]+Table_SiteMilestoneTrackingSummary[[#This Row],[c2a_SiteCWReadinessEV(SUM)]]+Table_SiteMilestoneTrackingSummary[[#This Row],[c3_CivilWorksEV(SUM)]]+Table_SiteMilestoneTrackingSummary[[#This Row],[c4_PowerInstallEV(SUM)]]+Table_SiteMilestoneTrackingSummary[[#This Row],[c5_TxIntegrationEV(SUM)]]+Table_SiteMilestoneTrackingSummary[[#This Row],[c6_InstallationEV(SUM)]]+Table_SiteMilestoneTrackingSummary[[#This Row],[c7_IntegrationEV(SUM)]]+Table_SiteMilestoneTrackingSummary[[#This Row],[c8_AcceptanceEV(SUM)]]+Table_SiteMilestoneTrackingSummary[[#This Row],[c9_HandoverEV(SUM)]]</f>
        <v>0</v>
      </c>
      <c r="DP16" s="59">
        <f>Table_SiteMilestoneTrackingSummary[[#This Row],[c0_SiteDesignCostBL(SUM)]]+Table_SiteMilestoneTrackingSummary[[#This Row],[c1_SiteSurveyCostBL(SUM)]]+Table_SiteMilestoneTrackingSummary[[#This Row],[c2_SiteAcquisitionCostBL(SUM)]]+Table_SiteMilestoneTrackingSummary[[#This Row],[c2a_SiteCWReadinessCostBL(SUM)]]+Table_SiteMilestoneTrackingSummary[[#This Row],[c3_CivilWorksCostBL(SUM)]]+Table_SiteMilestoneTrackingSummary[[#This Row],[c4_PowerInstallCostBL(SUM)]]+Table_SiteMilestoneTrackingSummary[[#This Row],[c5_TxIntegrationCostBL(SUM)]]+Table_SiteMilestoneTrackingSummary[[#This Row],[c6_InstallationCostBL(SUM)]]+Table_SiteMilestoneTrackingSummary[[#This Row],[c7_IntegrationCostBL(SUM)]]+Table_SiteMilestoneTrackingSummary[[#This Row],[c8_AcceptanceCostBL(SUM)]]+Table_SiteMilestoneTrackingSummary[[#This Row],[c9_HandoverCostBL(SUM)]]</f>
        <v>0</v>
      </c>
      <c r="DQ16" s="59">
        <f>Table_SiteMilestoneTrackingSummary[[#This Row],[c0_SiteDesignCostAC(SUM)]]+Table_SiteMilestoneTrackingSummary[[#This Row],[c1_SiteSurveyCostAC(SUM)]]+Table_SiteMilestoneTrackingSummary[[#This Row],[c2_SiteAcquisitionCostAC(SUM)]]+Table_SiteMilestoneTrackingSummary[[#This Row],[c2a_SiteCWReadinessCostAC(SUM)]]+Table_SiteMilestoneTrackingSummary[[#This Row],[c3_CivilWorksCostAC(SUM)]]+Table_SiteMilestoneTrackingSummary[[#This Row],[c4_PowerInstallCostAC(SUM)]]+Table_SiteMilestoneTrackingSummary[[#This Row],[c5_TxIntegrationCostAC(SUM)]]+Table_SiteMilestoneTrackingSummary[[#This Row],[c6_InstallationCostAC(SUM)]]+Table_SiteMilestoneTrackingSummary[[#This Row],[c7_IntegrationCostAC(SUM)]]+Table_SiteMilestoneTrackingSummary[[#This Row],[c8_AcceptanceCostAC(SUM)]]+Table_SiteMilestoneTrackingSummary[[#This Row],[c9_HandoverCostAC(SUM)]]</f>
        <v>0</v>
      </c>
      <c r="DR16" s="59">
        <f>Table_SiteMilestoneTrackingSummary[[#This Row],[AccumulatedEV]]-Table_SiteMilestoneTrackingSummary[[#This Row],[AccumulatedPV]]</f>
        <v>0</v>
      </c>
      <c r="DS16" s="59">
        <f>Table_SiteMilestoneTrackingSummary[[#This Row],[AccumulatedEV]]-Table_SiteMilestoneTrackingSummary[[#This Row],[AccumulatedAC]]</f>
        <v>0</v>
      </c>
      <c r="DT16" s="58" t="str">
        <f>IFERROR(Table_SiteMilestoneTrackingSummary[[#This Row],[AccumulatedEV]]/Table_SiteMilestoneTrackingSummary[[#This Row],[AccumulatedPV]],"/")</f>
        <v>/</v>
      </c>
      <c r="DU16" s="101" t="str">
        <f>IFERROR(Table_SiteMilestoneTrackingSummary[[#This Row],[AccumulatedEV]]/Table_SiteMilestoneTrackingSummary[[#This Row],[AccumulatedAC]],"/")</f>
        <v>/</v>
      </c>
    </row>
    <row r="17" spans="1:125" outlineLevel="1" x14ac:dyDescent="0.3">
      <c r="A17" s="79">
        <v>2020</v>
      </c>
      <c r="B17" s="79">
        <v>14</v>
      </c>
      <c r="C17" s="95">
        <f>DATE(Table_SiteMilestoneTrackingSummary[[#This Row],[Year]],1,-2)-WEEKDAY(DATE(Table_SiteMilestoneTrackingSummary[[#This Row],[Year]],1,3))+Table_SiteMilestoneTrackingSummary[[#This Row],[Week]]*7</f>
        <v>43920</v>
      </c>
      <c r="D17" s="95">
        <f>Table_SiteMilestoneTrackingSummary[[#This Row],[StartDate]]+6</f>
        <v>43926</v>
      </c>
      <c r="E17" s="100">
        <f>COUNTIFS(Table_SiteMilestoneTracking[SiteDesignStarted_BL],"&gt;="&amp;Table_SiteMilestoneTrackingSummary[[#This Row],[StartDate]:[StartDate]],Table_SiteMilestoneTracking[SiteDesignStarted_BL],"&lt;"&amp;Table_SiteMilestoneTrackingSummary[[#This Row],[EndDate]:[EndDate]]+1)</f>
        <v>0</v>
      </c>
      <c r="F17" s="100">
        <f>F16+Table_SiteMilestoneTrackingSummary[[#This Row],[SiteDesignStarted_BL]]</f>
        <v>0</v>
      </c>
      <c r="G17" s="100">
        <f>COUNTIFS(Table_SiteMilestoneTracking[SiteDesignStarted_AC],"&gt;="&amp;Table_SiteMilestoneTrackingSummary[[#This Row],[StartDate]:[StartDate]],Table_SiteMilestoneTracking[SiteDesignStarted_AC],"&lt;"&amp;Table_SiteMilestoneTrackingSummary[[#This Row],[EndDate]:[EndDate]]+1)</f>
        <v>0</v>
      </c>
      <c r="H17" s="100">
        <f>H16+Table_SiteMilestoneTrackingSummary[[#This Row],[SiteDesignStarted_AC]]</f>
        <v>0</v>
      </c>
      <c r="I17" s="100">
        <f>Table_SiteMilestoneTrackingSummary[[#This Row],[SiteDesignReady_AC]]*$I$2</f>
        <v>0</v>
      </c>
      <c r="J17" s="100">
        <f>J16+Table_SiteMilestoneTrackingSummary[[#This Row],[c0_SiteDesignEV]]</f>
        <v>0</v>
      </c>
      <c r="K17" s="97">
        <f>SUMIFS(Table_SiteMilestoneTracking[c0_SiteDesignCostBL],
Table_SiteMilestoneTracking[SiteDesignReady_BL],"&gt;="&amp;Table_SiteMilestoneTrackingSummary[[#This Row],[StartDate]:[StartDate]],
Table_SiteMilestoneTracking[SiteDesignReady_BL],"&lt;"&amp;Table_SiteMilestoneTrackingSummary[[#This Row],[EndDate]:[EndDate]]+1)</f>
        <v>0</v>
      </c>
      <c r="L17" s="59">
        <f>L16+Table_SiteMilestoneTrackingSummary[[#This Row],[c0_SiteDesignCostBL]]</f>
        <v>0</v>
      </c>
      <c r="M17" s="97">
        <f>SUMIFS(Table_SiteMilestoneTracking[c0_SiteDesignCostAC],
Table_SiteMilestoneTracking[SiteDesignReady_AC],"&gt;="&amp;Table_SiteMilestoneTrackingSummary[[#This Row],[StartDate]:[StartDate]],
Table_SiteMilestoneTracking[SiteDesignReady_AC],"&lt;"&amp;Table_SiteMilestoneTrackingSummary[[#This Row],[EndDate]:[EndDate]]+1)</f>
        <v>0</v>
      </c>
      <c r="N17" s="59">
        <f>N16+Table_SiteMilestoneTrackingSummary[[#This Row],[c0_SiteDesignCostAC]]</f>
        <v>0</v>
      </c>
      <c r="O17" s="96">
        <f>COUNTIFS(Table_SiteMilestoneTracking[SiteDesignReady_BL],"&gt;="&amp;Table_SiteMilestoneTrackingSummary[[#This Row],[StartDate]:[StartDate]],
Table_SiteMilestoneTracking[SiteDesignReady_BL],"&lt;"&amp;Table_SiteMilestoneTrackingSummary[[#This Row],[EndDate]:[EndDate]]+1)</f>
        <v>0</v>
      </c>
      <c r="P17" s="100">
        <f>P16+Table_SiteMilestoneTrackingSummary[[#This Row],[SiteDesignReady_BL]]</f>
        <v>0</v>
      </c>
      <c r="Q17" s="100">
        <f>COUNTIFS(Table_SiteMilestoneTracking[SiteDesignReady_AC],"&gt;="&amp;Table_SiteMilestoneTrackingSummary[[#This Row],[StartDate]:[StartDate]],Table_SiteMilestoneTracking[SiteDesignReady_AC],"&lt;"&amp;Table_SiteMilestoneTrackingSummary[[#This Row],[EndDate]:[EndDate]]+1)</f>
        <v>0</v>
      </c>
      <c r="R17" s="100">
        <f>R16+Table_SiteMilestoneTrackingSummary[[#This Row],[SiteDesignReady_AC]]</f>
        <v>0</v>
      </c>
      <c r="S17" s="100">
        <f>Table_SiteMilestoneTrackingSummary[[#This Row],[ReadyForCW_AC]]*$S$2</f>
        <v>0</v>
      </c>
      <c r="T17" s="100">
        <f>T16+Table_SiteMilestoneTrackingSummary[[#This Row],[c1_SiteSurveyEV]]</f>
        <v>0</v>
      </c>
      <c r="U17" s="96">
        <f>SUMIFS(Table_SiteMilestoneTracking[c1_SiteSurveyCostBL],
Table_SiteMilestoneTracking[SiteSurveyCompleted_BL],"&gt;="&amp;Table_SiteMilestoneTrackingSummary[[#This Row],[StartDate]:[StartDate]],
Table_SiteMilestoneTracking[SiteSurveyCompleted_BL],"&lt;"&amp;Table_SiteMilestoneTrackingSummary[[#This Row],[EndDate]:[EndDate]]+1)</f>
        <v>0</v>
      </c>
      <c r="V17" s="100">
        <f>V16+Table_SiteMilestoneTrackingSummary[[#This Row],[c1_SiteSurveyCostBL]]</f>
        <v>0</v>
      </c>
      <c r="W17" s="96">
        <f>SUMIFS(Table_SiteMilestoneTracking[c1_SiteSurveyCostAC],
Table_SiteMilestoneTracking[SiteSurveyCompleted_AC],"&gt;="&amp;Table_SiteMilestoneTrackingSummary[[#This Row],[StartDate]:[StartDate]],
Table_SiteMilestoneTracking[SiteSurveyCompleted_AC],"&lt;"&amp;Table_SiteMilestoneTrackingSummary[[#This Row],[EndDate]:[EndDate]]+1)</f>
        <v>0</v>
      </c>
      <c r="X17" s="100">
        <f>X16+Table_SiteMilestoneTrackingSummary[[#This Row],[c1_SiteSurveyCostAC]]</f>
        <v>0</v>
      </c>
      <c r="Y17" s="96">
        <f>COUNTIFS(Table_SiteMilestoneTracking[SiteSurveyCompleted_BL],"&gt;="&amp;Table_SiteMilestoneTrackingSummary[[#This Row],[StartDate]:[StartDate]],
Table_SiteMilestoneTracking[SiteSurveyCompleted_BL],"&lt;"&amp;Table_SiteMilestoneTrackingSummary[[#This Row],[EndDate]:[EndDate]]+1)</f>
        <v>0</v>
      </c>
      <c r="Z17" s="100">
        <f>Z16+Table_SiteMilestoneTrackingSummary[[#This Row],[SiteSurveyCompleted_BL]]</f>
        <v>0</v>
      </c>
      <c r="AA17" s="96">
        <f>COUNTIFS(Table_SiteMilestoneTracking[SiteSurveyCompleted_AC],"&gt;="&amp;Table_SiteMilestoneTrackingSummary[[#This Row],[StartDate]:[StartDate]],
Table_SiteMilestoneTracking[SiteSurveyCompleted_AC],"&lt;"&amp;Table_SiteMilestoneTrackingSummary[[#This Row],[EndDate]:[EndDate]]+1)</f>
        <v>0</v>
      </c>
      <c r="AB17" s="100">
        <f>AB16+Table_SiteMilestoneTrackingSummary[[#This Row],[SiteSurveyCompleted_AC]]</f>
        <v>0</v>
      </c>
      <c r="AC17" s="100">
        <f>$AC$2*Table_SiteMilestoneTrackingSummary[[#This Row],[SiteAcquired_AC]]</f>
        <v>0</v>
      </c>
      <c r="AD17" s="100">
        <f>AD16+Table_SiteMilestoneTrackingSummary[[#This Row],[c2_SiteAcquisitionEV]]</f>
        <v>0</v>
      </c>
      <c r="AE17" s="96">
        <f>SUMIFS(Table_SiteMilestoneTracking[c2_SiteAcquisitionCostBL],
Table_SiteMilestoneTracking[SiteAcquired_BL],"&gt;="&amp;Table_SiteMilestoneTrackingSummary[[#This Row],[StartDate]:[StartDate]],
Table_SiteMilestoneTracking[SiteAcquired_BL],"&lt;"&amp;Table_SiteMilestoneTrackingSummary[[#This Row],[EndDate]:[EndDate]]+1)</f>
        <v>0</v>
      </c>
      <c r="AF17" s="100">
        <f>AF16+Table_SiteMilestoneTrackingSummary[[#This Row],[c2_SiteAcquisitionCostBL]]</f>
        <v>0</v>
      </c>
      <c r="AG17" s="96">
        <f>SUMIFS(Table_SiteMilestoneTracking[c2_SiteAcquisitionCostAC],
Table_SiteMilestoneTracking[SiteAcquired_AC],"&gt;="&amp;Table_SiteMilestoneTrackingSummary[[#This Row],[StartDate]:[StartDate]],
Table_SiteMilestoneTracking[SiteAcquired_AC],"&lt;"&amp;Table_SiteMilestoneTrackingSummary[[#This Row],[EndDate]:[EndDate]]+1)</f>
        <v>0</v>
      </c>
      <c r="AH17" s="100">
        <f>AH16+Table_SiteMilestoneTrackingSummary[[#This Row],[c2_SiteAcquisitionCostAC]]</f>
        <v>0</v>
      </c>
      <c r="AI17" s="96">
        <f>COUNTIFS(Table_SiteMilestoneTracking[SiteAcquired_BL],"&gt;="&amp;Table_SiteMilestoneTrackingSummary[[#This Row],[StartDate]:[StartDate]],
Table_SiteMilestoneTracking[SiteAcquired_BL],"&lt;"&amp;Table_SiteMilestoneTrackingSummary[[#This Row],[EndDate]:[EndDate]]+1)</f>
        <v>0</v>
      </c>
      <c r="AJ17" s="100">
        <f>AJ16+Table_SiteMilestoneTrackingSummary[[#This Row],[SiteAcquired_BL]]</f>
        <v>0</v>
      </c>
      <c r="AK17" s="96">
        <f>COUNTIFS(Table_SiteMilestoneTracking[SiteAcquired_AC],"&gt;="&amp;Table_SiteMilestoneTrackingSummary[[#This Row],[StartDate]:[StartDate]],
Table_SiteMilestoneTracking[SiteAcquired_AC],"&lt;"&amp;Table_SiteMilestoneTrackingSummary[[#This Row],[EndDate]:[EndDate]]+1)</f>
        <v>0</v>
      </c>
      <c r="AL17" s="100">
        <f>AL16+Table_SiteMilestoneTrackingSummary[[#This Row],[SiteAcquired_AC]]</f>
        <v>0</v>
      </c>
      <c r="AM17" s="100">
        <f>Table_SiteMilestoneTrackingSummary[[#This Row],[ReadyForCW_AC]]*$AM$2</f>
        <v>0</v>
      </c>
      <c r="AN17" s="100">
        <f>AN16+Table_SiteMilestoneTrackingSummary[[#This Row],[c2a_SiteCWReadinessEV]]</f>
        <v>0</v>
      </c>
      <c r="AO17" s="96">
        <f>SUMIFS(Table_SiteMilestoneTracking[c2a_SiteCWReadinessCost_BL],
Table_SiteMilestoneTracking[SiteReadyForCW_BL],"&gt;="&amp;Table_SiteMilestoneTrackingSummary[[#This Row],[StartDate]:[StartDate]],
Table_SiteMilestoneTracking[SiteReadyForCW_BL],"&lt;"&amp;Table_SiteMilestoneTrackingSummary[[#This Row],[EndDate]:[EndDate]]+1)</f>
        <v>0</v>
      </c>
      <c r="AP17" s="100">
        <f>AP16+Table_SiteMilestoneTrackingSummary[[#This Row],[c2a_SiteCWReadinessCostBL]]</f>
        <v>0</v>
      </c>
      <c r="AQ17" s="96">
        <f>SUMIFS(Table_SiteMilestoneTracking[c2a_SiteCWReadinessCost_AC],
Table_SiteMilestoneTracking[SiteReadyForCW_AC],"&gt;="&amp;Table_SiteMilestoneTrackingSummary[[#This Row],[StartDate]:[StartDate]],
Table_SiteMilestoneTracking[SiteReadyForCW_AC],"&lt;"&amp;Table_SiteMilestoneTrackingSummary[[#This Row],[EndDate]:[EndDate]]+1)</f>
        <v>0</v>
      </c>
      <c r="AR17" s="100">
        <f>AR16+Table_SiteMilestoneTrackingSummary[[#This Row],[c2a_SiteCWReadinessCostAC]]</f>
        <v>0</v>
      </c>
      <c r="AS17" s="96">
        <f>COUNTIFS(Table_SiteMilestoneTracking[SiteReadyForCW_BL],"&gt;="&amp;Table_SiteMilestoneTrackingSummary[[#This Row],[StartDate]:[StartDate]],
Table_SiteMilestoneTracking[SiteReadyForCW_BL],"&lt;"&amp;Table_SiteMilestoneTrackingSummary[[#This Row],[EndDate]:[EndDate]]+1)</f>
        <v>0</v>
      </c>
      <c r="AT17" s="100">
        <f>AT16+Table_SiteMilestoneTrackingSummary[[#This Row],[ReadyForCW_BL]]</f>
        <v>0</v>
      </c>
      <c r="AU17" s="96">
        <f>COUNTIFS(Table_SiteMilestoneTracking[SiteReadyForCW_AC],"&gt;="&amp;Table_SiteMilestoneTrackingSummary[[#This Row],[StartDate]:[StartDate]],
Table_SiteMilestoneTracking[SiteReadyForCW_AC],"&lt;"&amp;Table_SiteMilestoneTrackingSummary[[#This Row],[EndDate]:[EndDate]]+1)</f>
        <v>0</v>
      </c>
      <c r="AV17" s="100">
        <f>AV16+Table_SiteMilestoneTrackingSummary[[#This Row],[ReadyForCW_AC]]</f>
        <v>0</v>
      </c>
      <c r="AW17" s="100">
        <f>$AW$2*Table_SiteMilestoneTrackingSummary[[#This Row],[ReadyForPower_AC]]</f>
        <v>0</v>
      </c>
      <c r="AX17" s="100">
        <f>AX16+Table_SiteMilestoneTrackingSummary[[#This Row],[c3_CivilWorksEV]]</f>
        <v>0</v>
      </c>
      <c r="AY17" s="96">
        <f>SUMIFS(Table_SiteMilestoneTracking[c3_CivilWorksCostBL],
Table_SiteMilestoneTracking[SiteReadyForPower_BL],"&gt;="&amp;Table_SiteMilestoneTrackingSummary[[#This Row],[StartDate]:[StartDate]],
Table_SiteMilestoneTracking[SiteReadyForPower_BL],"&lt;"&amp;Table_SiteMilestoneTrackingSummary[[#This Row],[EndDate]:[EndDate]]+1)</f>
        <v>0</v>
      </c>
      <c r="AZ17" s="100">
        <f>AZ16+Table_SiteMilestoneTrackingSummary[[#This Row],[c3_CivilWorksCostBL]]</f>
        <v>0</v>
      </c>
      <c r="BA17" s="96">
        <f>SUMIFS(Table_SiteMilestoneTracking[c3_CivilWorksCostAC],
Table_SiteMilestoneTracking[SiteReadyForPower_AC],"&gt;="&amp;Table_SiteMilestoneTrackingSummary[[#This Row],[StartDate]:[StartDate]],
Table_SiteMilestoneTracking[SiteReadyForPower_AC],"&lt;"&amp;Table_SiteMilestoneTrackingSummary[[#This Row],[EndDate]:[EndDate]]+1)</f>
        <v>0</v>
      </c>
      <c r="BB17" s="100">
        <f>BB16+Table_SiteMilestoneTrackingSummary[[#This Row],[c3_CivilWorksCostAC]]</f>
        <v>0</v>
      </c>
      <c r="BC17" s="96">
        <f>COUNTIFS(Table_SiteMilestoneTracking[SiteReadyForPower_BL],"&gt;="&amp;Table_SiteMilestoneTrackingSummary[[#This Row],[StartDate]:[StartDate]],
Table_SiteMilestoneTracking[SiteReadyForPower_BL],"&lt;"&amp;Table_SiteMilestoneTrackingSummary[[#This Row],[EndDate]:[EndDate]]+1)</f>
        <v>0</v>
      </c>
      <c r="BD17" s="100">
        <f>BD16+Table_SiteMilestoneTrackingSummary[[#This Row],[ReadyForPower_BL]]</f>
        <v>0</v>
      </c>
      <c r="BE17" s="96">
        <f>COUNTIFS(Table_SiteMilestoneTracking[SiteReadyForPower_AC],"&gt;="&amp;Table_SiteMilestoneTrackingSummary[[#This Row],[StartDate]:[StartDate]],
Table_SiteMilestoneTracking[SiteReadyForPower_AC],"&lt;"&amp;Table_SiteMilestoneTrackingSummary[[#This Row],[EndDate]:[EndDate]]+1)</f>
        <v>0</v>
      </c>
      <c r="BF17" s="100">
        <f>BF16+Table_SiteMilestoneTrackingSummary[[#This Row],[ReadyForPower_AC]]</f>
        <v>0</v>
      </c>
      <c r="BG17" s="100">
        <f>$BG$2*Table_SiteMilestoneTrackingSummary[[#This Row],[TXReady_AC]]</f>
        <v>0</v>
      </c>
      <c r="BH17" s="100">
        <f>BH16+Table_SiteMilestoneTrackingSummary[[#This Row],[c4_PowerInstallEV]]</f>
        <v>0</v>
      </c>
      <c r="BI17" s="96">
        <f>SUMIFS(Table_SiteMilestoneTracking[c4_PowerInstallCostBL],
Table_SiteMilestoneTracking[TXReady_BL],"&gt;="&amp;Table_SiteMilestoneTrackingSummary[[#This Row],[StartDate]:[StartDate]],
Table_SiteMilestoneTracking[TXReady_BL],"&lt;"&amp;Table_SiteMilestoneTrackingSummary[[#This Row],[EndDate]:[EndDate]]+1)</f>
        <v>0</v>
      </c>
      <c r="BJ17" s="100">
        <f>BJ16+Table_SiteMilestoneTrackingSummary[[#This Row],[c4_PowerInstallCostBL]]</f>
        <v>0</v>
      </c>
      <c r="BK17" s="96">
        <f>SUMIFS(Table_SiteMilestoneTracking[c4_PowerInstallCostAC],
Table_SiteMilestoneTracking[TXReady_AC],"&gt;="&amp;Table_SiteMilestoneTrackingSummary[[#This Row],[StartDate]:[StartDate]],
Table_SiteMilestoneTracking[TXReady_AC],"&lt;"&amp;Table_SiteMilestoneTrackingSummary[[#This Row],[EndDate]:[EndDate]]+1)</f>
        <v>0</v>
      </c>
      <c r="BL17" s="100">
        <f>BL16+Table_SiteMilestoneTrackingSummary[[#This Row],[c4_PowerInstallCostAC]]</f>
        <v>0</v>
      </c>
      <c r="BM17" s="96">
        <f>COUNTIFS(Table_SiteMilestoneTracking[TXReady_BL],"&gt;="&amp;Table_SiteMilestoneTrackingSummary[[#This Row],[StartDate]:[StartDate]],
Table_SiteMilestoneTracking[TXReady_BL],"&lt;"&amp;Table_SiteMilestoneTrackingSummary[[#This Row],[EndDate]:[EndDate]]+1)</f>
        <v>0</v>
      </c>
      <c r="BN17" s="100">
        <f>BN16+Table_SiteMilestoneTrackingSummary[[#This Row],[TXReady_BL]]</f>
        <v>0</v>
      </c>
      <c r="BO17" s="100">
        <f>COUNTIFS(Table_SiteMilestoneTracking[TXReady_AC],"&gt;="&amp;Table_SiteMilestoneTrackingSummary[[#This Row],[StartDate]:[StartDate]],Table_SiteMilestoneTracking[TXReady_AC],"&lt;"&amp;Table_SiteMilestoneTrackingSummary[[#This Row],[EndDate]:[EndDate]]+1)</f>
        <v>0</v>
      </c>
      <c r="BP17" s="100">
        <f>BP16+Table_SiteMilestoneTrackingSummary[[#This Row],[TXReady_AC]]</f>
        <v>0</v>
      </c>
      <c r="BQ17" s="100">
        <f>$BQ$2*Table_SiteMilestoneTrackingSummary[[#This Row],[ReadyForInstallation_AC]]</f>
        <v>0</v>
      </c>
      <c r="BR17" s="100">
        <f>BR16+Table_SiteMilestoneTrackingSummary[[#This Row],[c5_TxIntegrationEV]]</f>
        <v>0</v>
      </c>
      <c r="BS17" s="96">
        <f>SUMIFS(Table_SiteMilestoneTracking[c5_TxintegrationCostBL],
Table_SiteMilestoneTracking[SiteReadyForInstallation_BL],"&gt;="&amp;Table_SiteMilestoneTrackingSummary[[#This Row],[StartDate]:[StartDate]],
Table_SiteMilestoneTracking[SiteReadyForInstallation_BL],"&lt;"&amp;Table_SiteMilestoneTrackingSummary[[#This Row],[EndDate]:[EndDate]]+1)</f>
        <v>0</v>
      </c>
      <c r="BT17" s="100">
        <f>BT16+Table_SiteMilestoneTrackingSummary[[#This Row],[c5_TxIntegrationCostBL]]</f>
        <v>0</v>
      </c>
      <c r="BU17" s="96">
        <f>SUMIFS(Table_SiteMilestoneTracking[c5_TxintegrationCostAC],
Table_SiteMilestoneTracking[SiteReadyForInstallation_AC],"&gt;="&amp;Table_SiteMilestoneTrackingSummary[[#This Row],[StartDate]:[StartDate]],
Table_SiteMilestoneTracking[SiteReadyForInstallation_AC],"&lt;"&amp;Table_SiteMilestoneTrackingSummary[[#This Row],[EndDate]:[EndDate]]+1)</f>
        <v>0</v>
      </c>
      <c r="BV17" s="100">
        <f>BV16+Table_SiteMilestoneTrackingSummary[[#This Row],[c5_TxIntegrationCostAC]]</f>
        <v>0</v>
      </c>
      <c r="BW17" s="96">
        <f>COUNTIFS(Table_SiteMilestoneTracking[SiteReadyForInstallation_BL],"&gt;="&amp;Table_SiteMilestoneTrackingSummary[[#This Row],[StartDate]:[StartDate]],
Table_SiteMilestoneTracking[SiteReadyForInstallation_BL],"&lt;"&amp;Table_SiteMilestoneTrackingSummary[[#This Row],[EndDate]:[EndDate]]+1)</f>
        <v>0</v>
      </c>
      <c r="BX17" s="100">
        <f>BX16+Table_SiteMilestoneTrackingSummary[[#This Row],[ReadyForInstallation_BL]]</f>
        <v>0</v>
      </c>
      <c r="BY17" s="96">
        <f>COUNTIFS(Table_SiteMilestoneTracking[SiteReadyForInstallation_AC],"&gt;="&amp;Table_SiteMilestoneTrackingSummary[[#This Row],[StartDate]:[StartDate]],
Table_SiteMilestoneTracking[SiteReadyForInstallation_AC],"&lt;"&amp;Table_SiteMilestoneTrackingSummary[[#This Row],[EndDate]:[EndDate]]+1)</f>
        <v>0</v>
      </c>
      <c r="BZ17" s="100">
        <f>BZ16+Table_SiteMilestoneTrackingSummary[[#This Row],[ReadyForInstallation_AC]]</f>
        <v>0</v>
      </c>
      <c r="CA17" s="100">
        <f>$CA$2*Table_SiteMilestoneTrackingSummary[[#This Row],[ReadyForIntegration_AC]]</f>
        <v>0</v>
      </c>
      <c r="CB17" s="100">
        <f>CB16+Table_SiteMilestoneTrackingSummary[[#This Row],[c6_InstallationEV]]</f>
        <v>0</v>
      </c>
      <c r="CC17" s="96">
        <f>SUMIFS(Table_SiteMilestoneTracking[c6_InstallationCostBL],
Table_SiteMilestoneTracking[SiteReadyForIntegration_BL],"&gt;="&amp;Table_SiteMilestoneTrackingSummary[[#This Row],[StartDate]:[StartDate]],
Table_SiteMilestoneTracking[SiteReadyForIntegration_BL],"&lt;"&amp;Table_SiteMilestoneTrackingSummary[[#This Row],[EndDate]:[EndDate]]+1)</f>
        <v>0</v>
      </c>
      <c r="CD17" s="100">
        <f>CD16+Table_SiteMilestoneTrackingSummary[[#This Row],[c6_InstallationCostBL]]</f>
        <v>0</v>
      </c>
      <c r="CE17" s="96">
        <f>SUMIFS(Table_SiteMilestoneTracking[c6_InstallationCostAC],
Table_SiteMilestoneTracking[SiteReadyForIntegration_AC],"&gt;="&amp;Table_SiteMilestoneTrackingSummary[[#This Row],[StartDate]:[StartDate]],
Table_SiteMilestoneTracking[SiteReadyForIntegration_AC],"&lt;"&amp;Table_SiteMilestoneTrackingSummary[[#This Row],[EndDate]:[EndDate]]+1)</f>
        <v>0</v>
      </c>
      <c r="CF17" s="100">
        <f>CF16+Table_SiteMilestoneTrackingSummary[[#This Row],[c6_InstallationCostAC]]</f>
        <v>0</v>
      </c>
      <c r="CG17" s="96">
        <f>COUNTIFS(Table_SiteMilestoneTracking[SiteReadyForIntegration_BL],"&gt;="&amp;Table_SiteMilestoneTrackingSummary[[#This Row],[StartDate]:[StartDate]],
Table_SiteMilestoneTracking[SiteReadyForIntegration_BL],"&lt;"&amp;Table_SiteMilestoneTrackingSummary[[#This Row],[EndDate]:[EndDate]]+1)</f>
        <v>0</v>
      </c>
      <c r="CH17" s="100">
        <f>CH16+Table_SiteMilestoneTrackingSummary[[#This Row],[ReadyForIntegration_BL]]</f>
        <v>0</v>
      </c>
      <c r="CI17" s="96">
        <f>COUNTIFS(Table_SiteMilestoneTracking[SiteReadyForIntegration_AC],"&gt;="&amp;Table_SiteMilestoneTrackingSummary[[#This Row],[StartDate]:[StartDate]],
Table_SiteMilestoneTracking[SiteReadyForIntegration_AC],"&lt;"&amp;Table_SiteMilestoneTrackingSummary[[#This Row],[EndDate]:[EndDate]]+1)</f>
        <v>0</v>
      </c>
      <c r="CJ17" s="100">
        <f>CJ16+Table_SiteMilestoneTrackingSummary[[#This Row],[ReadyForIntegration_AC]]</f>
        <v>0</v>
      </c>
      <c r="CK17" s="100">
        <f>$CK$2*Table_SiteMilestoneTrackingSummary[[#This Row],[SiteOnAir_AC]]</f>
        <v>0</v>
      </c>
      <c r="CL17" s="100">
        <f>CL16+Table_SiteMilestoneTrackingSummary[[#This Row],[c7_IntegrationEV]]</f>
        <v>0</v>
      </c>
      <c r="CM17" s="96">
        <f>SUMIFS(Table_SiteMilestoneTracking[c7_IntegrationCostBL],
Table_SiteMilestoneTracking[SiteOnAir_BL],"&gt;="&amp;Table_SiteMilestoneTrackingSummary[[#This Row],[StartDate]:[StartDate]],
Table_SiteMilestoneTracking[SiteOnAir_BL],"&lt;"&amp;Table_SiteMilestoneTrackingSummary[[#This Row],[EndDate]:[EndDate]]+1)</f>
        <v>0</v>
      </c>
      <c r="CN17" s="100">
        <f>CN16+Table_SiteMilestoneTrackingSummary[[#This Row],[c7_IntegrationCostBL]]</f>
        <v>0</v>
      </c>
      <c r="CO17" s="96">
        <f>SUMIFS(Table_SiteMilestoneTracking[c7_IntegrationCostAC],
Table_SiteMilestoneTracking[SiteOnAir_AC],"&gt;="&amp;Table_SiteMilestoneTrackingSummary[[#This Row],[StartDate]:[StartDate]],
Table_SiteMilestoneTracking[SiteOnAir_AC],"&lt;"&amp;Table_SiteMilestoneTrackingSummary[[#This Row],[EndDate]:[EndDate]]+1)</f>
        <v>0</v>
      </c>
      <c r="CP17" s="100">
        <f>CP16+Table_SiteMilestoneTrackingSummary[[#This Row],[c7_IntegrationCostAC]]</f>
        <v>0</v>
      </c>
      <c r="CQ17" s="96">
        <f>COUNTIFS(Table_SiteMilestoneTracking[SiteOnAir_BL],"&gt;="&amp;Table_SiteMilestoneTrackingSummary[[#This Row],[StartDate]:[StartDate]],
Table_SiteMilestoneTracking[SiteOnAir_BL],"&lt;"&amp;Table_SiteMilestoneTrackingSummary[[#This Row],[EndDate]:[EndDate]]+1)</f>
        <v>0</v>
      </c>
      <c r="CR17" s="100">
        <f>CR16+Table_SiteMilestoneTrackingSummary[[#This Row],[SiteOnAir_BL]]</f>
        <v>0</v>
      </c>
      <c r="CS17" s="96">
        <f>COUNTIFS(Table_SiteMilestoneTracking[SiteOnAir_AC],"&gt;="&amp;Table_SiteMilestoneTrackingSummary[[#This Row],[StartDate]:[StartDate]],
Table_SiteMilestoneTracking[SiteOnAir_AC],"&lt;"&amp;Table_SiteMilestoneTrackingSummary[[#This Row],[EndDate]:[EndDate]]+1)</f>
        <v>0</v>
      </c>
      <c r="CT17" s="100">
        <f>CT16+Table_SiteMilestoneTrackingSummary[[#This Row],[SiteOnAir_AC]]</f>
        <v>0</v>
      </c>
      <c r="CU17" s="100">
        <f>$CU$2*Table_SiteMilestoneTrackingSummary[[#This Row],[SiteAccepted_AC]]</f>
        <v>0</v>
      </c>
      <c r="CV17" s="100">
        <f>CV16+Table_SiteMilestoneTrackingSummary[[#This Row],[c8_AcceptanceEV]]</f>
        <v>0</v>
      </c>
      <c r="CW17" s="96">
        <f>SUMIFS(Table_SiteMilestoneTracking[c8_AcceptanceCostBL],
Table_SiteMilestoneTracking[SiteAccepted_BL],"&gt;="&amp;Table_SiteMilestoneTrackingSummary[[#This Row],[StartDate]:[StartDate]],
Table_SiteMilestoneTracking[SiteAccepted_BL],"&lt;"&amp;Table_SiteMilestoneTrackingSummary[[#This Row],[EndDate]:[EndDate]]+1)</f>
        <v>0</v>
      </c>
      <c r="CX17" s="100">
        <f>CX16+Table_SiteMilestoneTrackingSummary[[#This Row],[c8_AcceptanceCostBL]]</f>
        <v>0</v>
      </c>
      <c r="CY17" s="96">
        <f>SUMIFS(Table_SiteMilestoneTracking[c8_AcceptanceCostAC],
Table_SiteMilestoneTracking[SiteAccepted_AC],"&gt;="&amp;Table_SiteMilestoneTrackingSummary[[#This Row],[StartDate]:[StartDate]],
Table_SiteMilestoneTracking[SiteAccepted_AC],"&lt;"&amp;Table_SiteMilestoneTrackingSummary[[#This Row],[EndDate]:[EndDate]]+1)</f>
        <v>0</v>
      </c>
      <c r="CZ17" s="100">
        <f>CZ16+Table_SiteMilestoneTrackingSummary[[#This Row],[c8_AcceptanceCostAC]]</f>
        <v>0</v>
      </c>
      <c r="DA17" s="96">
        <f>COUNTIFS(Table_SiteMilestoneTracking[SiteAccepted_BL],"&gt;="&amp;Table_SiteMilestoneTrackingSummary[[#This Row],[StartDate]:[StartDate]],
Table_SiteMilestoneTracking[SiteAccepted_BL],"&lt;"&amp;Table_SiteMilestoneTrackingSummary[[#This Row],[EndDate]:[EndDate]]+1)</f>
        <v>0</v>
      </c>
      <c r="DB17" s="100">
        <f>DB16+Table_SiteMilestoneTrackingSummary[[#This Row],[SiteAccepted_BL]]</f>
        <v>0</v>
      </c>
      <c r="DC17" s="96">
        <f>COUNTIFS(Table_SiteMilestoneTracking[SiteAccepted_AC],"&gt;="&amp;Table_SiteMilestoneTrackingSummary[[#This Row],[StartDate]:[StartDate]],
Table_SiteMilestoneTracking[SiteAccepted_AC],"&lt;"&amp;Table_SiteMilestoneTrackingSummary[[#This Row],[EndDate]:[EndDate]]+1)</f>
        <v>0</v>
      </c>
      <c r="DD17" s="100">
        <f>DD16+Table_SiteMilestoneTrackingSummary[[#This Row],[SiteAccepted_AC]]</f>
        <v>0</v>
      </c>
      <c r="DE17" s="100">
        <f>$DE$2*Table_SiteMilestoneTrackingSummary[[#This Row],[SiteInOperations_AC]]</f>
        <v>0</v>
      </c>
      <c r="DF17" s="100">
        <f>DF16+Table_SiteMilestoneTrackingSummary[[#This Row],[c9_HandoverEV]]</f>
        <v>0</v>
      </c>
      <c r="DG17" s="96">
        <f>SUMIFS(Table_SiteMilestoneTracking[c9_HandoverCostBL],
Table_SiteMilestoneTracking[SiteInOperations_BL],"&gt;="&amp;Table_SiteMilestoneTrackingSummary[[#This Row],[StartDate]:[StartDate]],
Table_SiteMilestoneTracking[SiteInOperations_BL],"&lt;"&amp;Table_SiteMilestoneTrackingSummary[[#This Row],[EndDate]:[EndDate]]+1)</f>
        <v>0</v>
      </c>
      <c r="DH17" s="100">
        <f>DH16+Table_SiteMilestoneTrackingSummary[[#This Row],[c9_HandoverCostBL2]]</f>
        <v>0</v>
      </c>
      <c r="DI17" s="96">
        <f>SUMIFS(Table_SiteMilestoneTracking[c9_HandoverCostAC],
Table_SiteMilestoneTracking[SiteInOperations_AC],"&gt;="&amp;Table_SiteMilestoneTrackingSummary[[#This Row],[StartDate]:[StartDate]],
Table_SiteMilestoneTracking[SiteInOperations_AC],"&lt;"&amp;Table_SiteMilestoneTrackingSummary[[#This Row],[EndDate]:[EndDate]]+1)</f>
        <v>0</v>
      </c>
      <c r="DJ17" s="100">
        <f>DJ16+Table_SiteMilestoneTrackingSummary[[#This Row],[c9_HandoverCostAC]]</f>
        <v>0</v>
      </c>
      <c r="DK17" s="96">
        <f>COUNTIFS(Table_SiteMilestoneTracking[SiteInOperations_BL],"&gt;="&amp;Table_SiteMilestoneTrackingSummary[[#This Row],[StartDate]:[StartDate]],
Table_SiteMilestoneTracking[SiteInOperations_BL],"&lt;"&amp;Table_SiteMilestoneTrackingSummary[[#This Row],[EndDate]:[EndDate]]+1)</f>
        <v>0</v>
      </c>
      <c r="DL17" s="100">
        <f>DL16+Table_SiteMilestoneTrackingSummary[[#This Row],[SiteInOperations_BL]]</f>
        <v>0</v>
      </c>
      <c r="DM17" s="96">
        <f>COUNTIFS(Table_SiteMilestoneTracking[SiteInOperations_AC],"&gt;="&amp;Table_SiteMilestoneTrackingSummary[[#This Row],[StartDate]:[StartDate]],
Table_SiteMilestoneTracking[SiteInOperations_AC],"&lt;"&amp;Table_SiteMilestoneTrackingSummary[[#This Row],[EndDate]:[EndDate]]+1)</f>
        <v>0</v>
      </c>
      <c r="DN17" s="100">
        <f>DN16+Table_SiteMilestoneTrackingSummary[[#This Row],[SiteInOperations_AC]]</f>
        <v>0</v>
      </c>
      <c r="DO17" s="59">
        <f>Table_SiteMilestoneTrackingSummary[[#This Row],[c0_SiteDesignEV(SUM)]]+Table_SiteMilestoneTrackingSummary[[#This Row],[c1_SiteSurveyEV(SUM)]]+Table_SiteMilestoneTrackingSummary[[#This Row],[c2_SiteAcquisitionEV(SUM)]]+Table_SiteMilestoneTrackingSummary[[#This Row],[c2a_SiteCWReadinessEV(SUM)]]+Table_SiteMilestoneTrackingSummary[[#This Row],[c3_CivilWorksEV(SUM)]]+Table_SiteMilestoneTrackingSummary[[#This Row],[c4_PowerInstallEV(SUM)]]+Table_SiteMilestoneTrackingSummary[[#This Row],[c5_TxIntegrationEV(SUM)]]+Table_SiteMilestoneTrackingSummary[[#This Row],[c6_InstallationEV(SUM)]]+Table_SiteMilestoneTrackingSummary[[#This Row],[c7_IntegrationEV(SUM)]]+Table_SiteMilestoneTrackingSummary[[#This Row],[c8_AcceptanceEV(SUM)]]+Table_SiteMilestoneTrackingSummary[[#This Row],[c9_HandoverEV(SUM)]]</f>
        <v>0</v>
      </c>
      <c r="DP17" s="59">
        <f>Table_SiteMilestoneTrackingSummary[[#This Row],[c0_SiteDesignCostBL(SUM)]]+Table_SiteMilestoneTrackingSummary[[#This Row],[c1_SiteSurveyCostBL(SUM)]]+Table_SiteMilestoneTrackingSummary[[#This Row],[c2_SiteAcquisitionCostBL(SUM)]]+Table_SiteMilestoneTrackingSummary[[#This Row],[c2a_SiteCWReadinessCostBL(SUM)]]+Table_SiteMilestoneTrackingSummary[[#This Row],[c3_CivilWorksCostBL(SUM)]]+Table_SiteMilestoneTrackingSummary[[#This Row],[c4_PowerInstallCostBL(SUM)]]+Table_SiteMilestoneTrackingSummary[[#This Row],[c5_TxIntegrationCostBL(SUM)]]+Table_SiteMilestoneTrackingSummary[[#This Row],[c6_InstallationCostBL(SUM)]]+Table_SiteMilestoneTrackingSummary[[#This Row],[c7_IntegrationCostBL(SUM)]]+Table_SiteMilestoneTrackingSummary[[#This Row],[c8_AcceptanceCostBL(SUM)]]+Table_SiteMilestoneTrackingSummary[[#This Row],[c9_HandoverCostBL(SUM)]]</f>
        <v>0</v>
      </c>
      <c r="DQ17" s="59">
        <f>Table_SiteMilestoneTrackingSummary[[#This Row],[c0_SiteDesignCostAC(SUM)]]+Table_SiteMilestoneTrackingSummary[[#This Row],[c1_SiteSurveyCostAC(SUM)]]+Table_SiteMilestoneTrackingSummary[[#This Row],[c2_SiteAcquisitionCostAC(SUM)]]+Table_SiteMilestoneTrackingSummary[[#This Row],[c2a_SiteCWReadinessCostAC(SUM)]]+Table_SiteMilestoneTrackingSummary[[#This Row],[c3_CivilWorksCostAC(SUM)]]+Table_SiteMilestoneTrackingSummary[[#This Row],[c4_PowerInstallCostAC(SUM)]]+Table_SiteMilestoneTrackingSummary[[#This Row],[c5_TxIntegrationCostAC(SUM)]]+Table_SiteMilestoneTrackingSummary[[#This Row],[c6_InstallationCostAC(SUM)]]+Table_SiteMilestoneTrackingSummary[[#This Row],[c7_IntegrationCostAC(SUM)]]+Table_SiteMilestoneTrackingSummary[[#This Row],[c8_AcceptanceCostAC(SUM)]]+Table_SiteMilestoneTrackingSummary[[#This Row],[c9_HandoverCostAC(SUM)]]</f>
        <v>0</v>
      </c>
      <c r="DR17" s="59">
        <f>Table_SiteMilestoneTrackingSummary[[#This Row],[AccumulatedEV]]-Table_SiteMilestoneTrackingSummary[[#This Row],[AccumulatedPV]]</f>
        <v>0</v>
      </c>
      <c r="DS17" s="59">
        <f>Table_SiteMilestoneTrackingSummary[[#This Row],[AccumulatedEV]]-Table_SiteMilestoneTrackingSummary[[#This Row],[AccumulatedAC]]</f>
        <v>0</v>
      </c>
      <c r="DT17" s="58" t="str">
        <f>IFERROR(Table_SiteMilestoneTrackingSummary[[#This Row],[AccumulatedEV]]/Table_SiteMilestoneTrackingSummary[[#This Row],[AccumulatedPV]],"/")</f>
        <v>/</v>
      </c>
      <c r="DU17" s="101" t="str">
        <f>IFERROR(Table_SiteMilestoneTrackingSummary[[#This Row],[AccumulatedEV]]/Table_SiteMilestoneTrackingSummary[[#This Row],[AccumulatedAC]],"/")</f>
        <v>/</v>
      </c>
    </row>
    <row r="18" spans="1:125" outlineLevel="1" x14ac:dyDescent="0.3">
      <c r="A18" s="79">
        <v>2020</v>
      </c>
      <c r="B18" s="79">
        <v>15</v>
      </c>
      <c r="C18" s="95">
        <f>DATE(Table_SiteMilestoneTrackingSummary[[#This Row],[Year]],1,-2)-WEEKDAY(DATE(Table_SiteMilestoneTrackingSummary[[#This Row],[Year]],1,3))+Table_SiteMilestoneTrackingSummary[[#This Row],[Week]]*7</f>
        <v>43927</v>
      </c>
      <c r="D18" s="95">
        <f>Table_SiteMilestoneTrackingSummary[[#This Row],[StartDate]]+6</f>
        <v>43933</v>
      </c>
      <c r="E18" s="100">
        <f>COUNTIFS(Table_SiteMilestoneTracking[SiteDesignStarted_BL],"&gt;="&amp;Table_SiteMilestoneTrackingSummary[[#This Row],[StartDate]:[StartDate]],Table_SiteMilestoneTracking[SiteDesignStarted_BL],"&lt;"&amp;Table_SiteMilestoneTrackingSummary[[#This Row],[EndDate]:[EndDate]]+1)</f>
        <v>0</v>
      </c>
      <c r="F18" s="100">
        <f>F17+Table_SiteMilestoneTrackingSummary[[#This Row],[SiteDesignStarted_BL]]</f>
        <v>0</v>
      </c>
      <c r="G18" s="100">
        <f>COUNTIFS(Table_SiteMilestoneTracking[SiteDesignStarted_AC],"&gt;="&amp;Table_SiteMilestoneTrackingSummary[[#This Row],[StartDate]:[StartDate]],Table_SiteMilestoneTracking[SiteDesignStarted_AC],"&lt;"&amp;Table_SiteMilestoneTrackingSummary[[#This Row],[EndDate]:[EndDate]]+1)</f>
        <v>0</v>
      </c>
      <c r="H18" s="100">
        <f>H17+Table_SiteMilestoneTrackingSummary[[#This Row],[SiteDesignStarted_AC]]</f>
        <v>0</v>
      </c>
      <c r="I18" s="100">
        <f>Table_SiteMilestoneTrackingSummary[[#This Row],[SiteDesignReady_AC]]*$I$2</f>
        <v>0</v>
      </c>
      <c r="J18" s="100">
        <f>J17+Table_SiteMilestoneTrackingSummary[[#This Row],[c0_SiteDesignEV]]</f>
        <v>0</v>
      </c>
      <c r="K18" s="97">
        <f>SUMIFS(Table_SiteMilestoneTracking[c0_SiteDesignCostBL],
Table_SiteMilestoneTracking[SiteDesignReady_BL],"&gt;="&amp;Table_SiteMilestoneTrackingSummary[[#This Row],[StartDate]:[StartDate]],
Table_SiteMilestoneTracking[SiteDesignReady_BL],"&lt;"&amp;Table_SiteMilestoneTrackingSummary[[#This Row],[EndDate]:[EndDate]]+1)</f>
        <v>0</v>
      </c>
      <c r="L18" s="59">
        <f>L17+Table_SiteMilestoneTrackingSummary[[#This Row],[c0_SiteDesignCostBL]]</f>
        <v>0</v>
      </c>
      <c r="M18" s="97">
        <f>SUMIFS(Table_SiteMilestoneTracking[c0_SiteDesignCostAC],
Table_SiteMilestoneTracking[SiteDesignReady_AC],"&gt;="&amp;Table_SiteMilestoneTrackingSummary[[#This Row],[StartDate]:[StartDate]],
Table_SiteMilestoneTracking[SiteDesignReady_AC],"&lt;"&amp;Table_SiteMilestoneTrackingSummary[[#This Row],[EndDate]:[EndDate]]+1)</f>
        <v>0</v>
      </c>
      <c r="N18" s="59">
        <f>N17+Table_SiteMilestoneTrackingSummary[[#This Row],[c0_SiteDesignCostAC]]</f>
        <v>0</v>
      </c>
      <c r="O18" s="96">
        <f>COUNTIFS(Table_SiteMilestoneTracking[SiteDesignReady_BL],"&gt;="&amp;Table_SiteMilestoneTrackingSummary[[#This Row],[StartDate]:[StartDate]],
Table_SiteMilestoneTracking[SiteDesignReady_BL],"&lt;"&amp;Table_SiteMilestoneTrackingSummary[[#This Row],[EndDate]:[EndDate]]+1)</f>
        <v>0</v>
      </c>
      <c r="P18" s="100">
        <f>P17+Table_SiteMilestoneTrackingSummary[[#This Row],[SiteDesignReady_BL]]</f>
        <v>0</v>
      </c>
      <c r="Q18" s="100">
        <f>COUNTIFS(Table_SiteMilestoneTracking[SiteDesignReady_AC],"&gt;="&amp;Table_SiteMilestoneTrackingSummary[[#This Row],[StartDate]:[StartDate]],Table_SiteMilestoneTracking[SiteDesignReady_AC],"&lt;"&amp;Table_SiteMilestoneTrackingSummary[[#This Row],[EndDate]:[EndDate]]+1)</f>
        <v>0</v>
      </c>
      <c r="R18" s="100">
        <f>R17+Table_SiteMilestoneTrackingSummary[[#This Row],[SiteDesignReady_AC]]</f>
        <v>0</v>
      </c>
      <c r="S18" s="100">
        <f>Table_SiteMilestoneTrackingSummary[[#This Row],[ReadyForCW_AC]]*$S$2</f>
        <v>0</v>
      </c>
      <c r="T18" s="100">
        <f>T17+Table_SiteMilestoneTrackingSummary[[#This Row],[c1_SiteSurveyEV]]</f>
        <v>0</v>
      </c>
      <c r="U18" s="96">
        <f>SUMIFS(Table_SiteMilestoneTracking[c1_SiteSurveyCostBL],
Table_SiteMilestoneTracking[SiteSurveyCompleted_BL],"&gt;="&amp;Table_SiteMilestoneTrackingSummary[[#This Row],[StartDate]:[StartDate]],
Table_SiteMilestoneTracking[SiteSurveyCompleted_BL],"&lt;"&amp;Table_SiteMilestoneTrackingSummary[[#This Row],[EndDate]:[EndDate]]+1)</f>
        <v>0</v>
      </c>
      <c r="V18" s="100">
        <f>V17+Table_SiteMilestoneTrackingSummary[[#This Row],[c1_SiteSurveyCostBL]]</f>
        <v>0</v>
      </c>
      <c r="W18" s="96">
        <f>SUMIFS(Table_SiteMilestoneTracking[c1_SiteSurveyCostAC],
Table_SiteMilestoneTracking[SiteSurveyCompleted_AC],"&gt;="&amp;Table_SiteMilestoneTrackingSummary[[#This Row],[StartDate]:[StartDate]],
Table_SiteMilestoneTracking[SiteSurveyCompleted_AC],"&lt;"&amp;Table_SiteMilestoneTrackingSummary[[#This Row],[EndDate]:[EndDate]]+1)</f>
        <v>0</v>
      </c>
      <c r="X18" s="100">
        <f>X17+Table_SiteMilestoneTrackingSummary[[#This Row],[c1_SiteSurveyCostAC]]</f>
        <v>0</v>
      </c>
      <c r="Y18" s="96">
        <f>COUNTIFS(Table_SiteMilestoneTracking[SiteSurveyCompleted_BL],"&gt;="&amp;Table_SiteMilestoneTrackingSummary[[#This Row],[StartDate]:[StartDate]],
Table_SiteMilestoneTracking[SiteSurveyCompleted_BL],"&lt;"&amp;Table_SiteMilestoneTrackingSummary[[#This Row],[EndDate]:[EndDate]]+1)</f>
        <v>0</v>
      </c>
      <c r="Z18" s="100">
        <f>Z17+Table_SiteMilestoneTrackingSummary[[#This Row],[SiteSurveyCompleted_BL]]</f>
        <v>0</v>
      </c>
      <c r="AA18" s="96">
        <f>COUNTIFS(Table_SiteMilestoneTracking[SiteSurveyCompleted_AC],"&gt;="&amp;Table_SiteMilestoneTrackingSummary[[#This Row],[StartDate]:[StartDate]],
Table_SiteMilestoneTracking[SiteSurveyCompleted_AC],"&lt;"&amp;Table_SiteMilestoneTrackingSummary[[#This Row],[EndDate]:[EndDate]]+1)</f>
        <v>0</v>
      </c>
      <c r="AB18" s="100">
        <f>AB17+Table_SiteMilestoneTrackingSummary[[#This Row],[SiteSurveyCompleted_AC]]</f>
        <v>0</v>
      </c>
      <c r="AC18" s="100">
        <f>$AC$2*Table_SiteMilestoneTrackingSummary[[#This Row],[SiteAcquired_AC]]</f>
        <v>0</v>
      </c>
      <c r="AD18" s="100">
        <f>AD17+Table_SiteMilestoneTrackingSummary[[#This Row],[c2_SiteAcquisitionEV]]</f>
        <v>0</v>
      </c>
      <c r="AE18" s="96">
        <f>SUMIFS(Table_SiteMilestoneTracking[c2_SiteAcquisitionCostBL],
Table_SiteMilestoneTracking[SiteAcquired_BL],"&gt;="&amp;Table_SiteMilestoneTrackingSummary[[#This Row],[StartDate]:[StartDate]],
Table_SiteMilestoneTracking[SiteAcquired_BL],"&lt;"&amp;Table_SiteMilestoneTrackingSummary[[#This Row],[EndDate]:[EndDate]]+1)</f>
        <v>0</v>
      </c>
      <c r="AF18" s="100">
        <f>AF17+Table_SiteMilestoneTrackingSummary[[#This Row],[c2_SiteAcquisitionCostBL]]</f>
        <v>0</v>
      </c>
      <c r="AG18" s="96">
        <f>SUMIFS(Table_SiteMilestoneTracking[c2_SiteAcquisitionCostAC],
Table_SiteMilestoneTracking[SiteAcquired_AC],"&gt;="&amp;Table_SiteMilestoneTrackingSummary[[#This Row],[StartDate]:[StartDate]],
Table_SiteMilestoneTracking[SiteAcquired_AC],"&lt;"&amp;Table_SiteMilestoneTrackingSummary[[#This Row],[EndDate]:[EndDate]]+1)</f>
        <v>0</v>
      </c>
      <c r="AH18" s="100">
        <f>AH17+Table_SiteMilestoneTrackingSummary[[#This Row],[c2_SiteAcquisitionCostAC]]</f>
        <v>0</v>
      </c>
      <c r="AI18" s="96">
        <f>COUNTIFS(Table_SiteMilestoneTracking[SiteAcquired_BL],"&gt;="&amp;Table_SiteMilestoneTrackingSummary[[#This Row],[StartDate]:[StartDate]],
Table_SiteMilestoneTracking[SiteAcquired_BL],"&lt;"&amp;Table_SiteMilestoneTrackingSummary[[#This Row],[EndDate]:[EndDate]]+1)</f>
        <v>0</v>
      </c>
      <c r="AJ18" s="100">
        <f>AJ17+Table_SiteMilestoneTrackingSummary[[#This Row],[SiteAcquired_BL]]</f>
        <v>0</v>
      </c>
      <c r="AK18" s="96">
        <f>COUNTIFS(Table_SiteMilestoneTracking[SiteAcquired_AC],"&gt;="&amp;Table_SiteMilestoneTrackingSummary[[#This Row],[StartDate]:[StartDate]],
Table_SiteMilestoneTracking[SiteAcquired_AC],"&lt;"&amp;Table_SiteMilestoneTrackingSummary[[#This Row],[EndDate]:[EndDate]]+1)</f>
        <v>0</v>
      </c>
      <c r="AL18" s="100">
        <f>AL17+Table_SiteMilestoneTrackingSummary[[#This Row],[SiteAcquired_AC]]</f>
        <v>0</v>
      </c>
      <c r="AM18" s="100">
        <f>Table_SiteMilestoneTrackingSummary[[#This Row],[ReadyForCW_AC]]*$AM$2</f>
        <v>0</v>
      </c>
      <c r="AN18" s="100">
        <f>AN17+Table_SiteMilestoneTrackingSummary[[#This Row],[c2a_SiteCWReadinessEV]]</f>
        <v>0</v>
      </c>
      <c r="AO18" s="96">
        <f>SUMIFS(Table_SiteMilestoneTracking[c2a_SiteCWReadinessCost_BL],
Table_SiteMilestoneTracking[SiteReadyForCW_BL],"&gt;="&amp;Table_SiteMilestoneTrackingSummary[[#This Row],[StartDate]:[StartDate]],
Table_SiteMilestoneTracking[SiteReadyForCW_BL],"&lt;"&amp;Table_SiteMilestoneTrackingSummary[[#This Row],[EndDate]:[EndDate]]+1)</f>
        <v>0</v>
      </c>
      <c r="AP18" s="100">
        <f>AP17+Table_SiteMilestoneTrackingSummary[[#This Row],[c2a_SiteCWReadinessCostBL]]</f>
        <v>0</v>
      </c>
      <c r="AQ18" s="96">
        <f>SUMIFS(Table_SiteMilestoneTracking[c2a_SiteCWReadinessCost_AC],
Table_SiteMilestoneTracking[SiteReadyForCW_AC],"&gt;="&amp;Table_SiteMilestoneTrackingSummary[[#This Row],[StartDate]:[StartDate]],
Table_SiteMilestoneTracking[SiteReadyForCW_AC],"&lt;"&amp;Table_SiteMilestoneTrackingSummary[[#This Row],[EndDate]:[EndDate]]+1)</f>
        <v>0</v>
      </c>
      <c r="AR18" s="100">
        <f>AR17+Table_SiteMilestoneTrackingSummary[[#This Row],[c2a_SiteCWReadinessCostAC]]</f>
        <v>0</v>
      </c>
      <c r="AS18" s="96">
        <f>COUNTIFS(Table_SiteMilestoneTracking[SiteReadyForCW_BL],"&gt;="&amp;Table_SiteMilestoneTrackingSummary[[#This Row],[StartDate]:[StartDate]],
Table_SiteMilestoneTracking[SiteReadyForCW_BL],"&lt;"&amp;Table_SiteMilestoneTrackingSummary[[#This Row],[EndDate]:[EndDate]]+1)</f>
        <v>0</v>
      </c>
      <c r="AT18" s="100">
        <f>AT17+Table_SiteMilestoneTrackingSummary[[#This Row],[ReadyForCW_BL]]</f>
        <v>0</v>
      </c>
      <c r="AU18" s="96">
        <f>COUNTIFS(Table_SiteMilestoneTracking[SiteReadyForCW_AC],"&gt;="&amp;Table_SiteMilestoneTrackingSummary[[#This Row],[StartDate]:[StartDate]],
Table_SiteMilestoneTracking[SiteReadyForCW_AC],"&lt;"&amp;Table_SiteMilestoneTrackingSummary[[#This Row],[EndDate]:[EndDate]]+1)</f>
        <v>0</v>
      </c>
      <c r="AV18" s="100">
        <f>AV17+Table_SiteMilestoneTrackingSummary[[#This Row],[ReadyForCW_AC]]</f>
        <v>0</v>
      </c>
      <c r="AW18" s="100">
        <f>$AW$2*Table_SiteMilestoneTrackingSummary[[#This Row],[ReadyForPower_AC]]</f>
        <v>0</v>
      </c>
      <c r="AX18" s="100">
        <f>AX17+Table_SiteMilestoneTrackingSummary[[#This Row],[c3_CivilWorksEV]]</f>
        <v>0</v>
      </c>
      <c r="AY18" s="96">
        <f>SUMIFS(Table_SiteMilestoneTracking[c3_CivilWorksCostBL],
Table_SiteMilestoneTracking[SiteReadyForPower_BL],"&gt;="&amp;Table_SiteMilestoneTrackingSummary[[#This Row],[StartDate]:[StartDate]],
Table_SiteMilestoneTracking[SiteReadyForPower_BL],"&lt;"&amp;Table_SiteMilestoneTrackingSummary[[#This Row],[EndDate]:[EndDate]]+1)</f>
        <v>0</v>
      </c>
      <c r="AZ18" s="100">
        <f>AZ17+Table_SiteMilestoneTrackingSummary[[#This Row],[c3_CivilWorksCostBL]]</f>
        <v>0</v>
      </c>
      <c r="BA18" s="96">
        <f>SUMIFS(Table_SiteMilestoneTracking[c3_CivilWorksCostAC],
Table_SiteMilestoneTracking[SiteReadyForPower_AC],"&gt;="&amp;Table_SiteMilestoneTrackingSummary[[#This Row],[StartDate]:[StartDate]],
Table_SiteMilestoneTracking[SiteReadyForPower_AC],"&lt;"&amp;Table_SiteMilestoneTrackingSummary[[#This Row],[EndDate]:[EndDate]]+1)</f>
        <v>0</v>
      </c>
      <c r="BB18" s="100">
        <f>BB17+Table_SiteMilestoneTrackingSummary[[#This Row],[c3_CivilWorksCostAC]]</f>
        <v>0</v>
      </c>
      <c r="BC18" s="96">
        <f>COUNTIFS(Table_SiteMilestoneTracking[SiteReadyForPower_BL],"&gt;="&amp;Table_SiteMilestoneTrackingSummary[[#This Row],[StartDate]:[StartDate]],
Table_SiteMilestoneTracking[SiteReadyForPower_BL],"&lt;"&amp;Table_SiteMilestoneTrackingSummary[[#This Row],[EndDate]:[EndDate]]+1)</f>
        <v>0</v>
      </c>
      <c r="BD18" s="100">
        <f>BD17+Table_SiteMilestoneTrackingSummary[[#This Row],[ReadyForPower_BL]]</f>
        <v>0</v>
      </c>
      <c r="BE18" s="96">
        <f>COUNTIFS(Table_SiteMilestoneTracking[SiteReadyForPower_AC],"&gt;="&amp;Table_SiteMilestoneTrackingSummary[[#This Row],[StartDate]:[StartDate]],
Table_SiteMilestoneTracking[SiteReadyForPower_AC],"&lt;"&amp;Table_SiteMilestoneTrackingSummary[[#This Row],[EndDate]:[EndDate]]+1)</f>
        <v>0</v>
      </c>
      <c r="BF18" s="100">
        <f>BF17+Table_SiteMilestoneTrackingSummary[[#This Row],[ReadyForPower_AC]]</f>
        <v>0</v>
      </c>
      <c r="BG18" s="100">
        <f>$BG$2*Table_SiteMilestoneTrackingSummary[[#This Row],[TXReady_AC]]</f>
        <v>0</v>
      </c>
      <c r="BH18" s="100">
        <f>BH17+Table_SiteMilestoneTrackingSummary[[#This Row],[c4_PowerInstallEV]]</f>
        <v>0</v>
      </c>
      <c r="BI18" s="96">
        <f>SUMIFS(Table_SiteMilestoneTracking[c4_PowerInstallCostBL],
Table_SiteMilestoneTracking[TXReady_BL],"&gt;="&amp;Table_SiteMilestoneTrackingSummary[[#This Row],[StartDate]:[StartDate]],
Table_SiteMilestoneTracking[TXReady_BL],"&lt;"&amp;Table_SiteMilestoneTrackingSummary[[#This Row],[EndDate]:[EndDate]]+1)</f>
        <v>0</v>
      </c>
      <c r="BJ18" s="100">
        <f>BJ17+Table_SiteMilestoneTrackingSummary[[#This Row],[c4_PowerInstallCostBL]]</f>
        <v>0</v>
      </c>
      <c r="BK18" s="96">
        <f>SUMIFS(Table_SiteMilestoneTracking[c4_PowerInstallCostAC],
Table_SiteMilestoneTracking[TXReady_AC],"&gt;="&amp;Table_SiteMilestoneTrackingSummary[[#This Row],[StartDate]:[StartDate]],
Table_SiteMilestoneTracking[TXReady_AC],"&lt;"&amp;Table_SiteMilestoneTrackingSummary[[#This Row],[EndDate]:[EndDate]]+1)</f>
        <v>0</v>
      </c>
      <c r="BL18" s="100">
        <f>BL17+Table_SiteMilestoneTrackingSummary[[#This Row],[c4_PowerInstallCostAC]]</f>
        <v>0</v>
      </c>
      <c r="BM18" s="96">
        <f>COUNTIFS(Table_SiteMilestoneTracking[TXReady_BL],"&gt;="&amp;Table_SiteMilestoneTrackingSummary[[#This Row],[StartDate]:[StartDate]],
Table_SiteMilestoneTracking[TXReady_BL],"&lt;"&amp;Table_SiteMilestoneTrackingSummary[[#This Row],[EndDate]:[EndDate]]+1)</f>
        <v>0</v>
      </c>
      <c r="BN18" s="100">
        <f>BN17+Table_SiteMilestoneTrackingSummary[[#This Row],[TXReady_BL]]</f>
        <v>0</v>
      </c>
      <c r="BO18" s="100">
        <f>COUNTIFS(Table_SiteMilestoneTracking[TXReady_AC],"&gt;="&amp;Table_SiteMilestoneTrackingSummary[[#This Row],[StartDate]:[StartDate]],Table_SiteMilestoneTracking[TXReady_AC],"&lt;"&amp;Table_SiteMilestoneTrackingSummary[[#This Row],[EndDate]:[EndDate]]+1)</f>
        <v>0</v>
      </c>
      <c r="BP18" s="100">
        <f>BP17+Table_SiteMilestoneTrackingSummary[[#This Row],[TXReady_AC]]</f>
        <v>0</v>
      </c>
      <c r="BQ18" s="100">
        <f>$BQ$2*Table_SiteMilestoneTrackingSummary[[#This Row],[ReadyForInstallation_AC]]</f>
        <v>0</v>
      </c>
      <c r="BR18" s="100">
        <f>BR17+Table_SiteMilestoneTrackingSummary[[#This Row],[c5_TxIntegrationEV]]</f>
        <v>0</v>
      </c>
      <c r="BS18" s="96">
        <f>SUMIFS(Table_SiteMilestoneTracking[c5_TxintegrationCostBL],
Table_SiteMilestoneTracking[SiteReadyForInstallation_BL],"&gt;="&amp;Table_SiteMilestoneTrackingSummary[[#This Row],[StartDate]:[StartDate]],
Table_SiteMilestoneTracking[SiteReadyForInstallation_BL],"&lt;"&amp;Table_SiteMilestoneTrackingSummary[[#This Row],[EndDate]:[EndDate]]+1)</f>
        <v>0</v>
      </c>
      <c r="BT18" s="100">
        <f>BT17+Table_SiteMilestoneTrackingSummary[[#This Row],[c5_TxIntegrationCostBL]]</f>
        <v>0</v>
      </c>
      <c r="BU18" s="96">
        <f>SUMIFS(Table_SiteMilestoneTracking[c5_TxintegrationCostAC],
Table_SiteMilestoneTracking[SiteReadyForInstallation_AC],"&gt;="&amp;Table_SiteMilestoneTrackingSummary[[#This Row],[StartDate]:[StartDate]],
Table_SiteMilestoneTracking[SiteReadyForInstallation_AC],"&lt;"&amp;Table_SiteMilestoneTrackingSummary[[#This Row],[EndDate]:[EndDate]]+1)</f>
        <v>0</v>
      </c>
      <c r="BV18" s="100">
        <f>BV17+Table_SiteMilestoneTrackingSummary[[#This Row],[c5_TxIntegrationCostAC]]</f>
        <v>0</v>
      </c>
      <c r="BW18" s="96">
        <f>COUNTIFS(Table_SiteMilestoneTracking[SiteReadyForInstallation_BL],"&gt;="&amp;Table_SiteMilestoneTrackingSummary[[#This Row],[StartDate]:[StartDate]],
Table_SiteMilestoneTracking[SiteReadyForInstallation_BL],"&lt;"&amp;Table_SiteMilestoneTrackingSummary[[#This Row],[EndDate]:[EndDate]]+1)</f>
        <v>0</v>
      </c>
      <c r="BX18" s="100">
        <f>BX17+Table_SiteMilestoneTrackingSummary[[#This Row],[ReadyForInstallation_BL]]</f>
        <v>0</v>
      </c>
      <c r="BY18" s="96">
        <f>COUNTIFS(Table_SiteMilestoneTracking[SiteReadyForInstallation_AC],"&gt;="&amp;Table_SiteMilestoneTrackingSummary[[#This Row],[StartDate]:[StartDate]],
Table_SiteMilestoneTracking[SiteReadyForInstallation_AC],"&lt;"&amp;Table_SiteMilestoneTrackingSummary[[#This Row],[EndDate]:[EndDate]]+1)</f>
        <v>0</v>
      </c>
      <c r="BZ18" s="100">
        <f>BZ17+Table_SiteMilestoneTrackingSummary[[#This Row],[ReadyForInstallation_AC]]</f>
        <v>0</v>
      </c>
      <c r="CA18" s="100">
        <f>$CA$2*Table_SiteMilestoneTrackingSummary[[#This Row],[ReadyForIntegration_AC]]</f>
        <v>0</v>
      </c>
      <c r="CB18" s="100">
        <f>CB17+Table_SiteMilestoneTrackingSummary[[#This Row],[c6_InstallationEV]]</f>
        <v>0</v>
      </c>
      <c r="CC18" s="96">
        <f>SUMIFS(Table_SiteMilestoneTracking[c6_InstallationCostBL],
Table_SiteMilestoneTracking[SiteReadyForIntegration_BL],"&gt;="&amp;Table_SiteMilestoneTrackingSummary[[#This Row],[StartDate]:[StartDate]],
Table_SiteMilestoneTracking[SiteReadyForIntegration_BL],"&lt;"&amp;Table_SiteMilestoneTrackingSummary[[#This Row],[EndDate]:[EndDate]]+1)</f>
        <v>0</v>
      </c>
      <c r="CD18" s="100">
        <f>CD17+Table_SiteMilestoneTrackingSummary[[#This Row],[c6_InstallationCostBL]]</f>
        <v>0</v>
      </c>
      <c r="CE18" s="96">
        <f>SUMIFS(Table_SiteMilestoneTracking[c6_InstallationCostAC],
Table_SiteMilestoneTracking[SiteReadyForIntegration_AC],"&gt;="&amp;Table_SiteMilestoneTrackingSummary[[#This Row],[StartDate]:[StartDate]],
Table_SiteMilestoneTracking[SiteReadyForIntegration_AC],"&lt;"&amp;Table_SiteMilestoneTrackingSummary[[#This Row],[EndDate]:[EndDate]]+1)</f>
        <v>0</v>
      </c>
      <c r="CF18" s="100">
        <f>CF17+Table_SiteMilestoneTrackingSummary[[#This Row],[c6_InstallationCostAC]]</f>
        <v>0</v>
      </c>
      <c r="CG18" s="96">
        <f>COUNTIFS(Table_SiteMilestoneTracking[SiteReadyForIntegration_BL],"&gt;="&amp;Table_SiteMilestoneTrackingSummary[[#This Row],[StartDate]:[StartDate]],
Table_SiteMilestoneTracking[SiteReadyForIntegration_BL],"&lt;"&amp;Table_SiteMilestoneTrackingSummary[[#This Row],[EndDate]:[EndDate]]+1)</f>
        <v>0</v>
      </c>
      <c r="CH18" s="100">
        <f>CH17+Table_SiteMilestoneTrackingSummary[[#This Row],[ReadyForIntegration_BL]]</f>
        <v>0</v>
      </c>
      <c r="CI18" s="96">
        <f>COUNTIFS(Table_SiteMilestoneTracking[SiteReadyForIntegration_AC],"&gt;="&amp;Table_SiteMilestoneTrackingSummary[[#This Row],[StartDate]:[StartDate]],
Table_SiteMilestoneTracking[SiteReadyForIntegration_AC],"&lt;"&amp;Table_SiteMilestoneTrackingSummary[[#This Row],[EndDate]:[EndDate]]+1)</f>
        <v>0</v>
      </c>
      <c r="CJ18" s="100">
        <f>CJ17+Table_SiteMilestoneTrackingSummary[[#This Row],[ReadyForIntegration_AC]]</f>
        <v>0</v>
      </c>
      <c r="CK18" s="100">
        <f>$CK$2*Table_SiteMilestoneTrackingSummary[[#This Row],[SiteOnAir_AC]]</f>
        <v>0</v>
      </c>
      <c r="CL18" s="100">
        <f>CL17+Table_SiteMilestoneTrackingSummary[[#This Row],[c7_IntegrationEV]]</f>
        <v>0</v>
      </c>
      <c r="CM18" s="96">
        <f>SUMIFS(Table_SiteMilestoneTracking[c7_IntegrationCostBL],
Table_SiteMilestoneTracking[SiteOnAir_BL],"&gt;="&amp;Table_SiteMilestoneTrackingSummary[[#This Row],[StartDate]:[StartDate]],
Table_SiteMilestoneTracking[SiteOnAir_BL],"&lt;"&amp;Table_SiteMilestoneTrackingSummary[[#This Row],[EndDate]:[EndDate]]+1)</f>
        <v>0</v>
      </c>
      <c r="CN18" s="100">
        <f>CN17+Table_SiteMilestoneTrackingSummary[[#This Row],[c7_IntegrationCostBL]]</f>
        <v>0</v>
      </c>
      <c r="CO18" s="96">
        <f>SUMIFS(Table_SiteMilestoneTracking[c7_IntegrationCostAC],
Table_SiteMilestoneTracking[SiteOnAir_AC],"&gt;="&amp;Table_SiteMilestoneTrackingSummary[[#This Row],[StartDate]:[StartDate]],
Table_SiteMilestoneTracking[SiteOnAir_AC],"&lt;"&amp;Table_SiteMilestoneTrackingSummary[[#This Row],[EndDate]:[EndDate]]+1)</f>
        <v>0</v>
      </c>
      <c r="CP18" s="100">
        <f>CP17+Table_SiteMilestoneTrackingSummary[[#This Row],[c7_IntegrationCostAC]]</f>
        <v>0</v>
      </c>
      <c r="CQ18" s="96">
        <f>COUNTIFS(Table_SiteMilestoneTracking[SiteOnAir_BL],"&gt;="&amp;Table_SiteMilestoneTrackingSummary[[#This Row],[StartDate]:[StartDate]],
Table_SiteMilestoneTracking[SiteOnAir_BL],"&lt;"&amp;Table_SiteMilestoneTrackingSummary[[#This Row],[EndDate]:[EndDate]]+1)</f>
        <v>0</v>
      </c>
      <c r="CR18" s="100">
        <f>CR17+Table_SiteMilestoneTrackingSummary[[#This Row],[SiteOnAir_BL]]</f>
        <v>0</v>
      </c>
      <c r="CS18" s="96">
        <f>COUNTIFS(Table_SiteMilestoneTracking[SiteOnAir_AC],"&gt;="&amp;Table_SiteMilestoneTrackingSummary[[#This Row],[StartDate]:[StartDate]],
Table_SiteMilestoneTracking[SiteOnAir_AC],"&lt;"&amp;Table_SiteMilestoneTrackingSummary[[#This Row],[EndDate]:[EndDate]]+1)</f>
        <v>0</v>
      </c>
      <c r="CT18" s="100">
        <f>CT17+Table_SiteMilestoneTrackingSummary[[#This Row],[SiteOnAir_AC]]</f>
        <v>0</v>
      </c>
      <c r="CU18" s="100">
        <f>$CU$2*Table_SiteMilestoneTrackingSummary[[#This Row],[SiteAccepted_AC]]</f>
        <v>0</v>
      </c>
      <c r="CV18" s="100">
        <f>CV17+Table_SiteMilestoneTrackingSummary[[#This Row],[c8_AcceptanceEV]]</f>
        <v>0</v>
      </c>
      <c r="CW18" s="96">
        <f>SUMIFS(Table_SiteMilestoneTracking[c8_AcceptanceCostBL],
Table_SiteMilestoneTracking[SiteAccepted_BL],"&gt;="&amp;Table_SiteMilestoneTrackingSummary[[#This Row],[StartDate]:[StartDate]],
Table_SiteMilestoneTracking[SiteAccepted_BL],"&lt;"&amp;Table_SiteMilestoneTrackingSummary[[#This Row],[EndDate]:[EndDate]]+1)</f>
        <v>0</v>
      </c>
      <c r="CX18" s="100">
        <f>CX17+Table_SiteMilestoneTrackingSummary[[#This Row],[c8_AcceptanceCostBL]]</f>
        <v>0</v>
      </c>
      <c r="CY18" s="96">
        <f>SUMIFS(Table_SiteMilestoneTracking[c8_AcceptanceCostAC],
Table_SiteMilestoneTracking[SiteAccepted_AC],"&gt;="&amp;Table_SiteMilestoneTrackingSummary[[#This Row],[StartDate]:[StartDate]],
Table_SiteMilestoneTracking[SiteAccepted_AC],"&lt;"&amp;Table_SiteMilestoneTrackingSummary[[#This Row],[EndDate]:[EndDate]]+1)</f>
        <v>0</v>
      </c>
      <c r="CZ18" s="100">
        <f>CZ17+Table_SiteMilestoneTrackingSummary[[#This Row],[c8_AcceptanceCostAC]]</f>
        <v>0</v>
      </c>
      <c r="DA18" s="96">
        <f>COUNTIFS(Table_SiteMilestoneTracking[SiteAccepted_BL],"&gt;="&amp;Table_SiteMilestoneTrackingSummary[[#This Row],[StartDate]:[StartDate]],
Table_SiteMilestoneTracking[SiteAccepted_BL],"&lt;"&amp;Table_SiteMilestoneTrackingSummary[[#This Row],[EndDate]:[EndDate]]+1)</f>
        <v>0</v>
      </c>
      <c r="DB18" s="100">
        <f>DB17+Table_SiteMilestoneTrackingSummary[[#This Row],[SiteAccepted_BL]]</f>
        <v>0</v>
      </c>
      <c r="DC18" s="96">
        <f>COUNTIFS(Table_SiteMilestoneTracking[SiteAccepted_AC],"&gt;="&amp;Table_SiteMilestoneTrackingSummary[[#This Row],[StartDate]:[StartDate]],
Table_SiteMilestoneTracking[SiteAccepted_AC],"&lt;"&amp;Table_SiteMilestoneTrackingSummary[[#This Row],[EndDate]:[EndDate]]+1)</f>
        <v>0</v>
      </c>
      <c r="DD18" s="100">
        <f>DD17+Table_SiteMilestoneTrackingSummary[[#This Row],[SiteAccepted_AC]]</f>
        <v>0</v>
      </c>
      <c r="DE18" s="100">
        <f>$DE$2*Table_SiteMilestoneTrackingSummary[[#This Row],[SiteInOperations_AC]]</f>
        <v>0</v>
      </c>
      <c r="DF18" s="100">
        <f>DF17+Table_SiteMilestoneTrackingSummary[[#This Row],[c9_HandoverEV]]</f>
        <v>0</v>
      </c>
      <c r="DG18" s="96">
        <f>SUMIFS(Table_SiteMilestoneTracking[c9_HandoverCostBL],
Table_SiteMilestoneTracking[SiteInOperations_BL],"&gt;="&amp;Table_SiteMilestoneTrackingSummary[[#This Row],[StartDate]:[StartDate]],
Table_SiteMilestoneTracking[SiteInOperations_BL],"&lt;"&amp;Table_SiteMilestoneTrackingSummary[[#This Row],[EndDate]:[EndDate]]+1)</f>
        <v>0</v>
      </c>
      <c r="DH18" s="100">
        <f>DH17+Table_SiteMilestoneTrackingSummary[[#This Row],[c9_HandoverCostBL2]]</f>
        <v>0</v>
      </c>
      <c r="DI18" s="96">
        <f>SUMIFS(Table_SiteMilestoneTracking[c9_HandoverCostAC],
Table_SiteMilestoneTracking[SiteInOperations_AC],"&gt;="&amp;Table_SiteMilestoneTrackingSummary[[#This Row],[StartDate]:[StartDate]],
Table_SiteMilestoneTracking[SiteInOperations_AC],"&lt;"&amp;Table_SiteMilestoneTrackingSummary[[#This Row],[EndDate]:[EndDate]]+1)</f>
        <v>0</v>
      </c>
      <c r="DJ18" s="100">
        <f>DJ17+Table_SiteMilestoneTrackingSummary[[#This Row],[c9_HandoverCostAC]]</f>
        <v>0</v>
      </c>
      <c r="DK18" s="96">
        <f>COUNTIFS(Table_SiteMilestoneTracking[SiteInOperations_BL],"&gt;="&amp;Table_SiteMilestoneTrackingSummary[[#This Row],[StartDate]:[StartDate]],
Table_SiteMilestoneTracking[SiteInOperations_BL],"&lt;"&amp;Table_SiteMilestoneTrackingSummary[[#This Row],[EndDate]:[EndDate]]+1)</f>
        <v>0</v>
      </c>
      <c r="DL18" s="100">
        <f>DL17+Table_SiteMilestoneTrackingSummary[[#This Row],[SiteInOperations_BL]]</f>
        <v>0</v>
      </c>
      <c r="DM18" s="96">
        <f>COUNTIFS(Table_SiteMilestoneTracking[SiteInOperations_AC],"&gt;="&amp;Table_SiteMilestoneTrackingSummary[[#This Row],[StartDate]:[StartDate]],
Table_SiteMilestoneTracking[SiteInOperations_AC],"&lt;"&amp;Table_SiteMilestoneTrackingSummary[[#This Row],[EndDate]:[EndDate]]+1)</f>
        <v>0</v>
      </c>
      <c r="DN18" s="100">
        <f>DN17+Table_SiteMilestoneTrackingSummary[[#This Row],[SiteInOperations_AC]]</f>
        <v>0</v>
      </c>
      <c r="DO18" s="59">
        <f>Table_SiteMilestoneTrackingSummary[[#This Row],[c0_SiteDesignEV(SUM)]]+Table_SiteMilestoneTrackingSummary[[#This Row],[c1_SiteSurveyEV(SUM)]]+Table_SiteMilestoneTrackingSummary[[#This Row],[c2_SiteAcquisitionEV(SUM)]]+Table_SiteMilestoneTrackingSummary[[#This Row],[c2a_SiteCWReadinessEV(SUM)]]+Table_SiteMilestoneTrackingSummary[[#This Row],[c3_CivilWorksEV(SUM)]]+Table_SiteMilestoneTrackingSummary[[#This Row],[c4_PowerInstallEV(SUM)]]+Table_SiteMilestoneTrackingSummary[[#This Row],[c5_TxIntegrationEV(SUM)]]+Table_SiteMilestoneTrackingSummary[[#This Row],[c6_InstallationEV(SUM)]]+Table_SiteMilestoneTrackingSummary[[#This Row],[c7_IntegrationEV(SUM)]]+Table_SiteMilestoneTrackingSummary[[#This Row],[c8_AcceptanceEV(SUM)]]+Table_SiteMilestoneTrackingSummary[[#This Row],[c9_HandoverEV(SUM)]]</f>
        <v>0</v>
      </c>
      <c r="DP18" s="59">
        <f>Table_SiteMilestoneTrackingSummary[[#This Row],[c0_SiteDesignCostBL(SUM)]]+Table_SiteMilestoneTrackingSummary[[#This Row],[c1_SiteSurveyCostBL(SUM)]]+Table_SiteMilestoneTrackingSummary[[#This Row],[c2_SiteAcquisitionCostBL(SUM)]]+Table_SiteMilestoneTrackingSummary[[#This Row],[c2a_SiteCWReadinessCostBL(SUM)]]+Table_SiteMilestoneTrackingSummary[[#This Row],[c3_CivilWorksCostBL(SUM)]]+Table_SiteMilestoneTrackingSummary[[#This Row],[c4_PowerInstallCostBL(SUM)]]+Table_SiteMilestoneTrackingSummary[[#This Row],[c5_TxIntegrationCostBL(SUM)]]+Table_SiteMilestoneTrackingSummary[[#This Row],[c6_InstallationCostBL(SUM)]]+Table_SiteMilestoneTrackingSummary[[#This Row],[c7_IntegrationCostBL(SUM)]]+Table_SiteMilestoneTrackingSummary[[#This Row],[c8_AcceptanceCostBL(SUM)]]+Table_SiteMilestoneTrackingSummary[[#This Row],[c9_HandoverCostBL(SUM)]]</f>
        <v>0</v>
      </c>
      <c r="DQ18" s="59">
        <f>Table_SiteMilestoneTrackingSummary[[#This Row],[c0_SiteDesignCostAC(SUM)]]+Table_SiteMilestoneTrackingSummary[[#This Row],[c1_SiteSurveyCostAC(SUM)]]+Table_SiteMilestoneTrackingSummary[[#This Row],[c2_SiteAcquisitionCostAC(SUM)]]+Table_SiteMilestoneTrackingSummary[[#This Row],[c2a_SiteCWReadinessCostAC(SUM)]]+Table_SiteMilestoneTrackingSummary[[#This Row],[c3_CivilWorksCostAC(SUM)]]+Table_SiteMilestoneTrackingSummary[[#This Row],[c4_PowerInstallCostAC(SUM)]]+Table_SiteMilestoneTrackingSummary[[#This Row],[c5_TxIntegrationCostAC(SUM)]]+Table_SiteMilestoneTrackingSummary[[#This Row],[c6_InstallationCostAC(SUM)]]+Table_SiteMilestoneTrackingSummary[[#This Row],[c7_IntegrationCostAC(SUM)]]+Table_SiteMilestoneTrackingSummary[[#This Row],[c8_AcceptanceCostAC(SUM)]]+Table_SiteMilestoneTrackingSummary[[#This Row],[c9_HandoverCostAC(SUM)]]</f>
        <v>0</v>
      </c>
      <c r="DR18" s="59">
        <f>Table_SiteMilestoneTrackingSummary[[#This Row],[AccumulatedEV]]-Table_SiteMilestoneTrackingSummary[[#This Row],[AccumulatedPV]]</f>
        <v>0</v>
      </c>
      <c r="DS18" s="59">
        <f>Table_SiteMilestoneTrackingSummary[[#This Row],[AccumulatedEV]]-Table_SiteMilestoneTrackingSummary[[#This Row],[AccumulatedAC]]</f>
        <v>0</v>
      </c>
      <c r="DT18" s="58" t="str">
        <f>IFERROR(Table_SiteMilestoneTrackingSummary[[#This Row],[AccumulatedEV]]/Table_SiteMilestoneTrackingSummary[[#This Row],[AccumulatedPV]],"/")</f>
        <v>/</v>
      </c>
      <c r="DU18" s="101" t="str">
        <f>IFERROR(Table_SiteMilestoneTrackingSummary[[#This Row],[AccumulatedEV]]/Table_SiteMilestoneTrackingSummary[[#This Row],[AccumulatedAC]],"/")</f>
        <v>/</v>
      </c>
    </row>
    <row r="19" spans="1:125" outlineLevel="1" x14ac:dyDescent="0.3">
      <c r="A19" s="79">
        <v>2020</v>
      </c>
      <c r="B19" s="79">
        <v>16</v>
      </c>
      <c r="C19" s="95">
        <f>DATE(Table_SiteMilestoneTrackingSummary[[#This Row],[Year]],1,-2)-WEEKDAY(DATE(Table_SiteMilestoneTrackingSummary[[#This Row],[Year]],1,3))+Table_SiteMilestoneTrackingSummary[[#This Row],[Week]]*7</f>
        <v>43934</v>
      </c>
      <c r="D19" s="95">
        <f>Table_SiteMilestoneTrackingSummary[[#This Row],[StartDate]]+6</f>
        <v>43940</v>
      </c>
      <c r="E19" s="100">
        <f>COUNTIFS(Table_SiteMilestoneTracking[SiteDesignStarted_BL],"&gt;="&amp;Table_SiteMilestoneTrackingSummary[[#This Row],[StartDate]:[StartDate]],Table_SiteMilestoneTracking[SiteDesignStarted_BL],"&lt;"&amp;Table_SiteMilestoneTrackingSummary[[#This Row],[EndDate]:[EndDate]]+1)</f>
        <v>0</v>
      </c>
      <c r="F19" s="100">
        <f>F18+Table_SiteMilestoneTrackingSummary[[#This Row],[SiteDesignStarted_BL]]</f>
        <v>0</v>
      </c>
      <c r="G19" s="100">
        <f>COUNTIFS(Table_SiteMilestoneTracking[SiteDesignStarted_AC],"&gt;="&amp;Table_SiteMilestoneTrackingSummary[[#This Row],[StartDate]:[StartDate]],Table_SiteMilestoneTracking[SiteDesignStarted_AC],"&lt;"&amp;Table_SiteMilestoneTrackingSummary[[#This Row],[EndDate]:[EndDate]]+1)</f>
        <v>0</v>
      </c>
      <c r="H19" s="100">
        <f>H18+Table_SiteMilestoneTrackingSummary[[#This Row],[SiteDesignStarted_AC]]</f>
        <v>0</v>
      </c>
      <c r="I19" s="100">
        <f>Table_SiteMilestoneTrackingSummary[[#This Row],[SiteDesignReady_AC]]*$I$2</f>
        <v>0</v>
      </c>
      <c r="J19" s="100">
        <f>J18+Table_SiteMilestoneTrackingSummary[[#This Row],[c0_SiteDesignEV]]</f>
        <v>0</v>
      </c>
      <c r="K19" s="97">
        <f>SUMIFS(Table_SiteMilestoneTracking[c0_SiteDesignCostBL],
Table_SiteMilestoneTracking[SiteDesignReady_BL],"&gt;="&amp;Table_SiteMilestoneTrackingSummary[[#This Row],[StartDate]:[StartDate]],
Table_SiteMilestoneTracking[SiteDesignReady_BL],"&lt;"&amp;Table_SiteMilestoneTrackingSummary[[#This Row],[EndDate]:[EndDate]]+1)</f>
        <v>0</v>
      </c>
      <c r="L19" s="59">
        <f>L18+Table_SiteMilestoneTrackingSummary[[#This Row],[c0_SiteDesignCostBL]]</f>
        <v>0</v>
      </c>
      <c r="M19" s="97">
        <f>SUMIFS(Table_SiteMilestoneTracking[c0_SiteDesignCostAC],
Table_SiteMilestoneTracking[SiteDesignReady_AC],"&gt;="&amp;Table_SiteMilestoneTrackingSummary[[#This Row],[StartDate]:[StartDate]],
Table_SiteMilestoneTracking[SiteDesignReady_AC],"&lt;"&amp;Table_SiteMilestoneTrackingSummary[[#This Row],[EndDate]:[EndDate]]+1)</f>
        <v>0</v>
      </c>
      <c r="N19" s="59">
        <f>N18+Table_SiteMilestoneTrackingSummary[[#This Row],[c0_SiteDesignCostAC]]</f>
        <v>0</v>
      </c>
      <c r="O19" s="96">
        <f>COUNTIFS(Table_SiteMilestoneTracking[SiteDesignReady_BL],"&gt;="&amp;Table_SiteMilestoneTrackingSummary[[#This Row],[StartDate]:[StartDate]],
Table_SiteMilestoneTracking[SiteDesignReady_BL],"&lt;"&amp;Table_SiteMilestoneTrackingSummary[[#This Row],[EndDate]:[EndDate]]+1)</f>
        <v>0</v>
      </c>
      <c r="P19" s="100">
        <f>P18+Table_SiteMilestoneTrackingSummary[[#This Row],[SiteDesignReady_BL]]</f>
        <v>0</v>
      </c>
      <c r="Q19" s="100">
        <f>COUNTIFS(Table_SiteMilestoneTracking[SiteDesignReady_AC],"&gt;="&amp;Table_SiteMilestoneTrackingSummary[[#This Row],[StartDate]:[StartDate]],Table_SiteMilestoneTracking[SiteDesignReady_AC],"&lt;"&amp;Table_SiteMilestoneTrackingSummary[[#This Row],[EndDate]:[EndDate]]+1)</f>
        <v>0</v>
      </c>
      <c r="R19" s="100">
        <f>R18+Table_SiteMilestoneTrackingSummary[[#This Row],[SiteDesignReady_AC]]</f>
        <v>0</v>
      </c>
      <c r="S19" s="100">
        <f>Table_SiteMilestoneTrackingSummary[[#This Row],[ReadyForCW_AC]]*$S$2</f>
        <v>0</v>
      </c>
      <c r="T19" s="100">
        <f>T18+Table_SiteMilestoneTrackingSummary[[#This Row],[c1_SiteSurveyEV]]</f>
        <v>0</v>
      </c>
      <c r="U19" s="96">
        <f>SUMIFS(Table_SiteMilestoneTracking[c1_SiteSurveyCostBL],
Table_SiteMilestoneTracking[SiteSurveyCompleted_BL],"&gt;="&amp;Table_SiteMilestoneTrackingSummary[[#This Row],[StartDate]:[StartDate]],
Table_SiteMilestoneTracking[SiteSurveyCompleted_BL],"&lt;"&amp;Table_SiteMilestoneTrackingSummary[[#This Row],[EndDate]:[EndDate]]+1)</f>
        <v>0</v>
      </c>
      <c r="V19" s="100">
        <f>V18+Table_SiteMilestoneTrackingSummary[[#This Row],[c1_SiteSurveyCostBL]]</f>
        <v>0</v>
      </c>
      <c r="W19" s="96">
        <f>SUMIFS(Table_SiteMilestoneTracking[c1_SiteSurveyCostAC],
Table_SiteMilestoneTracking[SiteSurveyCompleted_AC],"&gt;="&amp;Table_SiteMilestoneTrackingSummary[[#This Row],[StartDate]:[StartDate]],
Table_SiteMilestoneTracking[SiteSurveyCompleted_AC],"&lt;"&amp;Table_SiteMilestoneTrackingSummary[[#This Row],[EndDate]:[EndDate]]+1)</f>
        <v>0</v>
      </c>
      <c r="X19" s="100">
        <f>X18+Table_SiteMilestoneTrackingSummary[[#This Row],[c1_SiteSurveyCostAC]]</f>
        <v>0</v>
      </c>
      <c r="Y19" s="96">
        <f>COUNTIFS(Table_SiteMilestoneTracking[SiteSurveyCompleted_BL],"&gt;="&amp;Table_SiteMilestoneTrackingSummary[[#This Row],[StartDate]:[StartDate]],
Table_SiteMilestoneTracking[SiteSurveyCompleted_BL],"&lt;"&amp;Table_SiteMilestoneTrackingSummary[[#This Row],[EndDate]:[EndDate]]+1)</f>
        <v>0</v>
      </c>
      <c r="Z19" s="100">
        <f>Z18+Table_SiteMilestoneTrackingSummary[[#This Row],[SiteSurveyCompleted_BL]]</f>
        <v>0</v>
      </c>
      <c r="AA19" s="96">
        <f>COUNTIFS(Table_SiteMilestoneTracking[SiteSurveyCompleted_AC],"&gt;="&amp;Table_SiteMilestoneTrackingSummary[[#This Row],[StartDate]:[StartDate]],
Table_SiteMilestoneTracking[SiteSurveyCompleted_AC],"&lt;"&amp;Table_SiteMilestoneTrackingSummary[[#This Row],[EndDate]:[EndDate]]+1)</f>
        <v>0</v>
      </c>
      <c r="AB19" s="100">
        <f>AB18+Table_SiteMilestoneTrackingSummary[[#This Row],[SiteSurveyCompleted_AC]]</f>
        <v>0</v>
      </c>
      <c r="AC19" s="100">
        <f>$AC$2*Table_SiteMilestoneTrackingSummary[[#This Row],[SiteAcquired_AC]]</f>
        <v>0</v>
      </c>
      <c r="AD19" s="100">
        <f>AD18+Table_SiteMilestoneTrackingSummary[[#This Row],[c2_SiteAcquisitionEV]]</f>
        <v>0</v>
      </c>
      <c r="AE19" s="96">
        <f>SUMIFS(Table_SiteMilestoneTracking[c2_SiteAcquisitionCostBL],
Table_SiteMilestoneTracking[SiteAcquired_BL],"&gt;="&amp;Table_SiteMilestoneTrackingSummary[[#This Row],[StartDate]:[StartDate]],
Table_SiteMilestoneTracking[SiteAcquired_BL],"&lt;"&amp;Table_SiteMilestoneTrackingSummary[[#This Row],[EndDate]:[EndDate]]+1)</f>
        <v>0</v>
      </c>
      <c r="AF19" s="100">
        <f>AF18+Table_SiteMilestoneTrackingSummary[[#This Row],[c2_SiteAcquisitionCostBL]]</f>
        <v>0</v>
      </c>
      <c r="AG19" s="96">
        <f>SUMIFS(Table_SiteMilestoneTracking[c2_SiteAcquisitionCostAC],
Table_SiteMilestoneTracking[SiteAcquired_AC],"&gt;="&amp;Table_SiteMilestoneTrackingSummary[[#This Row],[StartDate]:[StartDate]],
Table_SiteMilestoneTracking[SiteAcquired_AC],"&lt;"&amp;Table_SiteMilestoneTrackingSummary[[#This Row],[EndDate]:[EndDate]]+1)</f>
        <v>0</v>
      </c>
      <c r="AH19" s="100">
        <f>AH18+Table_SiteMilestoneTrackingSummary[[#This Row],[c2_SiteAcquisitionCostAC]]</f>
        <v>0</v>
      </c>
      <c r="AI19" s="96">
        <f>COUNTIFS(Table_SiteMilestoneTracking[SiteAcquired_BL],"&gt;="&amp;Table_SiteMilestoneTrackingSummary[[#This Row],[StartDate]:[StartDate]],
Table_SiteMilestoneTracking[SiteAcquired_BL],"&lt;"&amp;Table_SiteMilestoneTrackingSummary[[#This Row],[EndDate]:[EndDate]]+1)</f>
        <v>0</v>
      </c>
      <c r="AJ19" s="100">
        <f>AJ18+Table_SiteMilestoneTrackingSummary[[#This Row],[SiteAcquired_BL]]</f>
        <v>0</v>
      </c>
      <c r="AK19" s="96">
        <f>COUNTIFS(Table_SiteMilestoneTracking[SiteAcquired_AC],"&gt;="&amp;Table_SiteMilestoneTrackingSummary[[#This Row],[StartDate]:[StartDate]],
Table_SiteMilestoneTracking[SiteAcquired_AC],"&lt;"&amp;Table_SiteMilestoneTrackingSummary[[#This Row],[EndDate]:[EndDate]]+1)</f>
        <v>0</v>
      </c>
      <c r="AL19" s="100">
        <f>AL18+Table_SiteMilestoneTrackingSummary[[#This Row],[SiteAcquired_AC]]</f>
        <v>0</v>
      </c>
      <c r="AM19" s="100">
        <f>Table_SiteMilestoneTrackingSummary[[#This Row],[ReadyForCW_AC]]*$AM$2</f>
        <v>0</v>
      </c>
      <c r="AN19" s="100">
        <f>AN18+Table_SiteMilestoneTrackingSummary[[#This Row],[c2a_SiteCWReadinessEV]]</f>
        <v>0</v>
      </c>
      <c r="AO19" s="96">
        <f>SUMIFS(Table_SiteMilestoneTracking[c2a_SiteCWReadinessCost_BL],
Table_SiteMilestoneTracking[SiteReadyForCW_BL],"&gt;="&amp;Table_SiteMilestoneTrackingSummary[[#This Row],[StartDate]:[StartDate]],
Table_SiteMilestoneTracking[SiteReadyForCW_BL],"&lt;"&amp;Table_SiteMilestoneTrackingSummary[[#This Row],[EndDate]:[EndDate]]+1)</f>
        <v>0</v>
      </c>
      <c r="AP19" s="100">
        <f>AP18+Table_SiteMilestoneTrackingSummary[[#This Row],[c2a_SiteCWReadinessCostBL]]</f>
        <v>0</v>
      </c>
      <c r="AQ19" s="96">
        <f>SUMIFS(Table_SiteMilestoneTracking[c2a_SiteCWReadinessCost_AC],
Table_SiteMilestoneTracking[SiteReadyForCW_AC],"&gt;="&amp;Table_SiteMilestoneTrackingSummary[[#This Row],[StartDate]:[StartDate]],
Table_SiteMilestoneTracking[SiteReadyForCW_AC],"&lt;"&amp;Table_SiteMilestoneTrackingSummary[[#This Row],[EndDate]:[EndDate]]+1)</f>
        <v>0</v>
      </c>
      <c r="AR19" s="100">
        <f>AR18+Table_SiteMilestoneTrackingSummary[[#This Row],[c2a_SiteCWReadinessCostAC]]</f>
        <v>0</v>
      </c>
      <c r="AS19" s="96">
        <f>COUNTIFS(Table_SiteMilestoneTracking[SiteReadyForCW_BL],"&gt;="&amp;Table_SiteMilestoneTrackingSummary[[#This Row],[StartDate]:[StartDate]],
Table_SiteMilestoneTracking[SiteReadyForCW_BL],"&lt;"&amp;Table_SiteMilestoneTrackingSummary[[#This Row],[EndDate]:[EndDate]]+1)</f>
        <v>0</v>
      </c>
      <c r="AT19" s="100">
        <f>AT18+Table_SiteMilestoneTrackingSummary[[#This Row],[ReadyForCW_BL]]</f>
        <v>0</v>
      </c>
      <c r="AU19" s="96">
        <f>COUNTIFS(Table_SiteMilestoneTracking[SiteReadyForCW_AC],"&gt;="&amp;Table_SiteMilestoneTrackingSummary[[#This Row],[StartDate]:[StartDate]],
Table_SiteMilestoneTracking[SiteReadyForCW_AC],"&lt;"&amp;Table_SiteMilestoneTrackingSummary[[#This Row],[EndDate]:[EndDate]]+1)</f>
        <v>0</v>
      </c>
      <c r="AV19" s="100">
        <f>AV18+Table_SiteMilestoneTrackingSummary[[#This Row],[ReadyForCW_AC]]</f>
        <v>0</v>
      </c>
      <c r="AW19" s="100">
        <f>$AW$2*Table_SiteMilestoneTrackingSummary[[#This Row],[ReadyForPower_AC]]</f>
        <v>0</v>
      </c>
      <c r="AX19" s="100">
        <f>AX18+Table_SiteMilestoneTrackingSummary[[#This Row],[c3_CivilWorksEV]]</f>
        <v>0</v>
      </c>
      <c r="AY19" s="96">
        <f>SUMIFS(Table_SiteMilestoneTracking[c3_CivilWorksCostBL],
Table_SiteMilestoneTracking[SiteReadyForPower_BL],"&gt;="&amp;Table_SiteMilestoneTrackingSummary[[#This Row],[StartDate]:[StartDate]],
Table_SiteMilestoneTracking[SiteReadyForPower_BL],"&lt;"&amp;Table_SiteMilestoneTrackingSummary[[#This Row],[EndDate]:[EndDate]]+1)</f>
        <v>0</v>
      </c>
      <c r="AZ19" s="100">
        <f>AZ18+Table_SiteMilestoneTrackingSummary[[#This Row],[c3_CivilWorksCostBL]]</f>
        <v>0</v>
      </c>
      <c r="BA19" s="96">
        <f>SUMIFS(Table_SiteMilestoneTracking[c3_CivilWorksCostAC],
Table_SiteMilestoneTracking[SiteReadyForPower_AC],"&gt;="&amp;Table_SiteMilestoneTrackingSummary[[#This Row],[StartDate]:[StartDate]],
Table_SiteMilestoneTracking[SiteReadyForPower_AC],"&lt;"&amp;Table_SiteMilestoneTrackingSummary[[#This Row],[EndDate]:[EndDate]]+1)</f>
        <v>0</v>
      </c>
      <c r="BB19" s="100">
        <f>BB18+Table_SiteMilestoneTrackingSummary[[#This Row],[c3_CivilWorksCostAC]]</f>
        <v>0</v>
      </c>
      <c r="BC19" s="96">
        <f>COUNTIFS(Table_SiteMilestoneTracking[SiteReadyForPower_BL],"&gt;="&amp;Table_SiteMilestoneTrackingSummary[[#This Row],[StartDate]:[StartDate]],
Table_SiteMilestoneTracking[SiteReadyForPower_BL],"&lt;"&amp;Table_SiteMilestoneTrackingSummary[[#This Row],[EndDate]:[EndDate]]+1)</f>
        <v>0</v>
      </c>
      <c r="BD19" s="100">
        <f>BD18+Table_SiteMilestoneTrackingSummary[[#This Row],[ReadyForPower_BL]]</f>
        <v>0</v>
      </c>
      <c r="BE19" s="96">
        <f>COUNTIFS(Table_SiteMilestoneTracking[SiteReadyForPower_AC],"&gt;="&amp;Table_SiteMilestoneTrackingSummary[[#This Row],[StartDate]:[StartDate]],
Table_SiteMilestoneTracking[SiteReadyForPower_AC],"&lt;"&amp;Table_SiteMilestoneTrackingSummary[[#This Row],[EndDate]:[EndDate]]+1)</f>
        <v>0</v>
      </c>
      <c r="BF19" s="100">
        <f>BF18+Table_SiteMilestoneTrackingSummary[[#This Row],[ReadyForPower_AC]]</f>
        <v>0</v>
      </c>
      <c r="BG19" s="100">
        <f>$BG$2*Table_SiteMilestoneTrackingSummary[[#This Row],[TXReady_AC]]</f>
        <v>0</v>
      </c>
      <c r="BH19" s="100">
        <f>BH18+Table_SiteMilestoneTrackingSummary[[#This Row],[c4_PowerInstallEV]]</f>
        <v>0</v>
      </c>
      <c r="BI19" s="96">
        <f>SUMIFS(Table_SiteMilestoneTracking[c4_PowerInstallCostBL],
Table_SiteMilestoneTracking[TXReady_BL],"&gt;="&amp;Table_SiteMilestoneTrackingSummary[[#This Row],[StartDate]:[StartDate]],
Table_SiteMilestoneTracking[TXReady_BL],"&lt;"&amp;Table_SiteMilestoneTrackingSummary[[#This Row],[EndDate]:[EndDate]]+1)</f>
        <v>0</v>
      </c>
      <c r="BJ19" s="100">
        <f>BJ18+Table_SiteMilestoneTrackingSummary[[#This Row],[c4_PowerInstallCostBL]]</f>
        <v>0</v>
      </c>
      <c r="BK19" s="96">
        <f>SUMIFS(Table_SiteMilestoneTracking[c4_PowerInstallCostAC],
Table_SiteMilestoneTracking[TXReady_AC],"&gt;="&amp;Table_SiteMilestoneTrackingSummary[[#This Row],[StartDate]:[StartDate]],
Table_SiteMilestoneTracking[TXReady_AC],"&lt;"&amp;Table_SiteMilestoneTrackingSummary[[#This Row],[EndDate]:[EndDate]]+1)</f>
        <v>0</v>
      </c>
      <c r="BL19" s="100">
        <f>BL18+Table_SiteMilestoneTrackingSummary[[#This Row],[c4_PowerInstallCostAC]]</f>
        <v>0</v>
      </c>
      <c r="BM19" s="96">
        <f>COUNTIFS(Table_SiteMilestoneTracking[TXReady_BL],"&gt;="&amp;Table_SiteMilestoneTrackingSummary[[#This Row],[StartDate]:[StartDate]],
Table_SiteMilestoneTracking[TXReady_BL],"&lt;"&amp;Table_SiteMilestoneTrackingSummary[[#This Row],[EndDate]:[EndDate]]+1)</f>
        <v>0</v>
      </c>
      <c r="BN19" s="100">
        <f>BN18+Table_SiteMilestoneTrackingSummary[[#This Row],[TXReady_BL]]</f>
        <v>0</v>
      </c>
      <c r="BO19" s="100">
        <f>COUNTIFS(Table_SiteMilestoneTracking[TXReady_AC],"&gt;="&amp;Table_SiteMilestoneTrackingSummary[[#This Row],[StartDate]:[StartDate]],Table_SiteMilestoneTracking[TXReady_AC],"&lt;"&amp;Table_SiteMilestoneTrackingSummary[[#This Row],[EndDate]:[EndDate]]+1)</f>
        <v>0</v>
      </c>
      <c r="BP19" s="100">
        <f>BP18+Table_SiteMilestoneTrackingSummary[[#This Row],[TXReady_AC]]</f>
        <v>0</v>
      </c>
      <c r="BQ19" s="100">
        <f>$BQ$2*Table_SiteMilestoneTrackingSummary[[#This Row],[ReadyForInstallation_AC]]</f>
        <v>0</v>
      </c>
      <c r="BR19" s="100">
        <f>BR18+Table_SiteMilestoneTrackingSummary[[#This Row],[c5_TxIntegrationEV]]</f>
        <v>0</v>
      </c>
      <c r="BS19" s="96">
        <f>SUMIFS(Table_SiteMilestoneTracking[c5_TxintegrationCostBL],
Table_SiteMilestoneTracking[SiteReadyForInstallation_BL],"&gt;="&amp;Table_SiteMilestoneTrackingSummary[[#This Row],[StartDate]:[StartDate]],
Table_SiteMilestoneTracking[SiteReadyForInstallation_BL],"&lt;"&amp;Table_SiteMilestoneTrackingSummary[[#This Row],[EndDate]:[EndDate]]+1)</f>
        <v>0</v>
      </c>
      <c r="BT19" s="100">
        <f>BT18+Table_SiteMilestoneTrackingSummary[[#This Row],[c5_TxIntegrationCostBL]]</f>
        <v>0</v>
      </c>
      <c r="BU19" s="96">
        <f>SUMIFS(Table_SiteMilestoneTracking[c5_TxintegrationCostAC],
Table_SiteMilestoneTracking[SiteReadyForInstallation_AC],"&gt;="&amp;Table_SiteMilestoneTrackingSummary[[#This Row],[StartDate]:[StartDate]],
Table_SiteMilestoneTracking[SiteReadyForInstallation_AC],"&lt;"&amp;Table_SiteMilestoneTrackingSummary[[#This Row],[EndDate]:[EndDate]]+1)</f>
        <v>0</v>
      </c>
      <c r="BV19" s="100">
        <f>BV18+Table_SiteMilestoneTrackingSummary[[#This Row],[c5_TxIntegrationCostAC]]</f>
        <v>0</v>
      </c>
      <c r="BW19" s="96">
        <f>COUNTIFS(Table_SiteMilestoneTracking[SiteReadyForInstallation_BL],"&gt;="&amp;Table_SiteMilestoneTrackingSummary[[#This Row],[StartDate]:[StartDate]],
Table_SiteMilestoneTracking[SiteReadyForInstallation_BL],"&lt;"&amp;Table_SiteMilestoneTrackingSummary[[#This Row],[EndDate]:[EndDate]]+1)</f>
        <v>0</v>
      </c>
      <c r="BX19" s="100">
        <f>BX18+Table_SiteMilestoneTrackingSummary[[#This Row],[ReadyForInstallation_BL]]</f>
        <v>0</v>
      </c>
      <c r="BY19" s="96">
        <f>COUNTIFS(Table_SiteMilestoneTracking[SiteReadyForInstallation_AC],"&gt;="&amp;Table_SiteMilestoneTrackingSummary[[#This Row],[StartDate]:[StartDate]],
Table_SiteMilestoneTracking[SiteReadyForInstallation_AC],"&lt;"&amp;Table_SiteMilestoneTrackingSummary[[#This Row],[EndDate]:[EndDate]]+1)</f>
        <v>0</v>
      </c>
      <c r="BZ19" s="100">
        <f>BZ18+Table_SiteMilestoneTrackingSummary[[#This Row],[ReadyForInstallation_AC]]</f>
        <v>0</v>
      </c>
      <c r="CA19" s="100">
        <f>$CA$2*Table_SiteMilestoneTrackingSummary[[#This Row],[ReadyForIntegration_AC]]</f>
        <v>0</v>
      </c>
      <c r="CB19" s="100">
        <f>CB18+Table_SiteMilestoneTrackingSummary[[#This Row],[c6_InstallationEV]]</f>
        <v>0</v>
      </c>
      <c r="CC19" s="96">
        <f>SUMIFS(Table_SiteMilestoneTracking[c6_InstallationCostBL],
Table_SiteMilestoneTracking[SiteReadyForIntegration_BL],"&gt;="&amp;Table_SiteMilestoneTrackingSummary[[#This Row],[StartDate]:[StartDate]],
Table_SiteMilestoneTracking[SiteReadyForIntegration_BL],"&lt;"&amp;Table_SiteMilestoneTrackingSummary[[#This Row],[EndDate]:[EndDate]]+1)</f>
        <v>0</v>
      </c>
      <c r="CD19" s="100">
        <f>CD18+Table_SiteMilestoneTrackingSummary[[#This Row],[c6_InstallationCostBL]]</f>
        <v>0</v>
      </c>
      <c r="CE19" s="96">
        <f>SUMIFS(Table_SiteMilestoneTracking[c6_InstallationCostAC],
Table_SiteMilestoneTracking[SiteReadyForIntegration_AC],"&gt;="&amp;Table_SiteMilestoneTrackingSummary[[#This Row],[StartDate]:[StartDate]],
Table_SiteMilestoneTracking[SiteReadyForIntegration_AC],"&lt;"&amp;Table_SiteMilestoneTrackingSummary[[#This Row],[EndDate]:[EndDate]]+1)</f>
        <v>0</v>
      </c>
      <c r="CF19" s="100">
        <f>CF18+Table_SiteMilestoneTrackingSummary[[#This Row],[c6_InstallationCostAC]]</f>
        <v>0</v>
      </c>
      <c r="CG19" s="96">
        <f>COUNTIFS(Table_SiteMilestoneTracking[SiteReadyForIntegration_BL],"&gt;="&amp;Table_SiteMilestoneTrackingSummary[[#This Row],[StartDate]:[StartDate]],
Table_SiteMilestoneTracking[SiteReadyForIntegration_BL],"&lt;"&amp;Table_SiteMilestoneTrackingSummary[[#This Row],[EndDate]:[EndDate]]+1)</f>
        <v>0</v>
      </c>
      <c r="CH19" s="100">
        <f>CH18+Table_SiteMilestoneTrackingSummary[[#This Row],[ReadyForIntegration_BL]]</f>
        <v>0</v>
      </c>
      <c r="CI19" s="96">
        <f>COUNTIFS(Table_SiteMilestoneTracking[SiteReadyForIntegration_AC],"&gt;="&amp;Table_SiteMilestoneTrackingSummary[[#This Row],[StartDate]:[StartDate]],
Table_SiteMilestoneTracking[SiteReadyForIntegration_AC],"&lt;"&amp;Table_SiteMilestoneTrackingSummary[[#This Row],[EndDate]:[EndDate]]+1)</f>
        <v>0</v>
      </c>
      <c r="CJ19" s="100">
        <f>CJ18+Table_SiteMilestoneTrackingSummary[[#This Row],[ReadyForIntegration_AC]]</f>
        <v>0</v>
      </c>
      <c r="CK19" s="100">
        <f>$CK$2*Table_SiteMilestoneTrackingSummary[[#This Row],[SiteOnAir_AC]]</f>
        <v>0</v>
      </c>
      <c r="CL19" s="100">
        <f>CL18+Table_SiteMilestoneTrackingSummary[[#This Row],[c7_IntegrationEV]]</f>
        <v>0</v>
      </c>
      <c r="CM19" s="96">
        <f>SUMIFS(Table_SiteMilestoneTracking[c7_IntegrationCostBL],
Table_SiteMilestoneTracking[SiteOnAir_BL],"&gt;="&amp;Table_SiteMilestoneTrackingSummary[[#This Row],[StartDate]:[StartDate]],
Table_SiteMilestoneTracking[SiteOnAir_BL],"&lt;"&amp;Table_SiteMilestoneTrackingSummary[[#This Row],[EndDate]:[EndDate]]+1)</f>
        <v>0</v>
      </c>
      <c r="CN19" s="100">
        <f>CN18+Table_SiteMilestoneTrackingSummary[[#This Row],[c7_IntegrationCostBL]]</f>
        <v>0</v>
      </c>
      <c r="CO19" s="96">
        <f>SUMIFS(Table_SiteMilestoneTracking[c7_IntegrationCostAC],
Table_SiteMilestoneTracking[SiteOnAir_AC],"&gt;="&amp;Table_SiteMilestoneTrackingSummary[[#This Row],[StartDate]:[StartDate]],
Table_SiteMilestoneTracking[SiteOnAir_AC],"&lt;"&amp;Table_SiteMilestoneTrackingSummary[[#This Row],[EndDate]:[EndDate]]+1)</f>
        <v>0</v>
      </c>
      <c r="CP19" s="100">
        <f>CP18+Table_SiteMilestoneTrackingSummary[[#This Row],[c7_IntegrationCostAC]]</f>
        <v>0</v>
      </c>
      <c r="CQ19" s="96">
        <f>COUNTIFS(Table_SiteMilestoneTracking[SiteOnAir_BL],"&gt;="&amp;Table_SiteMilestoneTrackingSummary[[#This Row],[StartDate]:[StartDate]],
Table_SiteMilestoneTracking[SiteOnAir_BL],"&lt;"&amp;Table_SiteMilestoneTrackingSummary[[#This Row],[EndDate]:[EndDate]]+1)</f>
        <v>0</v>
      </c>
      <c r="CR19" s="100">
        <f>CR18+Table_SiteMilestoneTrackingSummary[[#This Row],[SiteOnAir_BL]]</f>
        <v>0</v>
      </c>
      <c r="CS19" s="96">
        <f>COUNTIFS(Table_SiteMilestoneTracking[SiteOnAir_AC],"&gt;="&amp;Table_SiteMilestoneTrackingSummary[[#This Row],[StartDate]:[StartDate]],
Table_SiteMilestoneTracking[SiteOnAir_AC],"&lt;"&amp;Table_SiteMilestoneTrackingSummary[[#This Row],[EndDate]:[EndDate]]+1)</f>
        <v>0</v>
      </c>
      <c r="CT19" s="100">
        <f>CT18+Table_SiteMilestoneTrackingSummary[[#This Row],[SiteOnAir_AC]]</f>
        <v>0</v>
      </c>
      <c r="CU19" s="100">
        <f>$CU$2*Table_SiteMilestoneTrackingSummary[[#This Row],[SiteAccepted_AC]]</f>
        <v>0</v>
      </c>
      <c r="CV19" s="100">
        <f>CV18+Table_SiteMilestoneTrackingSummary[[#This Row],[c8_AcceptanceEV]]</f>
        <v>0</v>
      </c>
      <c r="CW19" s="96">
        <f>SUMIFS(Table_SiteMilestoneTracking[c8_AcceptanceCostBL],
Table_SiteMilestoneTracking[SiteAccepted_BL],"&gt;="&amp;Table_SiteMilestoneTrackingSummary[[#This Row],[StartDate]:[StartDate]],
Table_SiteMilestoneTracking[SiteAccepted_BL],"&lt;"&amp;Table_SiteMilestoneTrackingSummary[[#This Row],[EndDate]:[EndDate]]+1)</f>
        <v>0</v>
      </c>
      <c r="CX19" s="100">
        <f>CX18+Table_SiteMilestoneTrackingSummary[[#This Row],[c8_AcceptanceCostBL]]</f>
        <v>0</v>
      </c>
      <c r="CY19" s="96">
        <f>SUMIFS(Table_SiteMilestoneTracking[c8_AcceptanceCostAC],
Table_SiteMilestoneTracking[SiteAccepted_AC],"&gt;="&amp;Table_SiteMilestoneTrackingSummary[[#This Row],[StartDate]:[StartDate]],
Table_SiteMilestoneTracking[SiteAccepted_AC],"&lt;"&amp;Table_SiteMilestoneTrackingSummary[[#This Row],[EndDate]:[EndDate]]+1)</f>
        <v>0</v>
      </c>
      <c r="CZ19" s="100">
        <f>CZ18+Table_SiteMilestoneTrackingSummary[[#This Row],[c8_AcceptanceCostAC]]</f>
        <v>0</v>
      </c>
      <c r="DA19" s="96">
        <f>COUNTIFS(Table_SiteMilestoneTracking[SiteAccepted_BL],"&gt;="&amp;Table_SiteMilestoneTrackingSummary[[#This Row],[StartDate]:[StartDate]],
Table_SiteMilestoneTracking[SiteAccepted_BL],"&lt;"&amp;Table_SiteMilestoneTrackingSummary[[#This Row],[EndDate]:[EndDate]]+1)</f>
        <v>0</v>
      </c>
      <c r="DB19" s="100">
        <f>DB18+Table_SiteMilestoneTrackingSummary[[#This Row],[SiteAccepted_BL]]</f>
        <v>0</v>
      </c>
      <c r="DC19" s="96">
        <f>COUNTIFS(Table_SiteMilestoneTracking[SiteAccepted_AC],"&gt;="&amp;Table_SiteMilestoneTrackingSummary[[#This Row],[StartDate]:[StartDate]],
Table_SiteMilestoneTracking[SiteAccepted_AC],"&lt;"&amp;Table_SiteMilestoneTrackingSummary[[#This Row],[EndDate]:[EndDate]]+1)</f>
        <v>0</v>
      </c>
      <c r="DD19" s="100">
        <f>DD18+Table_SiteMilestoneTrackingSummary[[#This Row],[SiteAccepted_AC]]</f>
        <v>0</v>
      </c>
      <c r="DE19" s="100">
        <f>$DE$2*Table_SiteMilestoneTrackingSummary[[#This Row],[SiteInOperations_AC]]</f>
        <v>0</v>
      </c>
      <c r="DF19" s="100">
        <f>DF18+Table_SiteMilestoneTrackingSummary[[#This Row],[c9_HandoverEV]]</f>
        <v>0</v>
      </c>
      <c r="DG19" s="96">
        <f>SUMIFS(Table_SiteMilestoneTracking[c9_HandoverCostBL],
Table_SiteMilestoneTracking[SiteInOperations_BL],"&gt;="&amp;Table_SiteMilestoneTrackingSummary[[#This Row],[StartDate]:[StartDate]],
Table_SiteMilestoneTracking[SiteInOperations_BL],"&lt;"&amp;Table_SiteMilestoneTrackingSummary[[#This Row],[EndDate]:[EndDate]]+1)</f>
        <v>0</v>
      </c>
      <c r="DH19" s="100">
        <f>DH18+Table_SiteMilestoneTrackingSummary[[#This Row],[c9_HandoverCostBL2]]</f>
        <v>0</v>
      </c>
      <c r="DI19" s="96">
        <f>SUMIFS(Table_SiteMilestoneTracking[c9_HandoverCostAC],
Table_SiteMilestoneTracking[SiteInOperations_AC],"&gt;="&amp;Table_SiteMilestoneTrackingSummary[[#This Row],[StartDate]:[StartDate]],
Table_SiteMilestoneTracking[SiteInOperations_AC],"&lt;"&amp;Table_SiteMilestoneTrackingSummary[[#This Row],[EndDate]:[EndDate]]+1)</f>
        <v>0</v>
      </c>
      <c r="DJ19" s="100">
        <f>DJ18+Table_SiteMilestoneTrackingSummary[[#This Row],[c9_HandoverCostAC]]</f>
        <v>0</v>
      </c>
      <c r="DK19" s="96">
        <f>COUNTIFS(Table_SiteMilestoneTracking[SiteInOperations_BL],"&gt;="&amp;Table_SiteMilestoneTrackingSummary[[#This Row],[StartDate]:[StartDate]],
Table_SiteMilestoneTracking[SiteInOperations_BL],"&lt;"&amp;Table_SiteMilestoneTrackingSummary[[#This Row],[EndDate]:[EndDate]]+1)</f>
        <v>0</v>
      </c>
      <c r="DL19" s="100">
        <f>DL18+Table_SiteMilestoneTrackingSummary[[#This Row],[SiteInOperations_BL]]</f>
        <v>0</v>
      </c>
      <c r="DM19" s="96">
        <f>COUNTIFS(Table_SiteMilestoneTracking[SiteInOperations_AC],"&gt;="&amp;Table_SiteMilestoneTrackingSummary[[#This Row],[StartDate]:[StartDate]],
Table_SiteMilestoneTracking[SiteInOperations_AC],"&lt;"&amp;Table_SiteMilestoneTrackingSummary[[#This Row],[EndDate]:[EndDate]]+1)</f>
        <v>0</v>
      </c>
      <c r="DN19" s="100">
        <f>DN18+Table_SiteMilestoneTrackingSummary[[#This Row],[SiteInOperations_AC]]</f>
        <v>0</v>
      </c>
      <c r="DO19" s="59">
        <f>Table_SiteMilestoneTrackingSummary[[#This Row],[c0_SiteDesignEV(SUM)]]+Table_SiteMilestoneTrackingSummary[[#This Row],[c1_SiteSurveyEV(SUM)]]+Table_SiteMilestoneTrackingSummary[[#This Row],[c2_SiteAcquisitionEV(SUM)]]+Table_SiteMilestoneTrackingSummary[[#This Row],[c2a_SiteCWReadinessEV(SUM)]]+Table_SiteMilestoneTrackingSummary[[#This Row],[c3_CivilWorksEV(SUM)]]+Table_SiteMilestoneTrackingSummary[[#This Row],[c4_PowerInstallEV(SUM)]]+Table_SiteMilestoneTrackingSummary[[#This Row],[c5_TxIntegrationEV(SUM)]]+Table_SiteMilestoneTrackingSummary[[#This Row],[c6_InstallationEV(SUM)]]+Table_SiteMilestoneTrackingSummary[[#This Row],[c7_IntegrationEV(SUM)]]+Table_SiteMilestoneTrackingSummary[[#This Row],[c8_AcceptanceEV(SUM)]]+Table_SiteMilestoneTrackingSummary[[#This Row],[c9_HandoverEV(SUM)]]</f>
        <v>0</v>
      </c>
      <c r="DP19" s="59">
        <f>Table_SiteMilestoneTrackingSummary[[#This Row],[c0_SiteDesignCostBL(SUM)]]+Table_SiteMilestoneTrackingSummary[[#This Row],[c1_SiteSurveyCostBL(SUM)]]+Table_SiteMilestoneTrackingSummary[[#This Row],[c2_SiteAcquisitionCostBL(SUM)]]+Table_SiteMilestoneTrackingSummary[[#This Row],[c2a_SiteCWReadinessCostBL(SUM)]]+Table_SiteMilestoneTrackingSummary[[#This Row],[c3_CivilWorksCostBL(SUM)]]+Table_SiteMilestoneTrackingSummary[[#This Row],[c4_PowerInstallCostBL(SUM)]]+Table_SiteMilestoneTrackingSummary[[#This Row],[c5_TxIntegrationCostBL(SUM)]]+Table_SiteMilestoneTrackingSummary[[#This Row],[c6_InstallationCostBL(SUM)]]+Table_SiteMilestoneTrackingSummary[[#This Row],[c7_IntegrationCostBL(SUM)]]+Table_SiteMilestoneTrackingSummary[[#This Row],[c8_AcceptanceCostBL(SUM)]]+Table_SiteMilestoneTrackingSummary[[#This Row],[c9_HandoverCostBL(SUM)]]</f>
        <v>0</v>
      </c>
      <c r="DQ19" s="59">
        <f>Table_SiteMilestoneTrackingSummary[[#This Row],[c0_SiteDesignCostAC(SUM)]]+Table_SiteMilestoneTrackingSummary[[#This Row],[c1_SiteSurveyCostAC(SUM)]]+Table_SiteMilestoneTrackingSummary[[#This Row],[c2_SiteAcquisitionCostAC(SUM)]]+Table_SiteMilestoneTrackingSummary[[#This Row],[c2a_SiteCWReadinessCostAC(SUM)]]+Table_SiteMilestoneTrackingSummary[[#This Row],[c3_CivilWorksCostAC(SUM)]]+Table_SiteMilestoneTrackingSummary[[#This Row],[c4_PowerInstallCostAC(SUM)]]+Table_SiteMilestoneTrackingSummary[[#This Row],[c5_TxIntegrationCostAC(SUM)]]+Table_SiteMilestoneTrackingSummary[[#This Row],[c6_InstallationCostAC(SUM)]]+Table_SiteMilestoneTrackingSummary[[#This Row],[c7_IntegrationCostAC(SUM)]]+Table_SiteMilestoneTrackingSummary[[#This Row],[c8_AcceptanceCostAC(SUM)]]+Table_SiteMilestoneTrackingSummary[[#This Row],[c9_HandoverCostAC(SUM)]]</f>
        <v>0</v>
      </c>
      <c r="DR19" s="59">
        <f>Table_SiteMilestoneTrackingSummary[[#This Row],[AccumulatedEV]]-Table_SiteMilestoneTrackingSummary[[#This Row],[AccumulatedPV]]</f>
        <v>0</v>
      </c>
      <c r="DS19" s="59">
        <f>Table_SiteMilestoneTrackingSummary[[#This Row],[AccumulatedEV]]-Table_SiteMilestoneTrackingSummary[[#This Row],[AccumulatedAC]]</f>
        <v>0</v>
      </c>
      <c r="DT19" s="58" t="str">
        <f>IFERROR(Table_SiteMilestoneTrackingSummary[[#This Row],[AccumulatedEV]]/Table_SiteMilestoneTrackingSummary[[#This Row],[AccumulatedPV]],"/")</f>
        <v>/</v>
      </c>
      <c r="DU19" s="101" t="str">
        <f>IFERROR(Table_SiteMilestoneTrackingSummary[[#This Row],[AccumulatedEV]]/Table_SiteMilestoneTrackingSummary[[#This Row],[AccumulatedAC]],"/")</f>
        <v>/</v>
      </c>
    </row>
    <row r="20" spans="1:125" outlineLevel="1" x14ac:dyDescent="0.3">
      <c r="A20" s="79">
        <v>2020</v>
      </c>
      <c r="B20" s="79">
        <v>17</v>
      </c>
      <c r="C20" s="95">
        <f>DATE(Table_SiteMilestoneTrackingSummary[[#This Row],[Year]],1,-2)-WEEKDAY(DATE(Table_SiteMilestoneTrackingSummary[[#This Row],[Year]],1,3))+Table_SiteMilestoneTrackingSummary[[#This Row],[Week]]*7</f>
        <v>43941</v>
      </c>
      <c r="D20" s="95">
        <f>Table_SiteMilestoneTrackingSummary[[#This Row],[StartDate]]+6</f>
        <v>43947</v>
      </c>
      <c r="E20" s="100">
        <f>COUNTIFS(Table_SiteMilestoneTracking[SiteDesignStarted_BL],"&gt;="&amp;Table_SiteMilestoneTrackingSummary[[#This Row],[StartDate]:[StartDate]],Table_SiteMilestoneTracking[SiteDesignStarted_BL],"&lt;"&amp;Table_SiteMilestoneTrackingSummary[[#This Row],[EndDate]:[EndDate]]+1)</f>
        <v>0</v>
      </c>
      <c r="F20" s="100">
        <f>F19+Table_SiteMilestoneTrackingSummary[[#This Row],[SiteDesignStarted_BL]]</f>
        <v>0</v>
      </c>
      <c r="G20" s="100">
        <f>COUNTIFS(Table_SiteMilestoneTracking[SiteDesignStarted_AC],"&gt;="&amp;Table_SiteMilestoneTrackingSummary[[#This Row],[StartDate]:[StartDate]],Table_SiteMilestoneTracking[SiteDesignStarted_AC],"&lt;"&amp;Table_SiteMilestoneTrackingSummary[[#This Row],[EndDate]:[EndDate]]+1)</f>
        <v>0</v>
      </c>
      <c r="H20" s="100">
        <f>H19+Table_SiteMilestoneTrackingSummary[[#This Row],[SiteDesignStarted_AC]]</f>
        <v>0</v>
      </c>
      <c r="I20" s="100">
        <f>Table_SiteMilestoneTrackingSummary[[#This Row],[SiteDesignReady_AC]]*$I$2</f>
        <v>0</v>
      </c>
      <c r="J20" s="100">
        <f>J19+Table_SiteMilestoneTrackingSummary[[#This Row],[c0_SiteDesignEV]]</f>
        <v>0</v>
      </c>
      <c r="K20" s="97">
        <f>SUMIFS(Table_SiteMilestoneTracking[c0_SiteDesignCostBL],
Table_SiteMilestoneTracking[SiteDesignReady_BL],"&gt;="&amp;Table_SiteMilestoneTrackingSummary[[#This Row],[StartDate]:[StartDate]],
Table_SiteMilestoneTracking[SiteDesignReady_BL],"&lt;"&amp;Table_SiteMilestoneTrackingSummary[[#This Row],[EndDate]:[EndDate]]+1)</f>
        <v>0</v>
      </c>
      <c r="L20" s="59">
        <f>L19+Table_SiteMilestoneTrackingSummary[[#This Row],[c0_SiteDesignCostBL]]</f>
        <v>0</v>
      </c>
      <c r="M20" s="97">
        <f>SUMIFS(Table_SiteMilestoneTracking[c0_SiteDesignCostAC],
Table_SiteMilestoneTracking[SiteDesignReady_AC],"&gt;="&amp;Table_SiteMilestoneTrackingSummary[[#This Row],[StartDate]:[StartDate]],
Table_SiteMilestoneTracking[SiteDesignReady_AC],"&lt;"&amp;Table_SiteMilestoneTrackingSummary[[#This Row],[EndDate]:[EndDate]]+1)</f>
        <v>0</v>
      </c>
      <c r="N20" s="59">
        <f>N19+Table_SiteMilestoneTrackingSummary[[#This Row],[c0_SiteDesignCostAC]]</f>
        <v>0</v>
      </c>
      <c r="O20" s="96">
        <f>COUNTIFS(Table_SiteMilestoneTracking[SiteDesignReady_BL],"&gt;="&amp;Table_SiteMilestoneTrackingSummary[[#This Row],[StartDate]:[StartDate]],
Table_SiteMilestoneTracking[SiteDesignReady_BL],"&lt;"&amp;Table_SiteMilestoneTrackingSummary[[#This Row],[EndDate]:[EndDate]]+1)</f>
        <v>0</v>
      </c>
      <c r="P20" s="100">
        <f>P19+Table_SiteMilestoneTrackingSummary[[#This Row],[SiteDesignReady_BL]]</f>
        <v>0</v>
      </c>
      <c r="Q20" s="100">
        <f>COUNTIFS(Table_SiteMilestoneTracking[SiteDesignReady_AC],"&gt;="&amp;Table_SiteMilestoneTrackingSummary[[#This Row],[StartDate]:[StartDate]],Table_SiteMilestoneTracking[SiteDesignReady_AC],"&lt;"&amp;Table_SiteMilestoneTrackingSummary[[#This Row],[EndDate]:[EndDate]]+1)</f>
        <v>0</v>
      </c>
      <c r="R20" s="100">
        <f>R19+Table_SiteMilestoneTrackingSummary[[#This Row],[SiteDesignReady_AC]]</f>
        <v>0</v>
      </c>
      <c r="S20" s="100">
        <f>Table_SiteMilestoneTrackingSummary[[#This Row],[ReadyForCW_AC]]*$S$2</f>
        <v>0</v>
      </c>
      <c r="T20" s="100">
        <f>T19+Table_SiteMilestoneTrackingSummary[[#This Row],[c1_SiteSurveyEV]]</f>
        <v>0</v>
      </c>
      <c r="U20" s="96">
        <f>SUMIFS(Table_SiteMilestoneTracking[c1_SiteSurveyCostBL],
Table_SiteMilestoneTracking[SiteSurveyCompleted_BL],"&gt;="&amp;Table_SiteMilestoneTrackingSummary[[#This Row],[StartDate]:[StartDate]],
Table_SiteMilestoneTracking[SiteSurveyCompleted_BL],"&lt;"&amp;Table_SiteMilestoneTrackingSummary[[#This Row],[EndDate]:[EndDate]]+1)</f>
        <v>0</v>
      </c>
      <c r="V20" s="100">
        <f>V19+Table_SiteMilestoneTrackingSummary[[#This Row],[c1_SiteSurveyCostBL]]</f>
        <v>0</v>
      </c>
      <c r="W20" s="96">
        <f>SUMIFS(Table_SiteMilestoneTracking[c1_SiteSurveyCostAC],
Table_SiteMilestoneTracking[SiteSurveyCompleted_AC],"&gt;="&amp;Table_SiteMilestoneTrackingSummary[[#This Row],[StartDate]:[StartDate]],
Table_SiteMilestoneTracking[SiteSurveyCompleted_AC],"&lt;"&amp;Table_SiteMilestoneTrackingSummary[[#This Row],[EndDate]:[EndDate]]+1)</f>
        <v>0</v>
      </c>
      <c r="X20" s="100">
        <f>X19+Table_SiteMilestoneTrackingSummary[[#This Row],[c1_SiteSurveyCostAC]]</f>
        <v>0</v>
      </c>
      <c r="Y20" s="96">
        <f>COUNTIFS(Table_SiteMilestoneTracking[SiteSurveyCompleted_BL],"&gt;="&amp;Table_SiteMilestoneTrackingSummary[[#This Row],[StartDate]:[StartDate]],
Table_SiteMilestoneTracking[SiteSurveyCompleted_BL],"&lt;"&amp;Table_SiteMilestoneTrackingSummary[[#This Row],[EndDate]:[EndDate]]+1)</f>
        <v>0</v>
      </c>
      <c r="Z20" s="100">
        <f>Z19+Table_SiteMilestoneTrackingSummary[[#This Row],[SiteSurveyCompleted_BL]]</f>
        <v>0</v>
      </c>
      <c r="AA20" s="96">
        <f>COUNTIFS(Table_SiteMilestoneTracking[SiteSurveyCompleted_AC],"&gt;="&amp;Table_SiteMilestoneTrackingSummary[[#This Row],[StartDate]:[StartDate]],
Table_SiteMilestoneTracking[SiteSurveyCompleted_AC],"&lt;"&amp;Table_SiteMilestoneTrackingSummary[[#This Row],[EndDate]:[EndDate]]+1)</f>
        <v>0</v>
      </c>
      <c r="AB20" s="100">
        <f>AB19+Table_SiteMilestoneTrackingSummary[[#This Row],[SiteSurveyCompleted_AC]]</f>
        <v>0</v>
      </c>
      <c r="AC20" s="100">
        <f>$AC$2*Table_SiteMilestoneTrackingSummary[[#This Row],[SiteAcquired_AC]]</f>
        <v>0</v>
      </c>
      <c r="AD20" s="100">
        <f>AD19+Table_SiteMilestoneTrackingSummary[[#This Row],[c2_SiteAcquisitionEV]]</f>
        <v>0</v>
      </c>
      <c r="AE20" s="96">
        <f>SUMIFS(Table_SiteMilestoneTracking[c2_SiteAcquisitionCostBL],
Table_SiteMilestoneTracking[SiteAcquired_BL],"&gt;="&amp;Table_SiteMilestoneTrackingSummary[[#This Row],[StartDate]:[StartDate]],
Table_SiteMilestoneTracking[SiteAcquired_BL],"&lt;"&amp;Table_SiteMilestoneTrackingSummary[[#This Row],[EndDate]:[EndDate]]+1)</f>
        <v>0</v>
      </c>
      <c r="AF20" s="100">
        <f>AF19+Table_SiteMilestoneTrackingSummary[[#This Row],[c2_SiteAcquisitionCostBL]]</f>
        <v>0</v>
      </c>
      <c r="AG20" s="96">
        <f>SUMIFS(Table_SiteMilestoneTracking[c2_SiteAcquisitionCostAC],
Table_SiteMilestoneTracking[SiteAcquired_AC],"&gt;="&amp;Table_SiteMilestoneTrackingSummary[[#This Row],[StartDate]:[StartDate]],
Table_SiteMilestoneTracking[SiteAcquired_AC],"&lt;"&amp;Table_SiteMilestoneTrackingSummary[[#This Row],[EndDate]:[EndDate]]+1)</f>
        <v>0</v>
      </c>
      <c r="AH20" s="100">
        <f>AH19+Table_SiteMilestoneTrackingSummary[[#This Row],[c2_SiteAcquisitionCostAC]]</f>
        <v>0</v>
      </c>
      <c r="AI20" s="96">
        <f>COUNTIFS(Table_SiteMilestoneTracking[SiteAcquired_BL],"&gt;="&amp;Table_SiteMilestoneTrackingSummary[[#This Row],[StartDate]:[StartDate]],
Table_SiteMilestoneTracking[SiteAcquired_BL],"&lt;"&amp;Table_SiteMilestoneTrackingSummary[[#This Row],[EndDate]:[EndDate]]+1)</f>
        <v>0</v>
      </c>
      <c r="AJ20" s="100">
        <f>AJ19+Table_SiteMilestoneTrackingSummary[[#This Row],[SiteAcquired_BL]]</f>
        <v>0</v>
      </c>
      <c r="AK20" s="96">
        <f>COUNTIFS(Table_SiteMilestoneTracking[SiteAcquired_AC],"&gt;="&amp;Table_SiteMilestoneTrackingSummary[[#This Row],[StartDate]:[StartDate]],
Table_SiteMilestoneTracking[SiteAcquired_AC],"&lt;"&amp;Table_SiteMilestoneTrackingSummary[[#This Row],[EndDate]:[EndDate]]+1)</f>
        <v>0</v>
      </c>
      <c r="AL20" s="100">
        <f>AL19+Table_SiteMilestoneTrackingSummary[[#This Row],[SiteAcquired_AC]]</f>
        <v>0</v>
      </c>
      <c r="AM20" s="100">
        <f>Table_SiteMilestoneTrackingSummary[[#This Row],[ReadyForCW_AC]]*$AM$2</f>
        <v>0</v>
      </c>
      <c r="AN20" s="100">
        <f>AN19+Table_SiteMilestoneTrackingSummary[[#This Row],[c2a_SiteCWReadinessEV]]</f>
        <v>0</v>
      </c>
      <c r="AO20" s="96">
        <f>SUMIFS(Table_SiteMilestoneTracking[c2a_SiteCWReadinessCost_BL],
Table_SiteMilestoneTracking[SiteReadyForCW_BL],"&gt;="&amp;Table_SiteMilestoneTrackingSummary[[#This Row],[StartDate]:[StartDate]],
Table_SiteMilestoneTracking[SiteReadyForCW_BL],"&lt;"&amp;Table_SiteMilestoneTrackingSummary[[#This Row],[EndDate]:[EndDate]]+1)</f>
        <v>0</v>
      </c>
      <c r="AP20" s="100">
        <f>AP19+Table_SiteMilestoneTrackingSummary[[#This Row],[c2a_SiteCWReadinessCostBL]]</f>
        <v>0</v>
      </c>
      <c r="AQ20" s="96">
        <f>SUMIFS(Table_SiteMilestoneTracking[c2a_SiteCWReadinessCost_AC],
Table_SiteMilestoneTracking[SiteReadyForCW_AC],"&gt;="&amp;Table_SiteMilestoneTrackingSummary[[#This Row],[StartDate]:[StartDate]],
Table_SiteMilestoneTracking[SiteReadyForCW_AC],"&lt;"&amp;Table_SiteMilestoneTrackingSummary[[#This Row],[EndDate]:[EndDate]]+1)</f>
        <v>0</v>
      </c>
      <c r="AR20" s="100">
        <f>AR19+Table_SiteMilestoneTrackingSummary[[#This Row],[c2a_SiteCWReadinessCostAC]]</f>
        <v>0</v>
      </c>
      <c r="AS20" s="96">
        <f>COUNTIFS(Table_SiteMilestoneTracking[SiteReadyForCW_BL],"&gt;="&amp;Table_SiteMilestoneTrackingSummary[[#This Row],[StartDate]:[StartDate]],
Table_SiteMilestoneTracking[SiteReadyForCW_BL],"&lt;"&amp;Table_SiteMilestoneTrackingSummary[[#This Row],[EndDate]:[EndDate]]+1)</f>
        <v>0</v>
      </c>
      <c r="AT20" s="100">
        <f>AT19+Table_SiteMilestoneTrackingSummary[[#This Row],[ReadyForCW_BL]]</f>
        <v>0</v>
      </c>
      <c r="AU20" s="96">
        <f>COUNTIFS(Table_SiteMilestoneTracking[SiteReadyForCW_AC],"&gt;="&amp;Table_SiteMilestoneTrackingSummary[[#This Row],[StartDate]:[StartDate]],
Table_SiteMilestoneTracking[SiteReadyForCW_AC],"&lt;"&amp;Table_SiteMilestoneTrackingSummary[[#This Row],[EndDate]:[EndDate]]+1)</f>
        <v>0</v>
      </c>
      <c r="AV20" s="100">
        <f>AV19+Table_SiteMilestoneTrackingSummary[[#This Row],[ReadyForCW_AC]]</f>
        <v>0</v>
      </c>
      <c r="AW20" s="100">
        <f>$AW$2*Table_SiteMilestoneTrackingSummary[[#This Row],[ReadyForPower_AC]]</f>
        <v>0</v>
      </c>
      <c r="AX20" s="100">
        <f>AX19+Table_SiteMilestoneTrackingSummary[[#This Row],[c3_CivilWorksEV]]</f>
        <v>0</v>
      </c>
      <c r="AY20" s="96">
        <f>SUMIFS(Table_SiteMilestoneTracking[c3_CivilWorksCostBL],
Table_SiteMilestoneTracking[SiteReadyForPower_BL],"&gt;="&amp;Table_SiteMilestoneTrackingSummary[[#This Row],[StartDate]:[StartDate]],
Table_SiteMilestoneTracking[SiteReadyForPower_BL],"&lt;"&amp;Table_SiteMilestoneTrackingSummary[[#This Row],[EndDate]:[EndDate]]+1)</f>
        <v>0</v>
      </c>
      <c r="AZ20" s="100">
        <f>AZ19+Table_SiteMilestoneTrackingSummary[[#This Row],[c3_CivilWorksCostBL]]</f>
        <v>0</v>
      </c>
      <c r="BA20" s="96">
        <f>SUMIFS(Table_SiteMilestoneTracking[c3_CivilWorksCostAC],
Table_SiteMilestoneTracking[SiteReadyForPower_AC],"&gt;="&amp;Table_SiteMilestoneTrackingSummary[[#This Row],[StartDate]:[StartDate]],
Table_SiteMilestoneTracking[SiteReadyForPower_AC],"&lt;"&amp;Table_SiteMilestoneTrackingSummary[[#This Row],[EndDate]:[EndDate]]+1)</f>
        <v>0</v>
      </c>
      <c r="BB20" s="100">
        <f>BB19+Table_SiteMilestoneTrackingSummary[[#This Row],[c3_CivilWorksCostAC]]</f>
        <v>0</v>
      </c>
      <c r="BC20" s="96">
        <f>COUNTIFS(Table_SiteMilestoneTracking[SiteReadyForPower_BL],"&gt;="&amp;Table_SiteMilestoneTrackingSummary[[#This Row],[StartDate]:[StartDate]],
Table_SiteMilestoneTracking[SiteReadyForPower_BL],"&lt;"&amp;Table_SiteMilestoneTrackingSummary[[#This Row],[EndDate]:[EndDate]]+1)</f>
        <v>0</v>
      </c>
      <c r="BD20" s="100">
        <f>BD19+Table_SiteMilestoneTrackingSummary[[#This Row],[ReadyForPower_BL]]</f>
        <v>0</v>
      </c>
      <c r="BE20" s="96">
        <f>COUNTIFS(Table_SiteMilestoneTracking[SiteReadyForPower_AC],"&gt;="&amp;Table_SiteMilestoneTrackingSummary[[#This Row],[StartDate]:[StartDate]],
Table_SiteMilestoneTracking[SiteReadyForPower_AC],"&lt;"&amp;Table_SiteMilestoneTrackingSummary[[#This Row],[EndDate]:[EndDate]]+1)</f>
        <v>0</v>
      </c>
      <c r="BF20" s="100">
        <f>BF19+Table_SiteMilestoneTrackingSummary[[#This Row],[ReadyForPower_AC]]</f>
        <v>0</v>
      </c>
      <c r="BG20" s="100">
        <f>$BG$2*Table_SiteMilestoneTrackingSummary[[#This Row],[TXReady_AC]]</f>
        <v>0</v>
      </c>
      <c r="BH20" s="100">
        <f>BH19+Table_SiteMilestoneTrackingSummary[[#This Row],[c4_PowerInstallEV]]</f>
        <v>0</v>
      </c>
      <c r="BI20" s="96">
        <f>SUMIFS(Table_SiteMilestoneTracking[c4_PowerInstallCostBL],
Table_SiteMilestoneTracking[TXReady_BL],"&gt;="&amp;Table_SiteMilestoneTrackingSummary[[#This Row],[StartDate]:[StartDate]],
Table_SiteMilestoneTracking[TXReady_BL],"&lt;"&amp;Table_SiteMilestoneTrackingSummary[[#This Row],[EndDate]:[EndDate]]+1)</f>
        <v>0</v>
      </c>
      <c r="BJ20" s="100">
        <f>BJ19+Table_SiteMilestoneTrackingSummary[[#This Row],[c4_PowerInstallCostBL]]</f>
        <v>0</v>
      </c>
      <c r="BK20" s="96">
        <f>SUMIFS(Table_SiteMilestoneTracking[c4_PowerInstallCostAC],
Table_SiteMilestoneTracking[TXReady_AC],"&gt;="&amp;Table_SiteMilestoneTrackingSummary[[#This Row],[StartDate]:[StartDate]],
Table_SiteMilestoneTracking[TXReady_AC],"&lt;"&amp;Table_SiteMilestoneTrackingSummary[[#This Row],[EndDate]:[EndDate]]+1)</f>
        <v>0</v>
      </c>
      <c r="BL20" s="100">
        <f>BL19+Table_SiteMilestoneTrackingSummary[[#This Row],[c4_PowerInstallCostAC]]</f>
        <v>0</v>
      </c>
      <c r="BM20" s="96">
        <f>COUNTIFS(Table_SiteMilestoneTracking[TXReady_BL],"&gt;="&amp;Table_SiteMilestoneTrackingSummary[[#This Row],[StartDate]:[StartDate]],
Table_SiteMilestoneTracking[TXReady_BL],"&lt;"&amp;Table_SiteMilestoneTrackingSummary[[#This Row],[EndDate]:[EndDate]]+1)</f>
        <v>0</v>
      </c>
      <c r="BN20" s="100">
        <f>BN19+Table_SiteMilestoneTrackingSummary[[#This Row],[TXReady_BL]]</f>
        <v>0</v>
      </c>
      <c r="BO20" s="100">
        <f>COUNTIFS(Table_SiteMilestoneTracking[TXReady_AC],"&gt;="&amp;Table_SiteMilestoneTrackingSummary[[#This Row],[StartDate]:[StartDate]],Table_SiteMilestoneTracking[TXReady_AC],"&lt;"&amp;Table_SiteMilestoneTrackingSummary[[#This Row],[EndDate]:[EndDate]]+1)</f>
        <v>0</v>
      </c>
      <c r="BP20" s="100">
        <f>BP19+Table_SiteMilestoneTrackingSummary[[#This Row],[TXReady_AC]]</f>
        <v>0</v>
      </c>
      <c r="BQ20" s="100">
        <f>$BQ$2*Table_SiteMilestoneTrackingSummary[[#This Row],[ReadyForInstallation_AC]]</f>
        <v>0</v>
      </c>
      <c r="BR20" s="100">
        <f>BR19+Table_SiteMilestoneTrackingSummary[[#This Row],[c5_TxIntegrationEV]]</f>
        <v>0</v>
      </c>
      <c r="BS20" s="96">
        <f>SUMIFS(Table_SiteMilestoneTracking[c5_TxintegrationCostBL],
Table_SiteMilestoneTracking[SiteReadyForInstallation_BL],"&gt;="&amp;Table_SiteMilestoneTrackingSummary[[#This Row],[StartDate]:[StartDate]],
Table_SiteMilestoneTracking[SiteReadyForInstallation_BL],"&lt;"&amp;Table_SiteMilestoneTrackingSummary[[#This Row],[EndDate]:[EndDate]]+1)</f>
        <v>0</v>
      </c>
      <c r="BT20" s="100">
        <f>BT19+Table_SiteMilestoneTrackingSummary[[#This Row],[c5_TxIntegrationCostBL]]</f>
        <v>0</v>
      </c>
      <c r="BU20" s="96">
        <f>SUMIFS(Table_SiteMilestoneTracking[c5_TxintegrationCostAC],
Table_SiteMilestoneTracking[SiteReadyForInstallation_AC],"&gt;="&amp;Table_SiteMilestoneTrackingSummary[[#This Row],[StartDate]:[StartDate]],
Table_SiteMilestoneTracking[SiteReadyForInstallation_AC],"&lt;"&amp;Table_SiteMilestoneTrackingSummary[[#This Row],[EndDate]:[EndDate]]+1)</f>
        <v>0</v>
      </c>
      <c r="BV20" s="100">
        <f>BV19+Table_SiteMilestoneTrackingSummary[[#This Row],[c5_TxIntegrationCostAC]]</f>
        <v>0</v>
      </c>
      <c r="BW20" s="96">
        <f>COUNTIFS(Table_SiteMilestoneTracking[SiteReadyForInstallation_BL],"&gt;="&amp;Table_SiteMilestoneTrackingSummary[[#This Row],[StartDate]:[StartDate]],
Table_SiteMilestoneTracking[SiteReadyForInstallation_BL],"&lt;"&amp;Table_SiteMilestoneTrackingSummary[[#This Row],[EndDate]:[EndDate]]+1)</f>
        <v>0</v>
      </c>
      <c r="BX20" s="100">
        <f>BX19+Table_SiteMilestoneTrackingSummary[[#This Row],[ReadyForInstallation_BL]]</f>
        <v>0</v>
      </c>
      <c r="BY20" s="96">
        <f>COUNTIFS(Table_SiteMilestoneTracking[SiteReadyForInstallation_AC],"&gt;="&amp;Table_SiteMilestoneTrackingSummary[[#This Row],[StartDate]:[StartDate]],
Table_SiteMilestoneTracking[SiteReadyForInstallation_AC],"&lt;"&amp;Table_SiteMilestoneTrackingSummary[[#This Row],[EndDate]:[EndDate]]+1)</f>
        <v>0</v>
      </c>
      <c r="BZ20" s="100">
        <f>BZ19+Table_SiteMilestoneTrackingSummary[[#This Row],[ReadyForInstallation_AC]]</f>
        <v>0</v>
      </c>
      <c r="CA20" s="100">
        <f>$CA$2*Table_SiteMilestoneTrackingSummary[[#This Row],[ReadyForIntegration_AC]]</f>
        <v>0</v>
      </c>
      <c r="CB20" s="100">
        <f>CB19+Table_SiteMilestoneTrackingSummary[[#This Row],[c6_InstallationEV]]</f>
        <v>0</v>
      </c>
      <c r="CC20" s="96">
        <f>SUMIFS(Table_SiteMilestoneTracking[c6_InstallationCostBL],
Table_SiteMilestoneTracking[SiteReadyForIntegration_BL],"&gt;="&amp;Table_SiteMilestoneTrackingSummary[[#This Row],[StartDate]:[StartDate]],
Table_SiteMilestoneTracking[SiteReadyForIntegration_BL],"&lt;"&amp;Table_SiteMilestoneTrackingSummary[[#This Row],[EndDate]:[EndDate]]+1)</f>
        <v>0</v>
      </c>
      <c r="CD20" s="100">
        <f>CD19+Table_SiteMilestoneTrackingSummary[[#This Row],[c6_InstallationCostBL]]</f>
        <v>0</v>
      </c>
      <c r="CE20" s="96">
        <f>SUMIFS(Table_SiteMilestoneTracking[c6_InstallationCostAC],
Table_SiteMilestoneTracking[SiteReadyForIntegration_AC],"&gt;="&amp;Table_SiteMilestoneTrackingSummary[[#This Row],[StartDate]:[StartDate]],
Table_SiteMilestoneTracking[SiteReadyForIntegration_AC],"&lt;"&amp;Table_SiteMilestoneTrackingSummary[[#This Row],[EndDate]:[EndDate]]+1)</f>
        <v>0</v>
      </c>
      <c r="CF20" s="100">
        <f>CF19+Table_SiteMilestoneTrackingSummary[[#This Row],[c6_InstallationCostAC]]</f>
        <v>0</v>
      </c>
      <c r="CG20" s="96">
        <f>COUNTIFS(Table_SiteMilestoneTracking[SiteReadyForIntegration_BL],"&gt;="&amp;Table_SiteMilestoneTrackingSummary[[#This Row],[StartDate]:[StartDate]],
Table_SiteMilestoneTracking[SiteReadyForIntegration_BL],"&lt;"&amp;Table_SiteMilestoneTrackingSummary[[#This Row],[EndDate]:[EndDate]]+1)</f>
        <v>0</v>
      </c>
      <c r="CH20" s="100">
        <f>CH19+Table_SiteMilestoneTrackingSummary[[#This Row],[ReadyForIntegration_BL]]</f>
        <v>0</v>
      </c>
      <c r="CI20" s="96">
        <f>COUNTIFS(Table_SiteMilestoneTracking[SiteReadyForIntegration_AC],"&gt;="&amp;Table_SiteMilestoneTrackingSummary[[#This Row],[StartDate]:[StartDate]],
Table_SiteMilestoneTracking[SiteReadyForIntegration_AC],"&lt;"&amp;Table_SiteMilestoneTrackingSummary[[#This Row],[EndDate]:[EndDate]]+1)</f>
        <v>0</v>
      </c>
      <c r="CJ20" s="100">
        <f>CJ19+Table_SiteMilestoneTrackingSummary[[#This Row],[ReadyForIntegration_AC]]</f>
        <v>0</v>
      </c>
      <c r="CK20" s="100">
        <f>$CK$2*Table_SiteMilestoneTrackingSummary[[#This Row],[SiteOnAir_AC]]</f>
        <v>0</v>
      </c>
      <c r="CL20" s="100">
        <f>CL19+Table_SiteMilestoneTrackingSummary[[#This Row],[c7_IntegrationEV]]</f>
        <v>0</v>
      </c>
      <c r="CM20" s="96">
        <f>SUMIFS(Table_SiteMilestoneTracking[c7_IntegrationCostBL],
Table_SiteMilestoneTracking[SiteOnAir_BL],"&gt;="&amp;Table_SiteMilestoneTrackingSummary[[#This Row],[StartDate]:[StartDate]],
Table_SiteMilestoneTracking[SiteOnAir_BL],"&lt;"&amp;Table_SiteMilestoneTrackingSummary[[#This Row],[EndDate]:[EndDate]]+1)</f>
        <v>0</v>
      </c>
      <c r="CN20" s="100">
        <f>CN19+Table_SiteMilestoneTrackingSummary[[#This Row],[c7_IntegrationCostBL]]</f>
        <v>0</v>
      </c>
      <c r="CO20" s="96">
        <f>SUMIFS(Table_SiteMilestoneTracking[c7_IntegrationCostAC],
Table_SiteMilestoneTracking[SiteOnAir_AC],"&gt;="&amp;Table_SiteMilestoneTrackingSummary[[#This Row],[StartDate]:[StartDate]],
Table_SiteMilestoneTracking[SiteOnAir_AC],"&lt;"&amp;Table_SiteMilestoneTrackingSummary[[#This Row],[EndDate]:[EndDate]]+1)</f>
        <v>0</v>
      </c>
      <c r="CP20" s="100">
        <f>CP19+Table_SiteMilestoneTrackingSummary[[#This Row],[c7_IntegrationCostAC]]</f>
        <v>0</v>
      </c>
      <c r="CQ20" s="96">
        <f>COUNTIFS(Table_SiteMilestoneTracking[SiteOnAir_BL],"&gt;="&amp;Table_SiteMilestoneTrackingSummary[[#This Row],[StartDate]:[StartDate]],
Table_SiteMilestoneTracking[SiteOnAir_BL],"&lt;"&amp;Table_SiteMilestoneTrackingSummary[[#This Row],[EndDate]:[EndDate]]+1)</f>
        <v>0</v>
      </c>
      <c r="CR20" s="100">
        <f>CR19+Table_SiteMilestoneTrackingSummary[[#This Row],[SiteOnAir_BL]]</f>
        <v>0</v>
      </c>
      <c r="CS20" s="96">
        <f>COUNTIFS(Table_SiteMilestoneTracking[SiteOnAir_AC],"&gt;="&amp;Table_SiteMilestoneTrackingSummary[[#This Row],[StartDate]:[StartDate]],
Table_SiteMilestoneTracking[SiteOnAir_AC],"&lt;"&amp;Table_SiteMilestoneTrackingSummary[[#This Row],[EndDate]:[EndDate]]+1)</f>
        <v>0</v>
      </c>
      <c r="CT20" s="100">
        <f>CT19+Table_SiteMilestoneTrackingSummary[[#This Row],[SiteOnAir_AC]]</f>
        <v>0</v>
      </c>
      <c r="CU20" s="100">
        <f>$CU$2*Table_SiteMilestoneTrackingSummary[[#This Row],[SiteAccepted_AC]]</f>
        <v>0</v>
      </c>
      <c r="CV20" s="100">
        <f>CV19+Table_SiteMilestoneTrackingSummary[[#This Row],[c8_AcceptanceEV]]</f>
        <v>0</v>
      </c>
      <c r="CW20" s="96">
        <f>SUMIFS(Table_SiteMilestoneTracking[c8_AcceptanceCostBL],
Table_SiteMilestoneTracking[SiteAccepted_BL],"&gt;="&amp;Table_SiteMilestoneTrackingSummary[[#This Row],[StartDate]:[StartDate]],
Table_SiteMilestoneTracking[SiteAccepted_BL],"&lt;"&amp;Table_SiteMilestoneTrackingSummary[[#This Row],[EndDate]:[EndDate]]+1)</f>
        <v>0</v>
      </c>
      <c r="CX20" s="100">
        <f>CX19+Table_SiteMilestoneTrackingSummary[[#This Row],[c8_AcceptanceCostBL]]</f>
        <v>0</v>
      </c>
      <c r="CY20" s="96">
        <f>SUMIFS(Table_SiteMilestoneTracking[c8_AcceptanceCostAC],
Table_SiteMilestoneTracking[SiteAccepted_AC],"&gt;="&amp;Table_SiteMilestoneTrackingSummary[[#This Row],[StartDate]:[StartDate]],
Table_SiteMilestoneTracking[SiteAccepted_AC],"&lt;"&amp;Table_SiteMilestoneTrackingSummary[[#This Row],[EndDate]:[EndDate]]+1)</f>
        <v>0</v>
      </c>
      <c r="CZ20" s="100">
        <f>CZ19+Table_SiteMilestoneTrackingSummary[[#This Row],[c8_AcceptanceCostAC]]</f>
        <v>0</v>
      </c>
      <c r="DA20" s="96">
        <f>COUNTIFS(Table_SiteMilestoneTracking[SiteAccepted_BL],"&gt;="&amp;Table_SiteMilestoneTrackingSummary[[#This Row],[StartDate]:[StartDate]],
Table_SiteMilestoneTracking[SiteAccepted_BL],"&lt;"&amp;Table_SiteMilestoneTrackingSummary[[#This Row],[EndDate]:[EndDate]]+1)</f>
        <v>0</v>
      </c>
      <c r="DB20" s="100">
        <f>DB19+Table_SiteMilestoneTrackingSummary[[#This Row],[SiteAccepted_BL]]</f>
        <v>0</v>
      </c>
      <c r="DC20" s="96">
        <f>COUNTIFS(Table_SiteMilestoneTracking[SiteAccepted_AC],"&gt;="&amp;Table_SiteMilestoneTrackingSummary[[#This Row],[StartDate]:[StartDate]],
Table_SiteMilestoneTracking[SiteAccepted_AC],"&lt;"&amp;Table_SiteMilestoneTrackingSummary[[#This Row],[EndDate]:[EndDate]]+1)</f>
        <v>0</v>
      </c>
      <c r="DD20" s="100">
        <f>DD19+Table_SiteMilestoneTrackingSummary[[#This Row],[SiteAccepted_AC]]</f>
        <v>0</v>
      </c>
      <c r="DE20" s="100">
        <f>$DE$2*Table_SiteMilestoneTrackingSummary[[#This Row],[SiteInOperations_AC]]</f>
        <v>0</v>
      </c>
      <c r="DF20" s="100">
        <f>DF19+Table_SiteMilestoneTrackingSummary[[#This Row],[c9_HandoverEV]]</f>
        <v>0</v>
      </c>
      <c r="DG20" s="96">
        <f>SUMIFS(Table_SiteMilestoneTracking[c9_HandoverCostBL],
Table_SiteMilestoneTracking[SiteInOperations_BL],"&gt;="&amp;Table_SiteMilestoneTrackingSummary[[#This Row],[StartDate]:[StartDate]],
Table_SiteMilestoneTracking[SiteInOperations_BL],"&lt;"&amp;Table_SiteMilestoneTrackingSummary[[#This Row],[EndDate]:[EndDate]]+1)</f>
        <v>0</v>
      </c>
      <c r="DH20" s="100">
        <f>DH19+Table_SiteMilestoneTrackingSummary[[#This Row],[c9_HandoverCostBL2]]</f>
        <v>0</v>
      </c>
      <c r="DI20" s="96">
        <f>SUMIFS(Table_SiteMilestoneTracking[c9_HandoverCostAC],
Table_SiteMilestoneTracking[SiteInOperations_AC],"&gt;="&amp;Table_SiteMilestoneTrackingSummary[[#This Row],[StartDate]:[StartDate]],
Table_SiteMilestoneTracking[SiteInOperations_AC],"&lt;"&amp;Table_SiteMilestoneTrackingSummary[[#This Row],[EndDate]:[EndDate]]+1)</f>
        <v>0</v>
      </c>
      <c r="DJ20" s="100">
        <f>DJ19+Table_SiteMilestoneTrackingSummary[[#This Row],[c9_HandoverCostAC]]</f>
        <v>0</v>
      </c>
      <c r="DK20" s="96">
        <f>COUNTIFS(Table_SiteMilestoneTracking[SiteInOperations_BL],"&gt;="&amp;Table_SiteMilestoneTrackingSummary[[#This Row],[StartDate]:[StartDate]],
Table_SiteMilestoneTracking[SiteInOperations_BL],"&lt;"&amp;Table_SiteMilestoneTrackingSummary[[#This Row],[EndDate]:[EndDate]]+1)</f>
        <v>0</v>
      </c>
      <c r="DL20" s="100">
        <f>DL19+Table_SiteMilestoneTrackingSummary[[#This Row],[SiteInOperations_BL]]</f>
        <v>0</v>
      </c>
      <c r="DM20" s="96">
        <f>COUNTIFS(Table_SiteMilestoneTracking[SiteInOperations_AC],"&gt;="&amp;Table_SiteMilestoneTrackingSummary[[#This Row],[StartDate]:[StartDate]],
Table_SiteMilestoneTracking[SiteInOperations_AC],"&lt;"&amp;Table_SiteMilestoneTrackingSummary[[#This Row],[EndDate]:[EndDate]]+1)</f>
        <v>0</v>
      </c>
      <c r="DN20" s="100">
        <f>DN19+Table_SiteMilestoneTrackingSummary[[#This Row],[SiteInOperations_AC]]</f>
        <v>0</v>
      </c>
      <c r="DO20" s="59">
        <f>Table_SiteMilestoneTrackingSummary[[#This Row],[c0_SiteDesignEV(SUM)]]+Table_SiteMilestoneTrackingSummary[[#This Row],[c1_SiteSurveyEV(SUM)]]+Table_SiteMilestoneTrackingSummary[[#This Row],[c2_SiteAcquisitionEV(SUM)]]+Table_SiteMilestoneTrackingSummary[[#This Row],[c2a_SiteCWReadinessEV(SUM)]]+Table_SiteMilestoneTrackingSummary[[#This Row],[c3_CivilWorksEV(SUM)]]+Table_SiteMilestoneTrackingSummary[[#This Row],[c4_PowerInstallEV(SUM)]]+Table_SiteMilestoneTrackingSummary[[#This Row],[c5_TxIntegrationEV(SUM)]]+Table_SiteMilestoneTrackingSummary[[#This Row],[c6_InstallationEV(SUM)]]+Table_SiteMilestoneTrackingSummary[[#This Row],[c7_IntegrationEV(SUM)]]+Table_SiteMilestoneTrackingSummary[[#This Row],[c8_AcceptanceEV(SUM)]]+Table_SiteMilestoneTrackingSummary[[#This Row],[c9_HandoverEV(SUM)]]</f>
        <v>0</v>
      </c>
      <c r="DP20" s="59">
        <f>Table_SiteMilestoneTrackingSummary[[#This Row],[c0_SiteDesignCostBL(SUM)]]+Table_SiteMilestoneTrackingSummary[[#This Row],[c1_SiteSurveyCostBL(SUM)]]+Table_SiteMilestoneTrackingSummary[[#This Row],[c2_SiteAcquisitionCostBL(SUM)]]+Table_SiteMilestoneTrackingSummary[[#This Row],[c2a_SiteCWReadinessCostBL(SUM)]]+Table_SiteMilestoneTrackingSummary[[#This Row],[c3_CivilWorksCostBL(SUM)]]+Table_SiteMilestoneTrackingSummary[[#This Row],[c4_PowerInstallCostBL(SUM)]]+Table_SiteMilestoneTrackingSummary[[#This Row],[c5_TxIntegrationCostBL(SUM)]]+Table_SiteMilestoneTrackingSummary[[#This Row],[c6_InstallationCostBL(SUM)]]+Table_SiteMilestoneTrackingSummary[[#This Row],[c7_IntegrationCostBL(SUM)]]+Table_SiteMilestoneTrackingSummary[[#This Row],[c8_AcceptanceCostBL(SUM)]]+Table_SiteMilestoneTrackingSummary[[#This Row],[c9_HandoverCostBL(SUM)]]</f>
        <v>0</v>
      </c>
      <c r="DQ20" s="59">
        <f>Table_SiteMilestoneTrackingSummary[[#This Row],[c0_SiteDesignCostAC(SUM)]]+Table_SiteMilestoneTrackingSummary[[#This Row],[c1_SiteSurveyCostAC(SUM)]]+Table_SiteMilestoneTrackingSummary[[#This Row],[c2_SiteAcquisitionCostAC(SUM)]]+Table_SiteMilestoneTrackingSummary[[#This Row],[c2a_SiteCWReadinessCostAC(SUM)]]+Table_SiteMilestoneTrackingSummary[[#This Row],[c3_CivilWorksCostAC(SUM)]]+Table_SiteMilestoneTrackingSummary[[#This Row],[c4_PowerInstallCostAC(SUM)]]+Table_SiteMilestoneTrackingSummary[[#This Row],[c5_TxIntegrationCostAC(SUM)]]+Table_SiteMilestoneTrackingSummary[[#This Row],[c6_InstallationCostAC(SUM)]]+Table_SiteMilestoneTrackingSummary[[#This Row],[c7_IntegrationCostAC(SUM)]]+Table_SiteMilestoneTrackingSummary[[#This Row],[c8_AcceptanceCostAC(SUM)]]+Table_SiteMilestoneTrackingSummary[[#This Row],[c9_HandoverCostAC(SUM)]]</f>
        <v>0</v>
      </c>
      <c r="DR20" s="59">
        <f>Table_SiteMilestoneTrackingSummary[[#This Row],[AccumulatedEV]]-Table_SiteMilestoneTrackingSummary[[#This Row],[AccumulatedPV]]</f>
        <v>0</v>
      </c>
      <c r="DS20" s="59">
        <f>Table_SiteMilestoneTrackingSummary[[#This Row],[AccumulatedEV]]-Table_SiteMilestoneTrackingSummary[[#This Row],[AccumulatedAC]]</f>
        <v>0</v>
      </c>
      <c r="DT20" s="58" t="str">
        <f>IFERROR(Table_SiteMilestoneTrackingSummary[[#This Row],[AccumulatedEV]]/Table_SiteMilestoneTrackingSummary[[#This Row],[AccumulatedPV]],"/")</f>
        <v>/</v>
      </c>
      <c r="DU20" s="101" t="str">
        <f>IFERROR(Table_SiteMilestoneTrackingSummary[[#This Row],[AccumulatedEV]]/Table_SiteMilestoneTrackingSummary[[#This Row],[AccumulatedAC]],"/")</f>
        <v>/</v>
      </c>
    </row>
    <row r="21" spans="1:125" outlineLevel="1" x14ac:dyDescent="0.3">
      <c r="A21" s="79">
        <v>2020</v>
      </c>
      <c r="B21" s="79">
        <v>18</v>
      </c>
      <c r="C21" s="95">
        <f>DATE(Table_SiteMilestoneTrackingSummary[[#This Row],[Year]],1,-2)-WEEKDAY(DATE(Table_SiteMilestoneTrackingSummary[[#This Row],[Year]],1,3))+Table_SiteMilestoneTrackingSummary[[#This Row],[Week]]*7</f>
        <v>43948</v>
      </c>
      <c r="D21" s="95">
        <f>Table_SiteMilestoneTrackingSummary[[#This Row],[StartDate]]+6</f>
        <v>43954</v>
      </c>
      <c r="E21" s="100">
        <f>COUNTIFS(Table_SiteMilestoneTracking[SiteDesignStarted_BL],"&gt;="&amp;Table_SiteMilestoneTrackingSummary[[#This Row],[StartDate]:[StartDate]],Table_SiteMilestoneTracking[SiteDesignStarted_BL],"&lt;"&amp;Table_SiteMilestoneTrackingSummary[[#This Row],[EndDate]:[EndDate]]+1)</f>
        <v>0</v>
      </c>
      <c r="F21" s="100">
        <f>F20+Table_SiteMilestoneTrackingSummary[[#This Row],[SiteDesignStarted_BL]]</f>
        <v>0</v>
      </c>
      <c r="G21" s="100">
        <f>COUNTIFS(Table_SiteMilestoneTracking[SiteDesignStarted_AC],"&gt;="&amp;Table_SiteMilestoneTrackingSummary[[#This Row],[StartDate]:[StartDate]],Table_SiteMilestoneTracking[SiteDesignStarted_AC],"&lt;"&amp;Table_SiteMilestoneTrackingSummary[[#This Row],[EndDate]:[EndDate]]+1)</f>
        <v>0</v>
      </c>
      <c r="H21" s="100">
        <f>H20+Table_SiteMilestoneTrackingSummary[[#This Row],[SiteDesignStarted_AC]]</f>
        <v>0</v>
      </c>
      <c r="I21" s="100">
        <f>Table_SiteMilestoneTrackingSummary[[#This Row],[SiteDesignReady_AC]]*$I$2</f>
        <v>0</v>
      </c>
      <c r="J21" s="100">
        <f>J20+Table_SiteMilestoneTrackingSummary[[#This Row],[c0_SiteDesignEV]]</f>
        <v>0</v>
      </c>
      <c r="K21" s="97">
        <f>SUMIFS(Table_SiteMilestoneTracking[c0_SiteDesignCostBL],
Table_SiteMilestoneTracking[SiteDesignReady_BL],"&gt;="&amp;Table_SiteMilestoneTrackingSummary[[#This Row],[StartDate]:[StartDate]],
Table_SiteMilestoneTracking[SiteDesignReady_BL],"&lt;"&amp;Table_SiteMilestoneTrackingSummary[[#This Row],[EndDate]:[EndDate]]+1)</f>
        <v>0</v>
      </c>
      <c r="L21" s="59">
        <f>L20+Table_SiteMilestoneTrackingSummary[[#This Row],[c0_SiteDesignCostBL]]</f>
        <v>0</v>
      </c>
      <c r="M21" s="97">
        <f>SUMIFS(Table_SiteMilestoneTracking[c0_SiteDesignCostAC],
Table_SiteMilestoneTracking[SiteDesignReady_AC],"&gt;="&amp;Table_SiteMilestoneTrackingSummary[[#This Row],[StartDate]:[StartDate]],
Table_SiteMilestoneTracking[SiteDesignReady_AC],"&lt;"&amp;Table_SiteMilestoneTrackingSummary[[#This Row],[EndDate]:[EndDate]]+1)</f>
        <v>0</v>
      </c>
      <c r="N21" s="59">
        <f>N20+Table_SiteMilestoneTrackingSummary[[#This Row],[c0_SiteDesignCostAC]]</f>
        <v>0</v>
      </c>
      <c r="O21" s="96">
        <f>COUNTIFS(Table_SiteMilestoneTracking[SiteDesignReady_BL],"&gt;="&amp;Table_SiteMilestoneTrackingSummary[[#This Row],[StartDate]:[StartDate]],
Table_SiteMilestoneTracking[SiteDesignReady_BL],"&lt;"&amp;Table_SiteMilestoneTrackingSummary[[#This Row],[EndDate]:[EndDate]]+1)</f>
        <v>0</v>
      </c>
      <c r="P21" s="100">
        <f>P20+Table_SiteMilestoneTrackingSummary[[#This Row],[SiteDesignReady_BL]]</f>
        <v>0</v>
      </c>
      <c r="Q21" s="100">
        <f>COUNTIFS(Table_SiteMilestoneTracking[SiteDesignReady_AC],"&gt;="&amp;Table_SiteMilestoneTrackingSummary[[#This Row],[StartDate]:[StartDate]],Table_SiteMilestoneTracking[SiteDesignReady_AC],"&lt;"&amp;Table_SiteMilestoneTrackingSummary[[#This Row],[EndDate]:[EndDate]]+1)</f>
        <v>0</v>
      </c>
      <c r="R21" s="100">
        <f>R20+Table_SiteMilestoneTrackingSummary[[#This Row],[SiteDesignReady_AC]]</f>
        <v>0</v>
      </c>
      <c r="S21" s="100">
        <f>Table_SiteMilestoneTrackingSummary[[#This Row],[ReadyForCW_AC]]*$S$2</f>
        <v>0</v>
      </c>
      <c r="T21" s="100">
        <f>T20+Table_SiteMilestoneTrackingSummary[[#This Row],[c1_SiteSurveyEV]]</f>
        <v>0</v>
      </c>
      <c r="U21" s="96">
        <f>SUMIFS(Table_SiteMilestoneTracking[c1_SiteSurveyCostBL],
Table_SiteMilestoneTracking[SiteSurveyCompleted_BL],"&gt;="&amp;Table_SiteMilestoneTrackingSummary[[#This Row],[StartDate]:[StartDate]],
Table_SiteMilestoneTracking[SiteSurveyCompleted_BL],"&lt;"&amp;Table_SiteMilestoneTrackingSummary[[#This Row],[EndDate]:[EndDate]]+1)</f>
        <v>0</v>
      </c>
      <c r="V21" s="100">
        <f>V20+Table_SiteMilestoneTrackingSummary[[#This Row],[c1_SiteSurveyCostBL]]</f>
        <v>0</v>
      </c>
      <c r="W21" s="96">
        <f>SUMIFS(Table_SiteMilestoneTracking[c1_SiteSurveyCostAC],
Table_SiteMilestoneTracking[SiteSurveyCompleted_AC],"&gt;="&amp;Table_SiteMilestoneTrackingSummary[[#This Row],[StartDate]:[StartDate]],
Table_SiteMilestoneTracking[SiteSurveyCompleted_AC],"&lt;"&amp;Table_SiteMilestoneTrackingSummary[[#This Row],[EndDate]:[EndDate]]+1)</f>
        <v>0</v>
      </c>
      <c r="X21" s="100">
        <f>X20+Table_SiteMilestoneTrackingSummary[[#This Row],[c1_SiteSurveyCostAC]]</f>
        <v>0</v>
      </c>
      <c r="Y21" s="96">
        <f>COUNTIFS(Table_SiteMilestoneTracking[SiteSurveyCompleted_BL],"&gt;="&amp;Table_SiteMilestoneTrackingSummary[[#This Row],[StartDate]:[StartDate]],
Table_SiteMilestoneTracking[SiteSurveyCompleted_BL],"&lt;"&amp;Table_SiteMilestoneTrackingSummary[[#This Row],[EndDate]:[EndDate]]+1)</f>
        <v>0</v>
      </c>
      <c r="Z21" s="100">
        <f>Z20+Table_SiteMilestoneTrackingSummary[[#This Row],[SiteSurveyCompleted_BL]]</f>
        <v>0</v>
      </c>
      <c r="AA21" s="96">
        <f>COUNTIFS(Table_SiteMilestoneTracking[SiteSurveyCompleted_AC],"&gt;="&amp;Table_SiteMilestoneTrackingSummary[[#This Row],[StartDate]:[StartDate]],
Table_SiteMilestoneTracking[SiteSurveyCompleted_AC],"&lt;"&amp;Table_SiteMilestoneTrackingSummary[[#This Row],[EndDate]:[EndDate]]+1)</f>
        <v>0</v>
      </c>
      <c r="AB21" s="100">
        <f>AB20+Table_SiteMilestoneTrackingSummary[[#This Row],[SiteSurveyCompleted_AC]]</f>
        <v>0</v>
      </c>
      <c r="AC21" s="100">
        <f>$AC$2*Table_SiteMilestoneTrackingSummary[[#This Row],[SiteAcquired_AC]]</f>
        <v>0</v>
      </c>
      <c r="AD21" s="100">
        <f>AD20+Table_SiteMilestoneTrackingSummary[[#This Row],[c2_SiteAcquisitionEV]]</f>
        <v>0</v>
      </c>
      <c r="AE21" s="96">
        <f>SUMIFS(Table_SiteMilestoneTracking[c2_SiteAcquisitionCostBL],
Table_SiteMilestoneTracking[SiteAcquired_BL],"&gt;="&amp;Table_SiteMilestoneTrackingSummary[[#This Row],[StartDate]:[StartDate]],
Table_SiteMilestoneTracking[SiteAcquired_BL],"&lt;"&amp;Table_SiteMilestoneTrackingSummary[[#This Row],[EndDate]:[EndDate]]+1)</f>
        <v>0</v>
      </c>
      <c r="AF21" s="100">
        <f>AF20+Table_SiteMilestoneTrackingSummary[[#This Row],[c2_SiteAcquisitionCostBL]]</f>
        <v>0</v>
      </c>
      <c r="AG21" s="96">
        <f>SUMIFS(Table_SiteMilestoneTracking[c2_SiteAcquisitionCostAC],
Table_SiteMilestoneTracking[SiteAcquired_AC],"&gt;="&amp;Table_SiteMilestoneTrackingSummary[[#This Row],[StartDate]:[StartDate]],
Table_SiteMilestoneTracking[SiteAcquired_AC],"&lt;"&amp;Table_SiteMilestoneTrackingSummary[[#This Row],[EndDate]:[EndDate]]+1)</f>
        <v>0</v>
      </c>
      <c r="AH21" s="100">
        <f>AH20+Table_SiteMilestoneTrackingSummary[[#This Row],[c2_SiteAcquisitionCostAC]]</f>
        <v>0</v>
      </c>
      <c r="AI21" s="96">
        <f>COUNTIFS(Table_SiteMilestoneTracking[SiteAcquired_BL],"&gt;="&amp;Table_SiteMilestoneTrackingSummary[[#This Row],[StartDate]:[StartDate]],
Table_SiteMilestoneTracking[SiteAcquired_BL],"&lt;"&amp;Table_SiteMilestoneTrackingSummary[[#This Row],[EndDate]:[EndDate]]+1)</f>
        <v>0</v>
      </c>
      <c r="AJ21" s="100">
        <f>AJ20+Table_SiteMilestoneTrackingSummary[[#This Row],[SiteAcquired_BL]]</f>
        <v>0</v>
      </c>
      <c r="AK21" s="96">
        <f>COUNTIFS(Table_SiteMilestoneTracking[SiteAcquired_AC],"&gt;="&amp;Table_SiteMilestoneTrackingSummary[[#This Row],[StartDate]:[StartDate]],
Table_SiteMilestoneTracking[SiteAcquired_AC],"&lt;"&amp;Table_SiteMilestoneTrackingSummary[[#This Row],[EndDate]:[EndDate]]+1)</f>
        <v>0</v>
      </c>
      <c r="AL21" s="100">
        <f>AL20+Table_SiteMilestoneTrackingSummary[[#This Row],[SiteAcquired_AC]]</f>
        <v>0</v>
      </c>
      <c r="AM21" s="100">
        <f>Table_SiteMilestoneTrackingSummary[[#This Row],[ReadyForCW_AC]]*$AM$2</f>
        <v>0</v>
      </c>
      <c r="AN21" s="100">
        <f>AN20+Table_SiteMilestoneTrackingSummary[[#This Row],[c2a_SiteCWReadinessEV]]</f>
        <v>0</v>
      </c>
      <c r="AO21" s="96">
        <f>SUMIFS(Table_SiteMilestoneTracking[c2a_SiteCWReadinessCost_BL],
Table_SiteMilestoneTracking[SiteReadyForCW_BL],"&gt;="&amp;Table_SiteMilestoneTrackingSummary[[#This Row],[StartDate]:[StartDate]],
Table_SiteMilestoneTracking[SiteReadyForCW_BL],"&lt;"&amp;Table_SiteMilestoneTrackingSummary[[#This Row],[EndDate]:[EndDate]]+1)</f>
        <v>0</v>
      </c>
      <c r="AP21" s="100">
        <f>AP20+Table_SiteMilestoneTrackingSummary[[#This Row],[c2a_SiteCWReadinessCostBL]]</f>
        <v>0</v>
      </c>
      <c r="AQ21" s="96">
        <f>SUMIFS(Table_SiteMilestoneTracking[c2a_SiteCWReadinessCost_AC],
Table_SiteMilestoneTracking[SiteReadyForCW_AC],"&gt;="&amp;Table_SiteMilestoneTrackingSummary[[#This Row],[StartDate]:[StartDate]],
Table_SiteMilestoneTracking[SiteReadyForCW_AC],"&lt;"&amp;Table_SiteMilestoneTrackingSummary[[#This Row],[EndDate]:[EndDate]]+1)</f>
        <v>0</v>
      </c>
      <c r="AR21" s="100">
        <f>AR20+Table_SiteMilestoneTrackingSummary[[#This Row],[c2a_SiteCWReadinessCostAC]]</f>
        <v>0</v>
      </c>
      <c r="AS21" s="96">
        <f>COUNTIFS(Table_SiteMilestoneTracking[SiteReadyForCW_BL],"&gt;="&amp;Table_SiteMilestoneTrackingSummary[[#This Row],[StartDate]:[StartDate]],
Table_SiteMilestoneTracking[SiteReadyForCW_BL],"&lt;"&amp;Table_SiteMilestoneTrackingSummary[[#This Row],[EndDate]:[EndDate]]+1)</f>
        <v>0</v>
      </c>
      <c r="AT21" s="100">
        <f>AT20+Table_SiteMilestoneTrackingSummary[[#This Row],[ReadyForCW_BL]]</f>
        <v>0</v>
      </c>
      <c r="AU21" s="96">
        <f>COUNTIFS(Table_SiteMilestoneTracking[SiteReadyForCW_AC],"&gt;="&amp;Table_SiteMilestoneTrackingSummary[[#This Row],[StartDate]:[StartDate]],
Table_SiteMilestoneTracking[SiteReadyForCW_AC],"&lt;"&amp;Table_SiteMilestoneTrackingSummary[[#This Row],[EndDate]:[EndDate]]+1)</f>
        <v>0</v>
      </c>
      <c r="AV21" s="100">
        <f>AV20+Table_SiteMilestoneTrackingSummary[[#This Row],[ReadyForCW_AC]]</f>
        <v>0</v>
      </c>
      <c r="AW21" s="100">
        <f>$AW$2*Table_SiteMilestoneTrackingSummary[[#This Row],[ReadyForPower_AC]]</f>
        <v>0</v>
      </c>
      <c r="AX21" s="100">
        <f>AX20+Table_SiteMilestoneTrackingSummary[[#This Row],[c3_CivilWorksEV]]</f>
        <v>0</v>
      </c>
      <c r="AY21" s="96">
        <f>SUMIFS(Table_SiteMilestoneTracking[c3_CivilWorksCostBL],
Table_SiteMilestoneTracking[SiteReadyForPower_BL],"&gt;="&amp;Table_SiteMilestoneTrackingSummary[[#This Row],[StartDate]:[StartDate]],
Table_SiteMilestoneTracking[SiteReadyForPower_BL],"&lt;"&amp;Table_SiteMilestoneTrackingSummary[[#This Row],[EndDate]:[EndDate]]+1)</f>
        <v>0</v>
      </c>
      <c r="AZ21" s="100">
        <f>AZ20+Table_SiteMilestoneTrackingSummary[[#This Row],[c3_CivilWorksCostBL]]</f>
        <v>0</v>
      </c>
      <c r="BA21" s="96">
        <f>SUMIFS(Table_SiteMilestoneTracking[c3_CivilWorksCostAC],
Table_SiteMilestoneTracking[SiteReadyForPower_AC],"&gt;="&amp;Table_SiteMilestoneTrackingSummary[[#This Row],[StartDate]:[StartDate]],
Table_SiteMilestoneTracking[SiteReadyForPower_AC],"&lt;"&amp;Table_SiteMilestoneTrackingSummary[[#This Row],[EndDate]:[EndDate]]+1)</f>
        <v>0</v>
      </c>
      <c r="BB21" s="100">
        <f>BB20+Table_SiteMilestoneTrackingSummary[[#This Row],[c3_CivilWorksCostAC]]</f>
        <v>0</v>
      </c>
      <c r="BC21" s="96">
        <f>COUNTIFS(Table_SiteMilestoneTracking[SiteReadyForPower_BL],"&gt;="&amp;Table_SiteMilestoneTrackingSummary[[#This Row],[StartDate]:[StartDate]],
Table_SiteMilestoneTracking[SiteReadyForPower_BL],"&lt;"&amp;Table_SiteMilestoneTrackingSummary[[#This Row],[EndDate]:[EndDate]]+1)</f>
        <v>0</v>
      </c>
      <c r="BD21" s="100">
        <f>BD20+Table_SiteMilestoneTrackingSummary[[#This Row],[ReadyForPower_BL]]</f>
        <v>0</v>
      </c>
      <c r="BE21" s="96">
        <f>COUNTIFS(Table_SiteMilestoneTracking[SiteReadyForPower_AC],"&gt;="&amp;Table_SiteMilestoneTrackingSummary[[#This Row],[StartDate]:[StartDate]],
Table_SiteMilestoneTracking[SiteReadyForPower_AC],"&lt;"&amp;Table_SiteMilestoneTrackingSummary[[#This Row],[EndDate]:[EndDate]]+1)</f>
        <v>0</v>
      </c>
      <c r="BF21" s="100">
        <f>BF20+Table_SiteMilestoneTrackingSummary[[#This Row],[ReadyForPower_AC]]</f>
        <v>0</v>
      </c>
      <c r="BG21" s="100">
        <f>$BG$2*Table_SiteMilestoneTrackingSummary[[#This Row],[TXReady_AC]]</f>
        <v>0</v>
      </c>
      <c r="BH21" s="100">
        <f>BH20+Table_SiteMilestoneTrackingSummary[[#This Row],[c4_PowerInstallEV]]</f>
        <v>0</v>
      </c>
      <c r="BI21" s="96">
        <f>SUMIFS(Table_SiteMilestoneTracking[c4_PowerInstallCostBL],
Table_SiteMilestoneTracking[TXReady_BL],"&gt;="&amp;Table_SiteMilestoneTrackingSummary[[#This Row],[StartDate]:[StartDate]],
Table_SiteMilestoneTracking[TXReady_BL],"&lt;"&amp;Table_SiteMilestoneTrackingSummary[[#This Row],[EndDate]:[EndDate]]+1)</f>
        <v>0</v>
      </c>
      <c r="BJ21" s="100">
        <f>BJ20+Table_SiteMilestoneTrackingSummary[[#This Row],[c4_PowerInstallCostBL]]</f>
        <v>0</v>
      </c>
      <c r="BK21" s="96">
        <f>SUMIFS(Table_SiteMilestoneTracking[c4_PowerInstallCostAC],
Table_SiteMilestoneTracking[TXReady_AC],"&gt;="&amp;Table_SiteMilestoneTrackingSummary[[#This Row],[StartDate]:[StartDate]],
Table_SiteMilestoneTracking[TXReady_AC],"&lt;"&amp;Table_SiteMilestoneTrackingSummary[[#This Row],[EndDate]:[EndDate]]+1)</f>
        <v>0</v>
      </c>
      <c r="BL21" s="100">
        <f>BL20+Table_SiteMilestoneTrackingSummary[[#This Row],[c4_PowerInstallCostAC]]</f>
        <v>0</v>
      </c>
      <c r="BM21" s="96">
        <f>COUNTIFS(Table_SiteMilestoneTracking[TXReady_BL],"&gt;="&amp;Table_SiteMilestoneTrackingSummary[[#This Row],[StartDate]:[StartDate]],
Table_SiteMilestoneTracking[TXReady_BL],"&lt;"&amp;Table_SiteMilestoneTrackingSummary[[#This Row],[EndDate]:[EndDate]]+1)</f>
        <v>0</v>
      </c>
      <c r="BN21" s="100">
        <f>BN20+Table_SiteMilestoneTrackingSummary[[#This Row],[TXReady_BL]]</f>
        <v>0</v>
      </c>
      <c r="BO21" s="100">
        <f>COUNTIFS(Table_SiteMilestoneTracking[TXReady_AC],"&gt;="&amp;Table_SiteMilestoneTrackingSummary[[#This Row],[StartDate]:[StartDate]],Table_SiteMilestoneTracking[TXReady_AC],"&lt;"&amp;Table_SiteMilestoneTrackingSummary[[#This Row],[EndDate]:[EndDate]]+1)</f>
        <v>0</v>
      </c>
      <c r="BP21" s="100">
        <f>BP20+Table_SiteMilestoneTrackingSummary[[#This Row],[TXReady_AC]]</f>
        <v>0</v>
      </c>
      <c r="BQ21" s="100">
        <f>$BQ$2*Table_SiteMilestoneTrackingSummary[[#This Row],[ReadyForInstallation_AC]]</f>
        <v>0</v>
      </c>
      <c r="BR21" s="100">
        <f>BR20+Table_SiteMilestoneTrackingSummary[[#This Row],[c5_TxIntegrationEV]]</f>
        <v>0</v>
      </c>
      <c r="BS21" s="96">
        <f>SUMIFS(Table_SiteMilestoneTracking[c5_TxintegrationCostBL],
Table_SiteMilestoneTracking[SiteReadyForInstallation_BL],"&gt;="&amp;Table_SiteMilestoneTrackingSummary[[#This Row],[StartDate]:[StartDate]],
Table_SiteMilestoneTracking[SiteReadyForInstallation_BL],"&lt;"&amp;Table_SiteMilestoneTrackingSummary[[#This Row],[EndDate]:[EndDate]]+1)</f>
        <v>0</v>
      </c>
      <c r="BT21" s="100">
        <f>BT20+Table_SiteMilestoneTrackingSummary[[#This Row],[c5_TxIntegrationCostBL]]</f>
        <v>0</v>
      </c>
      <c r="BU21" s="96">
        <f>SUMIFS(Table_SiteMilestoneTracking[c5_TxintegrationCostAC],
Table_SiteMilestoneTracking[SiteReadyForInstallation_AC],"&gt;="&amp;Table_SiteMilestoneTrackingSummary[[#This Row],[StartDate]:[StartDate]],
Table_SiteMilestoneTracking[SiteReadyForInstallation_AC],"&lt;"&amp;Table_SiteMilestoneTrackingSummary[[#This Row],[EndDate]:[EndDate]]+1)</f>
        <v>0</v>
      </c>
      <c r="BV21" s="100">
        <f>BV20+Table_SiteMilestoneTrackingSummary[[#This Row],[c5_TxIntegrationCostAC]]</f>
        <v>0</v>
      </c>
      <c r="BW21" s="96">
        <f>COUNTIFS(Table_SiteMilestoneTracking[SiteReadyForInstallation_BL],"&gt;="&amp;Table_SiteMilestoneTrackingSummary[[#This Row],[StartDate]:[StartDate]],
Table_SiteMilestoneTracking[SiteReadyForInstallation_BL],"&lt;"&amp;Table_SiteMilestoneTrackingSummary[[#This Row],[EndDate]:[EndDate]]+1)</f>
        <v>0</v>
      </c>
      <c r="BX21" s="100">
        <f>BX20+Table_SiteMilestoneTrackingSummary[[#This Row],[ReadyForInstallation_BL]]</f>
        <v>0</v>
      </c>
      <c r="BY21" s="96">
        <f>COUNTIFS(Table_SiteMilestoneTracking[SiteReadyForInstallation_AC],"&gt;="&amp;Table_SiteMilestoneTrackingSummary[[#This Row],[StartDate]:[StartDate]],
Table_SiteMilestoneTracking[SiteReadyForInstallation_AC],"&lt;"&amp;Table_SiteMilestoneTrackingSummary[[#This Row],[EndDate]:[EndDate]]+1)</f>
        <v>0</v>
      </c>
      <c r="BZ21" s="100">
        <f>BZ20+Table_SiteMilestoneTrackingSummary[[#This Row],[ReadyForInstallation_AC]]</f>
        <v>0</v>
      </c>
      <c r="CA21" s="100">
        <f>$CA$2*Table_SiteMilestoneTrackingSummary[[#This Row],[ReadyForIntegration_AC]]</f>
        <v>0</v>
      </c>
      <c r="CB21" s="100">
        <f>CB20+Table_SiteMilestoneTrackingSummary[[#This Row],[c6_InstallationEV]]</f>
        <v>0</v>
      </c>
      <c r="CC21" s="96">
        <f>SUMIFS(Table_SiteMilestoneTracking[c6_InstallationCostBL],
Table_SiteMilestoneTracking[SiteReadyForIntegration_BL],"&gt;="&amp;Table_SiteMilestoneTrackingSummary[[#This Row],[StartDate]:[StartDate]],
Table_SiteMilestoneTracking[SiteReadyForIntegration_BL],"&lt;"&amp;Table_SiteMilestoneTrackingSummary[[#This Row],[EndDate]:[EndDate]]+1)</f>
        <v>0</v>
      </c>
      <c r="CD21" s="100">
        <f>CD20+Table_SiteMilestoneTrackingSummary[[#This Row],[c6_InstallationCostBL]]</f>
        <v>0</v>
      </c>
      <c r="CE21" s="96">
        <f>SUMIFS(Table_SiteMilestoneTracking[c6_InstallationCostAC],
Table_SiteMilestoneTracking[SiteReadyForIntegration_AC],"&gt;="&amp;Table_SiteMilestoneTrackingSummary[[#This Row],[StartDate]:[StartDate]],
Table_SiteMilestoneTracking[SiteReadyForIntegration_AC],"&lt;"&amp;Table_SiteMilestoneTrackingSummary[[#This Row],[EndDate]:[EndDate]]+1)</f>
        <v>0</v>
      </c>
      <c r="CF21" s="100">
        <f>CF20+Table_SiteMilestoneTrackingSummary[[#This Row],[c6_InstallationCostAC]]</f>
        <v>0</v>
      </c>
      <c r="CG21" s="96">
        <f>COUNTIFS(Table_SiteMilestoneTracking[SiteReadyForIntegration_BL],"&gt;="&amp;Table_SiteMilestoneTrackingSummary[[#This Row],[StartDate]:[StartDate]],
Table_SiteMilestoneTracking[SiteReadyForIntegration_BL],"&lt;"&amp;Table_SiteMilestoneTrackingSummary[[#This Row],[EndDate]:[EndDate]]+1)</f>
        <v>0</v>
      </c>
      <c r="CH21" s="100">
        <f>CH20+Table_SiteMilestoneTrackingSummary[[#This Row],[ReadyForIntegration_BL]]</f>
        <v>0</v>
      </c>
      <c r="CI21" s="96">
        <f>COUNTIFS(Table_SiteMilestoneTracking[SiteReadyForIntegration_AC],"&gt;="&amp;Table_SiteMilestoneTrackingSummary[[#This Row],[StartDate]:[StartDate]],
Table_SiteMilestoneTracking[SiteReadyForIntegration_AC],"&lt;"&amp;Table_SiteMilestoneTrackingSummary[[#This Row],[EndDate]:[EndDate]]+1)</f>
        <v>0</v>
      </c>
      <c r="CJ21" s="100">
        <f>CJ20+Table_SiteMilestoneTrackingSummary[[#This Row],[ReadyForIntegration_AC]]</f>
        <v>0</v>
      </c>
      <c r="CK21" s="100">
        <f>$CK$2*Table_SiteMilestoneTrackingSummary[[#This Row],[SiteOnAir_AC]]</f>
        <v>0</v>
      </c>
      <c r="CL21" s="100">
        <f>CL20+Table_SiteMilestoneTrackingSummary[[#This Row],[c7_IntegrationEV]]</f>
        <v>0</v>
      </c>
      <c r="CM21" s="96">
        <f>SUMIFS(Table_SiteMilestoneTracking[c7_IntegrationCostBL],
Table_SiteMilestoneTracking[SiteOnAir_BL],"&gt;="&amp;Table_SiteMilestoneTrackingSummary[[#This Row],[StartDate]:[StartDate]],
Table_SiteMilestoneTracking[SiteOnAir_BL],"&lt;"&amp;Table_SiteMilestoneTrackingSummary[[#This Row],[EndDate]:[EndDate]]+1)</f>
        <v>0</v>
      </c>
      <c r="CN21" s="100">
        <f>CN20+Table_SiteMilestoneTrackingSummary[[#This Row],[c7_IntegrationCostBL]]</f>
        <v>0</v>
      </c>
      <c r="CO21" s="96">
        <f>SUMIFS(Table_SiteMilestoneTracking[c7_IntegrationCostAC],
Table_SiteMilestoneTracking[SiteOnAir_AC],"&gt;="&amp;Table_SiteMilestoneTrackingSummary[[#This Row],[StartDate]:[StartDate]],
Table_SiteMilestoneTracking[SiteOnAir_AC],"&lt;"&amp;Table_SiteMilestoneTrackingSummary[[#This Row],[EndDate]:[EndDate]]+1)</f>
        <v>0</v>
      </c>
      <c r="CP21" s="100">
        <f>CP20+Table_SiteMilestoneTrackingSummary[[#This Row],[c7_IntegrationCostAC]]</f>
        <v>0</v>
      </c>
      <c r="CQ21" s="96">
        <f>COUNTIFS(Table_SiteMilestoneTracking[SiteOnAir_BL],"&gt;="&amp;Table_SiteMilestoneTrackingSummary[[#This Row],[StartDate]:[StartDate]],
Table_SiteMilestoneTracking[SiteOnAir_BL],"&lt;"&amp;Table_SiteMilestoneTrackingSummary[[#This Row],[EndDate]:[EndDate]]+1)</f>
        <v>0</v>
      </c>
      <c r="CR21" s="100">
        <f>CR20+Table_SiteMilestoneTrackingSummary[[#This Row],[SiteOnAir_BL]]</f>
        <v>0</v>
      </c>
      <c r="CS21" s="96">
        <f>COUNTIFS(Table_SiteMilestoneTracking[SiteOnAir_AC],"&gt;="&amp;Table_SiteMilestoneTrackingSummary[[#This Row],[StartDate]:[StartDate]],
Table_SiteMilestoneTracking[SiteOnAir_AC],"&lt;"&amp;Table_SiteMilestoneTrackingSummary[[#This Row],[EndDate]:[EndDate]]+1)</f>
        <v>0</v>
      </c>
      <c r="CT21" s="100">
        <f>CT20+Table_SiteMilestoneTrackingSummary[[#This Row],[SiteOnAir_AC]]</f>
        <v>0</v>
      </c>
      <c r="CU21" s="100">
        <f>$CU$2*Table_SiteMilestoneTrackingSummary[[#This Row],[SiteAccepted_AC]]</f>
        <v>0</v>
      </c>
      <c r="CV21" s="100">
        <f>CV20+Table_SiteMilestoneTrackingSummary[[#This Row],[c8_AcceptanceEV]]</f>
        <v>0</v>
      </c>
      <c r="CW21" s="96">
        <f>SUMIFS(Table_SiteMilestoneTracking[c8_AcceptanceCostBL],
Table_SiteMilestoneTracking[SiteAccepted_BL],"&gt;="&amp;Table_SiteMilestoneTrackingSummary[[#This Row],[StartDate]:[StartDate]],
Table_SiteMilestoneTracking[SiteAccepted_BL],"&lt;"&amp;Table_SiteMilestoneTrackingSummary[[#This Row],[EndDate]:[EndDate]]+1)</f>
        <v>0</v>
      </c>
      <c r="CX21" s="100">
        <f>CX20+Table_SiteMilestoneTrackingSummary[[#This Row],[c8_AcceptanceCostBL]]</f>
        <v>0</v>
      </c>
      <c r="CY21" s="96">
        <f>SUMIFS(Table_SiteMilestoneTracking[c8_AcceptanceCostAC],
Table_SiteMilestoneTracking[SiteAccepted_AC],"&gt;="&amp;Table_SiteMilestoneTrackingSummary[[#This Row],[StartDate]:[StartDate]],
Table_SiteMilestoneTracking[SiteAccepted_AC],"&lt;"&amp;Table_SiteMilestoneTrackingSummary[[#This Row],[EndDate]:[EndDate]]+1)</f>
        <v>0</v>
      </c>
      <c r="CZ21" s="100">
        <f>CZ20+Table_SiteMilestoneTrackingSummary[[#This Row],[c8_AcceptanceCostAC]]</f>
        <v>0</v>
      </c>
      <c r="DA21" s="96">
        <f>COUNTIFS(Table_SiteMilestoneTracking[SiteAccepted_BL],"&gt;="&amp;Table_SiteMilestoneTrackingSummary[[#This Row],[StartDate]:[StartDate]],
Table_SiteMilestoneTracking[SiteAccepted_BL],"&lt;"&amp;Table_SiteMilestoneTrackingSummary[[#This Row],[EndDate]:[EndDate]]+1)</f>
        <v>0</v>
      </c>
      <c r="DB21" s="100">
        <f>DB20+Table_SiteMilestoneTrackingSummary[[#This Row],[SiteAccepted_BL]]</f>
        <v>0</v>
      </c>
      <c r="DC21" s="96">
        <f>COUNTIFS(Table_SiteMilestoneTracking[SiteAccepted_AC],"&gt;="&amp;Table_SiteMilestoneTrackingSummary[[#This Row],[StartDate]:[StartDate]],
Table_SiteMilestoneTracking[SiteAccepted_AC],"&lt;"&amp;Table_SiteMilestoneTrackingSummary[[#This Row],[EndDate]:[EndDate]]+1)</f>
        <v>0</v>
      </c>
      <c r="DD21" s="100">
        <f>DD20+Table_SiteMilestoneTrackingSummary[[#This Row],[SiteAccepted_AC]]</f>
        <v>0</v>
      </c>
      <c r="DE21" s="100">
        <f>$DE$2*Table_SiteMilestoneTrackingSummary[[#This Row],[SiteInOperations_AC]]</f>
        <v>0</v>
      </c>
      <c r="DF21" s="100">
        <f>DF20+Table_SiteMilestoneTrackingSummary[[#This Row],[c9_HandoverEV]]</f>
        <v>0</v>
      </c>
      <c r="DG21" s="96">
        <f>SUMIFS(Table_SiteMilestoneTracking[c9_HandoverCostBL],
Table_SiteMilestoneTracking[SiteInOperations_BL],"&gt;="&amp;Table_SiteMilestoneTrackingSummary[[#This Row],[StartDate]:[StartDate]],
Table_SiteMilestoneTracking[SiteInOperations_BL],"&lt;"&amp;Table_SiteMilestoneTrackingSummary[[#This Row],[EndDate]:[EndDate]]+1)</f>
        <v>0</v>
      </c>
      <c r="DH21" s="100">
        <f>DH20+Table_SiteMilestoneTrackingSummary[[#This Row],[c9_HandoverCostBL2]]</f>
        <v>0</v>
      </c>
      <c r="DI21" s="96">
        <f>SUMIFS(Table_SiteMilestoneTracking[c9_HandoverCostAC],
Table_SiteMilestoneTracking[SiteInOperations_AC],"&gt;="&amp;Table_SiteMilestoneTrackingSummary[[#This Row],[StartDate]:[StartDate]],
Table_SiteMilestoneTracking[SiteInOperations_AC],"&lt;"&amp;Table_SiteMilestoneTrackingSummary[[#This Row],[EndDate]:[EndDate]]+1)</f>
        <v>0</v>
      </c>
      <c r="DJ21" s="100">
        <f>DJ20+Table_SiteMilestoneTrackingSummary[[#This Row],[c9_HandoverCostAC]]</f>
        <v>0</v>
      </c>
      <c r="DK21" s="96">
        <f>COUNTIFS(Table_SiteMilestoneTracking[SiteInOperations_BL],"&gt;="&amp;Table_SiteMilestoneTrackingSummary[[#This Row],[StartDate]:[StartDate]],
Table_SiteMilestoneTracking[SiteInOperations_BL],"&lt;"&amp;Table_SiteMilestoneTrackingSummary[[#This Row],[EndDate]:[EndDate]]+1)</f>
        <v>0</v>
      </c>
      <c r="DL21" s="100">
        <f>DL20+Table_SiteMilestoneTrackingSummary[[#This Row],[SiteInOperations_BL]]</f>
        <v>0</v>
      </c>
      <c r="DM21" s="96">
        <f>COUNTIFS(Table_SiteMilestoneTracking[SiteInOperations_AC],"&gt;="&amp;Table_SiteMilestoneTrackingSummary[[#This Row],[StartDate]:[StartDate]],
Table_SiteMilestoneTracking[SiteInOperations_AC],"&lt;"&amp;Table_SiteMilestoneTrackingSummary[[#This Row],[EndDate]:[EndDate]]+1)</f>
        <v>0</v>
      </c>
      <c r="DN21" s="100">
        <f>DN20+Table_SiteMilestoneTrackingSummary[[#This Row],[SiteInOperations_AC]]</f>
        <v>0</v>
      </c>
      <c r="DO21" s="59">
        <f>Table_SiteMilestoneTrackingSummary[[#This Row],[c0_SiteDesignEV(SUM)]]+Table_SiteMilestoneTrackingSummary[[#This Row],[c1_SiteSurveyEV(SUM)]]+Table_SiteMilestoneTrackingSummary[[#This Row],[c2_SiteAcquisitionEV(SUM)]]+Table_SiteMilestoneTrackingSummary[[#This Row],[c2a_SiteCWReadinessEV(SUM)]]+Table_SiteMilestoneTrackingSummary[[#This Row],[c3_CivilWorksEV(SUM)]]+Table_SiteMilestoneTrackingSummary[[#This Row],[c4_PowerInstallEV(SUM)]]+Table_SiteMilestoneTrackingSummary[[#This Row],[c5_TxIntegrationEV(SUM)]]+Table_SiteMilestoneTrackingSummary[[#This Row],[c6_InstallationEV(SUM)]]+Table_SiteMilestoneTrackingSummary[[#This Row],[c7_IntegrationEV(SUM)]]+Table_SiteMilestoneTrackingSummary[[#This Row],[c8_AcceptanceEV(SUM)]]+Table_SiteMilestoneTrackingSummary[[#This Row],[c9_HandoverEV(SUM)]]</f>
        <v>0</v>
      </c>
      <c r="DP21" s="59">
        <f>Table_SiteMilestoneTrackingSummary[[#This Row],[c0_SiteDesignCostBL(SUM)]]+Table_SiteMilestoneTrackingSummary[[#This Row],[c1_SiteSurveyCostBL(SUM)]]+Table_SiteMilestoneTrackingSummary[[#This Row],[c2_SiteAcquisitionCostBL(SUM)]]+Table_SiteMilestoneTrackingSummary[[#This Row],[c2a_SiteCWReadinessCostBL(SUM)]]+Table_SiteMilestoneTrackingSummary[[#This Row],[c3_CivilWorksCostBL(SUM)]]+Table_SiteMilestoneTrackingSummary[[#This Row],[c4_PowerInstallCostBL(SUM)]]+Table_SiteMilestoneTrackingSummary[[#This Row],[c5_TxIntegrationCostBL(SUM)]]+Table_SiteMilestoneTrackingSummary[[#This Row],[c6_InstallationCostBL(SUM)]]+Table_SiteMilestoneTrackingSummary[[#This Row],[c7_IntegrationCostBL(SUM)]]+Table_SiteMilestoneTrackingSummary[[#This Row],[c8_AcceptanceCostBL(SUM)]]+Table_SiteMilestoneTrackingSummary[[#This Row],[c9_HandoverCostBL(SUM)]]</f>
        <v>0</v>
      </c>
      <c r="DQ21" s="59">
        <f>Table_SiteMilestoneTrackingSummary[[#This Row],[c0_SiteDesignCostAC(SUM)]]+Table_SiteMilestoneTrackingSummary[[#This Row],[c1_SiteSurveyCostAC(SUM)]]+Table_SiteMilestoneTrackingSummary[[#This Row],[c2_SiteAcquisitionCostAC(SUM)]]+Table_SiteMilestoneTrackingSummary[[#This Row],[c2a_SiteCWReadinessCostAC(SUM)]]+Table_SiteMilestoneTrackingSummary[[#This Row],[c3_CivilWorksCostAC(SUM)]]+Table_SiteMilestoneTrackingSummary[[#This Row],[c4_PowerInstallCostAC(SUM)]]+Table_SiteMilestoneTrackingSummary[[#This Row],[c5_TxIntegrationCostAC(SUM)]]+Table_SiteMilestoneTrackingSummary[[#This Row],[c6_InstallationCostAC(SUM)]]+Table_SiteMilestoneTrackingSummary[[#This Row],[c7_IntegrationCostAC(SUM)]]+Table_SiteMilestoneTrackingSummary[[#This Row],[c8_AcceptanceCostAC(SUM)]]+Table_SiteMilestoneTrackingSummary[[#This Row],[c9_HandoverCostAC(SUM)]]</f>
        <v>0</v>
      </c>
      <c r="DR21" s="59">
        <f>Table_SiteMilestoneTrackingSummary[[#This Row],[AccumulatedEV]]-Table_SiteMilestoneTrackingSummary[[#This Row],[AccumulatedPV]]</f>
        <v>0</v>
      </c>
      <c r="DS21" s="59">
        <f>Table_SiteMilestoneTrackingSummary[[#This Row],[AccumulatedEV]]-Table_SiteMilestoneTrackingSummary[[#This Row],[AccumulatedAC]]</f>
        <v>0</v>
      </c>
      <c r="DT21" s="58" t="str">
        <f>IFERROR(Table_SiteMilestoneTrackingSummary[[#This Row],[AccumulatedEV]]/Table_SiteMilestoneTrackingSummary[[#This Row],[AccumulatedPV]],"/")</f>
        <v>/</v>
      </c>
      <c r="DU21" s="101" t="str">
        <f>IFERROR(Table_SiteMilestoneTrackingSummary[[#This Row],[AccumulatedEV]]/Table_SiteMilestoneTrackingSummary[[#This Row],[AccumulatedAC]],"/")</f>
        <v>/</v>
      </c>
    </row>
    <row r="22" spans="1:125" outlineLevel="1" x14ac:dyDescent="0.3">
      <c r="A22" s="79">
        <v>2020</v>
      </c>
      <c r="B22" s="79">
        <v>19</v>
      </c>
      <c r="C22" s="95">
        <f>DATE(Table_SiteMilestoneTrackingSummary[[#This Row],[Year]],1,-2)-WEEKDAY(DATE(Table_SiteMilestoneTrackingSummary[[#This Row],[Year]],1,3))+Table_SiteMilestoneTrackingSummary[[#This Row],[Week]]*7</f>
        <v>43955</v>
      </c>
      <c r="D22" s="95">
        <f>Table_SiteMilestoneTrackingSummary[[#This Row],[StartDate]]+6</f>
        <v>43961</v>
      </c>
      <c r="E22" s="100">
        <f>COUNTIFS(Table_SiteMilestoneTracking[SiteDesignStarted_BL],"&gt;="&amp;Table_SiteMilestoneTrackingSummary[[#This Row],[StartDate]:[StartDate]],Table_SiteMilestoneTracking[SiteDesignStarted_BL],"&lt;"&amp;Table_SiteMilestoneTrackingSummary[[#This Row],[EndDate]:[EndDate]]+1)</f>
        <v>0</v>
      </c>
      <c r="F22" s="100">
        <f>F21+Table_SiteMilestoneTrackingSummary[[#This Row],[SiteDesignStarted_BL]]</f>
        <v>0</v>
      </c>
      <c r="G22" s="100">
        <f>COUNTIFS(Table_SiteMilestoneTracking[SiteDesignStarted_AC],"&gt;="&amp;Table_SiteMilestoneTrackingSummary[[#This Row],[StartDate]:[StartDate]],Table_SiteMilestoneTracking[SiteDesignStarted_AC],"&lt;"&amp;Table_SiteMilestoneTrackingSummary[[#This Row],[EndDate]:[EndDate]]+1)</f>
        <v>0</v>
      </c>
      <c r="H22" s="100">
        <f>H21+Table_SiteMilestoneTrackingSummary[[#This Row],[SiteDesignStarted_AC]]</f>
        <v>0</v>
      </c>
      <c r="I22" s="100">
        <f>Table_SiteMilestoneTrackingSummary[[#This Row],[SiteDesignReady_AC]]*$I$2</f>
        <v>0</v>
      </c>
      <c r="J22" s="100">
        <f>J21+Table_SiteMilestoneTrackingSummary[[#This Row],[c0_SiteDesignEV]]</f>
        <v>0</v>
      </c>
      <c r="K22" s="97">
        <f>SUMIFS(Table_SiteMilestoneTracking[c0_SiteDesignCostBL],
Table_SiteMilestoneTracking[SiteDesignReady_BL],"&gt;="&amp;Table_SiteMilestoneTrackingSummary[[#This Row],[StartDate]:[StartDate]],
Table_SiteMilestoneTracking[SiteDesignReady_BL],"&lt;"&amp;Table_SiteMilestoneTrackingSummary[[#This Row],[EndDate]:[EndDate]]+1)</f>
        <v>0</v>
      </c>
      <c r="L22" s="59">
        <f>L21+Table_SiteMilestoneTrackingSummary[[#This Row],[c0_SiteDesignCostBL]]</f>
        <v>0</v>
      </c>
      <c r="M22" s="97">
        <f>SUMIFS(Table_SiteMilestoneTracking[c0_SiteDesignCostAC],
Table_SiteMilestoneTracking[SiteDesignReady_AC],"&gt;="&amp;Table_SiteMilestoneTrackingSummary[[#This Row],[StartDate]:[StartDate]],
Table_SiteMilestoneTracking[SiteDesignReady_AC],"&lt;"&amp;Table_SiteMilestoneTrackingSummary[[#This Row],[EndDate]:[EndDate]]+1)</f>
        <v>0</v>
      </c>
      <c r="N22" s="59">
        <f>N21+Table_SiteMilestoneTrackingSummary[[#This Row],[c0_SiteDesignCostAC]]</f>
        <v>0</v>
      </c>
      <c r="O22" s="96">
        <f>COUNTIFS(Table_SiteMilestoneTracking[SiteDesignReady_BL],"&gt;="&amp;Table_SiteMilestoneTrackingSummary[[#This Row],[StartDate]:[StartDate]],
Table_SiteMilestoneTracking[SiteDesignReady_BL],"&lt;"&amp;Table_SiteMilestoneTrackingSummary[[#This Row],[EndDate]:[EndDate]]+1)</f>
        <v>0</v>
      </c>
      <c r="P22" s="100">
        <f>P21+Table_SiteMilestoneTrackingSummary[[#This Row],[SiteDesignReady_BL]]</f>
        <v>0</v>
      </c>
      <c r="Q22" s="100">
        <f>COUNTIFS(Table_SiteMilestoneTracking[SiteDesignReady_AC],"&gt;="&amp;Table_SiteMilestoneTrackingSummary[[#This Row],[StartDate]:[StartDate]],Table_SiteMilestoneTracking[SiteDesignReady_AC],"&lt;"&amp;Table_SiteMilestoneTrackingSummary[[#This Row],[EndDate]:[EndDate]]+1)</f>
        <v>0</v>
      </c>
      <c r="R22" s="100">
        <f>R21+Table_SiteMilestoneTrackingSummary[[#This Row],[SiteDesignReady_AC]]</f>
        <v>0</v>
      </c>
      <c r="S22" s="100">
        <f>Table_SiteMilestoneTrackingSummary[[#This Row],[ReadyForCW_AC]]*$S$2</f>
        <v>0</v>
      </c>
      <c r="T22" s="100">
        <f>T21+Table_SiteMilestoneTrackingSummary[[#This Row],[c1_SiteSurveyEV]]</f>
        <v>0</v>
      </c>
      <c r="U22" s="96">
        <f>SUMIFS(Table_SiteMilestoneTracking[c1_SiteSurveyCostBL],
Table_SiteMilestoneTracking[SiteSurveyCompleted_BL],"&gt;="&amp;Table_SiteMilestoneTrackingSummary[[#This Row],[StartDate]:[StartDate]],
Table_SiteMilestoneTracking[SiteSurveyCompleted_BL],"&lt;"&amp;Table_SiteMilestoneTrackingSummary[[#This Row],[EndDate]:[EndDate]]+1)</f>
        <v>0</v>
      </c>
      <c r="V22" s="100">
        <f>V21+Table_SiteMilestoneTrackingSummary[[#This Row],[c1_SiteSurveyCostBL]]</f>
        <v>0</v>
      </c>
      <c r="W22" s="96">
        <f>SUMIFS(Table_SiteMilestoneTracking[c1_SiteSurveyCostAC],
Table_SiteMilestoneTracking[SiteSurveyCompleted_AC],"&gt;="&amp;Table_SiteMilestoneTrackingSummary[[#This Row],[StartDate]:[StartDate]],
Table_SiteMilestoneTracking[SiteSurveyCompleted_AC],"&lt;"&amp;Table_SiteMilestoneTrackingSummary[[#This Row],[EndDate]:[EndDate]]+1)</f>
        <v>0</v>
      </c>
      <c r="X22" s="100">
        <f>X21+Table_SiteMilestoneTrackingSummary[[#This Row],[c1_SiteSurveyCostAC]]</f>
        <v>0</v>
      </c>
      <c r="Y22" s="96">
        <f>COUNTIFS(Table_SiteMilestoneTracking[SiteSurveyCompleted_BL],"&gt;="&amp;Table_SiteMilestoneTrackingSummary[[#This Row],[StartDate]:[StartDate]],
Table_SiteMilestoneTracking[SiteSurveyCompleted_BL],"&lt;"&amp;Table_SiteMilestoneTrackingSummary[[#This Row],[EndDate]:[EndDate]]+1)</f>
        <v>0</v>
      </c>
      <c r="Z22" s="100">
        <f>Z21+Table_SiteMilestoneTrackingSummary[[#This Row],[SiteSurveyCompleted_BL]]</f>
        <v>0</v>
      </c>
      <c r="AA22" s="96">
        <f>COUNTIFS(Table_SiteMilestoneTracking[SiteSurveyCompleted_AC],"&gt;="&amp;Table_SiteMilestoneTrackingSummary[[#This Row],[StartDate]:[StartDate]],
Table_SiteMilestoneTracking[SiteSurveyCompleted_AC],"&lt;"&amp;Table_SiteMilestoneTrackingSummary[[#This Row],[EndDate]:[EndDate]]+1)</f>
        <v>0</v>
      </c>
      <c r="AB22" s="100">
        <f>AB21+Table_SiteMilestoneTrackingSummary[[#This Row],[SiteSurveyCompleted_AC]]</f>
        <v>0</v>
      </c>
      <c r="AC22" s="100">
        <f>$AC$2*Table_SiteMilestoneTrackingSummary[[#This Row],[SiteAcquired_AC]]</f>
        <v>0</v>
      </c>
      <c r="AD22" s="100">
        <f>AD21+Table_SiteMilestoneTrackingSummary[[#This Row],[c2_SiteAcquisitionEV]]</f>
        <v>0</v>
      </c>
      <c r="AE22" s="96">
        <f>SUMIFS(Table_SiteMilestoneTracking[c2_SiteAcquisitionCostBL],
Table_SiteMilestoneTracking[SiteAcquired_BL],"&gt;="&amp;Table_SiteMilestoneTrackingSummary[[#This Row],[StartDate]:[StartDate]],
Table_SiteMilestoneTracking[SiteAcquired_BL],"&lt;"&amp;Table_SiteMilestoneTrackingSummary[[#This Row],[EndDate]:[EndDate]]+1)</f>
        <v>0</v>
      </c>
      <c r="AF22" s="100">
        <f>AF21+Table_SiteMilestoneTrackingSummary[[#This Row],[c2_SiteAcquisitionCostBL]]</f>
        <v>0</v>
      </c>
      <c r="AG22" s="96">
        <f>SUMIFS(Table_SiteMilestoneTracking[c2_SiteAcquisitionCostAC],
Table_SiteMilestoneTracking[SiteAcquired_AC],"&gt;="&amp;Table_SiteMilestoneTrackingSummary[[#This Row],[StartDate]:[StartDate]],
Table_SiteMilestoneTracking[SiteAcquired_AC],"&lt;"&amp;Table_SiteMilestoneTrackingSummary[[#This Row],[EndDate]:[EndDate]]+1)</f>
        <v>0</v>
      </c>
      <c r="AH22" s="100">
        <f>AH21+Table_SiteMilestoneTrackingSummary[[#This Row],[c2_SiteAcquisitionCostAC]]</f>
        <v>0</v>
      </c>
      <c r="AI22" s="96">
        <f>COUNTIFS(Table_SiteMilestoneTracking[SiteAcquired_BL],"&gt;="&amp;Table_SiteMilestoneTrackingSummary[[#This Row],[StartDate]:[StartDate]],
Table_SiteMilestoneTracking[SiteAcquired_BL],"&lt;"&amp;Table_SiteMilestoneTrackingSummary[[#This Row],[EndDate]:[EndDate]]+1)</f>
        <v>0</v>
      </c>
      <c r="AJ22" s="100">
        <f>AJ21+Table_SiteMilestoneTrackingSummary[[#This Row],[SiteAcquired_BL]]</f>
        <v>0</v>
      </c>
      <c r="AK22" s="96">
        <f>COUNTIFS(Table_SiteMilestoneTracking[SiteAcquired_AC],"&gt;="&amp;Table_SiteMilestoneTrackingSummary[[#This Row],[StartDate]:[StartDate]],
Table_SiteMilestoneTracking[SiteAcquired_AC],"&lt;"&amp;Table_SiteMilestoneTrackingSummary[[#This Row],[EndDate]:[EndDate]]+1)</f>
        <v>0</v>
      </c>
      <c r="AL22" s="100">
        <f>AL21+Table_SiteMilestoneTrackingSummary[[#This Row],[SiteAcquired_AC]]</f>
        <v>0</v>
      </c>
      <c r="AM22" s="100">
        <f>Table_SiteMilestoneTrackingSummary[[#This Row],[ReadyForCW_AC]]*$AM$2</f>
        <v>0</v>
      </c>
      <c r="AN22" s="100">
        <f>AN21+Table_SiteMilestoneTrackingSummary[[#This Row],[c2a_SiteCWReadinessEV]]</f>
        <v>0</v>
      </c>
      <c r="AO22" s="96">
        <f>SUMIFS(Table_SiteMilestoneTracking[c2a_SiteCWReadinessCost_BL],
Table_SiteMilestoneTracking[SiteReadyForCW_BL],"&gt;="&amp;Table_SiteMilestoneTrackingSummary[[#This Row],[StartDate]:[StartDate]],
Table_SiteMilestoneTracking[SiteReadyForCW_BL],"&lt;"&amp;Table_SiteMilestoneTrackingSummary[[#This Row],[EndDate]:[EndDate]]+1)</f>
        <v>0</v>
      </c>
      <c r="AP22" s="100">
        <f>AP21+Table_SiteMilestoneTrackingSummary[[#This Row],[c2a_SiteCWReadinessCostBL]]</f>
        <v>0</v>
      </c>
      <c r="AQ22" s="96">
        <f>SUMIFS(Table_SiteMilestoneTracking[c2a_SiteCWReadinessCost_AC],
Table_SiteMilestoneTracking[SiteReadyForCW_AC],"&gt;="&amp;Table_SiteMilestoneTrackingSummary[[#This Row],[StartDate]:[StartDate]],
Table_SiteMilestoneTracking[SiteReadyForCW_AC],"&lt;"&amp;Table_SiteMilestoneTrackingSummary[[#This Row],[EndDate]:[EndDate]]+1)</f>
        <v>0</v>
      </c>
      <c r="AR22" s="100">
        <f>AR21+Table_SiteMilestoneTrackingSummary[[#This Row],[c2a_SiteCWReadinessCostAC]]</f>
        <v>0</v>
      </c>
      <c r="AS22" s="96">
        <f>COUNTIFS(Table_SiteMilestoneTracking[SiteReadyForCW_BL],"&gt;="&amp;Table_SiteMilestoneTrackingSummary[[#This Row],[StartDate]:[StartDate]],
Table_SiteMilestoneTracking[SiteReadyForCW_BL],"&lt;"&amp;Table_SiteMilestoneTrackingSummary[[#This Row],[EndDate]:[EndDate]]+1)</f>
        <v>0</v>
      </c>
      <c r="AT22" s="100">
        <f>AT21+Table_SiteMilestoneTrackingSummary[[#This Row],[ReadyForCW_BL]]</f>
        <v>0</v>
      </c>
      <c r="AU22" s="96">
        <f>COUNTIFS(Table_SiteMilestoneTracking[SiteReadyForCW_AC],"&gt;="&amp;Table_SiteMilestoneTrackingSummary[[#This Row],[StartDate]:[StartDate]],
Table_SiteMilestoneTracking[SiteReadyForCW_AC],"&lt;"&amp;Table_SiteMilestoneTrackingSummary[[#This Row],[EndDate]:[EndDate]]+1)</f>
        <v>0</v>
      </c>
      <c r="AV22" s="100">
        <f>AV21+Table_SiteMilestoneTrackingSummary[[#This Row],[ReadyForCW_AC]]</f>
        <v>0</v>
      </c>
      <c r="AW22" s="100">
        <f>$AW$2*Table_SiteMilestoneTrackingSummary[[#This Row],[ReadyForPower_AC]]</f>
        <v>0</v>
      </c>
      <c r="AX22" s="100">
        <f>AX21+Table_SiteMilestoneTrackingSummary[[#This Row],[c3_CivilWorksEV]]</f>
        <v>0</v>
      </c>
      <c r="AY22" s="96">
        <f>SUMIFS(Table_SiteMilestoneTracking[c3_CivilWorksCostBL],
Table_SiteMilestoneTracking[SiteReadyForPower_BL],"&gt;="&amp;Table_SiteMilestoneTrackingSummary[[#This Row],[StartDate]:[StartDate]],
Table_SiteMilestoneTracking[SiteReadyForPower_BL],"&lt;"&amp;Table_SiteMilestoneTrackingSummary[[#This Row],[EndDate]:[EndDate]]+1)</f>
        <v>0</v>
      </c>
      <c r="AZ22" s="100">
        <f>AZ21+Table_SiteMilestoneTrackingSummary[[#This Row],[c3_CivilWorksCostBL]]</f>
        <v>0</v>
      </c>
      <c r="BA22" s="96">
        <f>SUMIFS(Table_SiteMilestoneTracking[c3_CivilWorksCostAC],
Table_SiteMilestoneTracking[SiteReadyForPower_AC],"&gt;="&amp;Table_SiteMilestoneTrackingSummary[[#This Row],[StartDate]:[StartDate]],
Table_SiteMilestoneTracking[SiteReadyForPower_AC],"&lt;"&amp;Table_SiteMilestoneTrackingSummary[[#This Row],[EndDate]:[EndDate]]+1)</f>
        <v>0</v>
      </c>
      <c r="BB22" s="100">
        <f>BB21+Table_SiteMilestoneTrackingSummary[[#This Row],[c3_CivilWorksCostAC]]</f>
        <v>0</v>
      </c>
      <c r="BC22" s="96">
        <f>COUNTIFS(Table_SiteMilestoneTracking[SiteReadyForPower_BL],"&gt;="&amp;Table_SiteMilestoneTrackingSummary[[#This Row],[StartDate]:[StartDate]],
Table_SiteMilestoneTracking[SiteReadyForPower_BL],"&lt;"&amp;Table_SiteMilestoneTrackingSummary[[#This Row],[EndDate]:[EndDate]]+1)</f>
        <v>0</v>
      </c>
      <c r="BD22" s="100">
        <f>BD21+Table_SiteMilestoneTrackingSummary[[#This Row],[ReadyForPower_BL]]</f>
        <v>0</v>
      </c>
      <c r="BE22" s="96">
        <f>COUNTIFS(Table_SiteMilestoneTracking[SiteReadyForPower_AC],"&gt;="&amp;Table_SiteMilestoneTrackingSummary[[#This Row],[StartDate]:[StartDate]],
Table_SiteMilestoneTracking[SiteReadyForPower_AC],"&lt;"&amp;Table_SiteMilestoneTrackingSummary[[#This Row],[EndDate]:[EndDate]]+1)</f>
        <v>0</v>
      </c>
      <c r="BF22" s="100">
        <f>BF21+Table_SiteMilestoneTrackingSummary[[#This Row],[ReadyForPower_AC]]</f>
        <v>0</v>
      </c>
      <c r="BG22" s="100">
        <f>$BG$2*Table_SiteMilestoneTrackingSummary[[#This Row],[TXReady_AC]]</f>
        <v>0</v>
      </c>
      <c r="BH22" s="100">
        <f>BH21+Table_SiteMilestoneTrackingSummary[[#This Row],[c4_PowerInstallEV]]</f>
        <v>0</v>
      </c>
      <c r="BI22" s="96">
        <f>SUMIFS(Table_SiteMilestoneTracking[c4_PowerInstallCostBL],
Table_SiteMilestoneTracking[TXReady_BL],"&gt;="&amp;Table_SiteMilestoneTrackingSummary[[#This Row],[StartDate]:[StartDate]],
Table_SiteMilestoneTracking[TXReady_BL],"&lt;"&amp;Table_SiteMilestoneTrackingSummary[[#This Row],[EndDate]:[EndDate]]+1)</f>
        <v>0</v>
      </c>
      <c r="BJ22" s="100">
        <f>BJ21+Table_SiteMilestoneTrackingSummary[[#This Row],[c4_PowerInstallCostBL]]</f>
        <v>0</v>
      </c>
      <c r="BK22" s="96">
        <f>SUMIFS(Table_SiteMilestoneTracking[c4_PowerInstallCostAC],
Table_SiteMilestoneTracking[TXReady_AC],"&gt;="&amp;Table_SiteMilestoneTrackingSummary[[#This Row],[StartDate]:[StartDate]],
Table_SiteMilestoneTracking[TXReady_AC],"&lt;"&amp;Table_SiteMilestoneTrackingSummary[[#This Row],[EndDate]:[EndDate]]+1)</f>
        <v>0</v>
      </c>
      <c r="BL22" s="100">
        <f>BL21+Table_SiteMilestoneTrackingSummary[[#This Row],[c4_PowerInstallCostAC]]</f>
        <v>0</v>
      </c>
      <c r="BM22" s="96">
        <f>COUNTIFS(Table_SiteMilestoneTracking[TXReady_BL],"&gt;="&amp;Table_SiteMilestoneTrackingSummary[[#This Row],[StartDate]:[StartDate]],
Table_SiteMilestoneTracking[TXReady_BL],"&lt;"&amp;Table_SiteMilestoneTrackingSummary[[#This Row],[EndDate]:[EndDate]]+1)</f>
        <v>0</v>
      </c>
      <c r="BN22" s="100">
        <f>BN21+Table_SiteMilestoneTrackingSummary[[#This Row],[TXReady_BL]]</f>
        <v>0</v>
      </c>
      <c r="BO22" s="100">
        <f>COUNTIFS(Table_SiteMilestoneTracking[TXReady_AC],"&gt;="&amp;Table_SiteMilestoneTrackingSummary[[#This Row],[StartDate]:[StartDate]],Table_SiteMilestoneTracking[TXReady_AC],"&lt;"&amp;Table_SiteMilestoneTrackingSummary[[#This Row],[EndDate]:[EndDate]]+1)</f>
        <v>0</v>
      </c>
      <c r="BP22" s="100">
        <f>BP21+Table_SiteMilestoneTrackingSummary[[#This Row],[TXReady_AC]]</f>
        <v>0</v>
      </c>
      <c r="BQ22" s="100">
        <f>$BQ$2*Table_SiteMilestoneTrackingSummary[[#This Row],[ReadyForInstallation_AC]]</f>
        <v>0</v>
      </c>
      <c r="BR22" s="100">
        <f>BR21+Table_SiteMilestoneTrackingSummary[[#This Row],[c5_TxIntegrationEV]]</f>
        <v>0</v>
      </c>
      <c r="BS22" s="96">
        <f>SUMIFS(Table_SiteMilestoneTracking[c5_TxintegrationCostBL],
Table_SiteMilestoneTracking[SiteReadyForInstallation_BL],"&gt;="&amp;Table_SiteMilestoneTrackingSummary[[#This Row],[StartDate]:[StartDate]],
Table_SiteMilestoneTracking[SiteReadyForInstallation_BL],"&lt;"&amp;Table_SiteMilestoneTrackingSummary[[#This Row],[EndDate]:[EndDate]]+1)</f>
        <v>0</v>
      </c>
      <c r="BT22" s="100">
        <f>BT21+Table_SiteMilestoneTrackingSummary[[#This Row],[c5_TxIntegrationCostBL]]</f>
        <v>0</v>
      </c>
      <c r="BU22" s="96">
        <f>SUMIFS(Table_SiteMilestoneTracking[c5_TxintegrationCostAC],
Table_SiteMilestoneTracking[SiteReadyForInstallation_AC],"&gt;="&amp;Table_SiteMilestoneTrackingSummary[[#This Row],[StartDate]:[StartDate]],
Table_SiteMilestoneTracking[SiteReadyForInstallation_AC],"&lt;"&amp;Table_SiteMilestoneTrackingSummary[[#This Row],[EndDate]:[EndDate]]+1)</f>
        <v>0</v>
      </c>
      <c r="BV22" s="100">
        <f>BV21+Table_SiteMilestoneTrackingSummary[[#This Row],[c5_TxIntegrationCostAC]]</f>
        <v>0</v>
      </c>
      <c r="BW22" s="96">
        <f>COUNTIFS(Table_SiteMilestoneTracking[SiteReadyForInstallation_BL],"&gt;="&amp;Table_SiteMilestoneTrackingSummary[[#This Row],[StartDate]:[StartDate]],
Table_SiteMilestoneTracking[SiteReadyForInstallation_BL],"&lt;"&amp;Table_SiteMilestoneTrackingSummary[[#This Row],[EndDate]:[EndDate]]+1)</f>
        <v>0</v>
      </c>
      <c r="BX22" s="100">
        <f>BX21+Table_SiteMilestoneTrackingSummary[[#This Row],[ReadyForInstallation_BL]]</f>
        <v>0</v>
      </c>
      <c r="BY22" s="96">
        <f>COUNTIFS(Table_SiteMilestoneTracking[SiteReadyForInstallation_AC],"&gt;="&amp;Table_SiteMilestoneTrackingSummary[[#This Row],[StartDate]:[StartDate]],
Table_SiteMilestoneTracking[SiteReadyForInstallation_AC],"&lt;"&amp;Table_SiteMilestoneTrackingSummary[[#This Row],[EndDate]:[EndDate]]+1)</f>
        <v>0</v>
      </c>
      <c r="BZ22" s="100">
        <f>BZ21+Table_SiteMilestoneTrackingSummary[[#This Row],[ReadyForInstallation_AC]]</f>
        <v>0</v>
      </c>
      <c r="CA22" s="100">
        <f>$CA$2*Table_SiteMilestoneTrackingSummary[[#This Row],[ReadyForIntegration_AC]]</f>
        <v>0</v>
      </c>
      <c r="CB22" s="100">
        <f>CB21+Table_SiteMilestoneTrackingSummary[[#This Row],[c6_InstallationEV]]</f>
        <v>0</v>
      </c>
      <c r="CC22" s="96">
        <f>SUMIFS(Table_SiteMilestoneTracking[c6_InstallationCostBL],
Table_SiteMilestoneTracking[SiteReadyForIntegration_BL],"&gt;="&amp;Table_SiteMilestoneTrackingSummary[[#This Row],[StartDate]:[StartDate]],
Table_SiteMilestoneTracking[SiteReadyForIntegration_BL],"&lt;"&amp;Table_SiteMilestoneTrackingSummary[[#This Row],[EndDate]:[EndDate]]+1)</f>
        <v>0</v>
      </c>
      <c r="CD22" s="100">
        <f>CD21+Table_SiteMilestoneTrackingSummary[[#This Row],[c6_InstallationCostBL]]</f>
        <v>0</v>
      </c>
      <c r="CE22" s="96">
        <f>SUMIFS(Table_SiteMilestoneTracking[c6_InstallationCostAC],
Table_SiteMilestoneTracking[SiteReadyForIntegration_AC],"&gt;="&amp;Table_SiteMilestoneTrackingSummary[[#This Row],[StartDate]:[StartDate]],
Table_SiteMilestoneTracking[SiteReadyForIntegration_AC],"&lt;"&amp;Table_SiteMilestoneTrackingSummary[[#This Row],[EndDate]:[EndDate]]+1)</f>
        <v>0</v>
      </c>
      <c r="CF22" s="100">
        <f>CF21+Table_SiteMilestoneTrackingSummary[[#This Row],[c6_InstallationCostAC]]</f>
        <v>0</v>
      </c>
      <c r="CG22" s="96">
        <f>COUNTIFS(Table_SiteMilestoneTracking[SiteReadyForIntegration_BL],"&gt;="&amp;Table_SiteMilestoneTrackingSummary[[#This Row],[StartDate]:[StartDate]],
Table_SiteMilestoneTracking[SiteReadyForIntegration_BL],"&lt;"&amp;Table_SiteMilestoneTrackingSummary[[#This Row],[EndDate]:[EndDate]]+1)</f>
        <v>0</v>
      </c>
      <c r="CH22" s="100">
        <f>CH21+Table_SiteMilestoneTrackingSummary[[#This Row],[ReadyForIntegration_BL]]</f>
        <v>0</v>
      </c>
      <c r="CI22" s="96">
        <f>COUNTIFS(Table_SiteMilestoneTracking[SiteReadyForIntegration_AC],"&gt;="&amp;Table_SiteMilestoneTrackingSummary[[#This Row],[StartDate]:[StartDate]],
Table_SiteMilestoneTracking[SiteReadyForIntegration_AC],"&lt;"&amp;Table_SiteMilestoneTrackingSummary[[#This Row],[EndDate]:[EndDate]]+1)</f>
        <v>0</v>
      </c>
      <c r="CJ22" s="100">
        <f>CJ21+Table_SiteMilestoneTrackingSummary[[#This Row],[ReadyForIntegration_AC]]</f>
        <v>0</v>
      </c>
      <c r="CK22" s="100">
        <f>$CK$2*Table_SiteMilestoneTrackingSummary[[#This Row],[SiteOnAir_AC]]</f>
        <v>0</v>
      </c>
      <c r="CL22" s="100">
        <f>CL21+Table_SiteMilestoneTrackingSummary[[#This Row],[c7_IntegrationEV]]</f>
        <v>0</v>
      </c>
      <c r="CM22" s="96">
        <f>SUMIFS(Table_SiteMilestoneTracking[c7_IntegrationCostBL],
Table_SiteMilestoneTracking[SiteOnAir_BL],"&gt;="&amp;Table_SiteMilestoneTrackingSummary[[#This Row],[StartDate]:[StartDate]],
Table_SiteMilestoneTracking[SiteOnAir_BL],"&lt;"&amp;Table_SiteMilestoneTrackingSummary[[#This Row],[EndDate]:[EndDate]]+1)</f>
        <v>0</v>
      </c>
      <c r="CN22" s="100">
        <f>CN21+Table_SiteMilestoneTrackingSummary[[#This Row],[c7_IntegrationCostBL]]</f>
        <v>0</v>
      </c>
      <c r="CO22" s="96">
        <f>SUMIFS(Table_SiteMilestoneTracking[c7_IntegrationCostAC],
Table_SiteMilestoneTracking[SiteOnAir_AC],"&gt;="&amp;Table_SiteMilestoneTrackingSummary[[#This Row],[StartDate]:[StartDate]],
Table_SiteMilestoneTracking[SiteOnAir_AC],"&lt;"&amp;Table_SiteMilestoneTrackingSummary[[#This Row],[EndDate]:[EndDate]]+1)</f>
        <v>0</v>
      </c>
      <c r="CP22" s="100">
        <f>CP21+Table_SiteMilestoneTrackingSummary[[#This Row],[c7_IntegrationCostAC]]</f>
        <v>0</v>
      </c>
      <c r="CQ22" s="96">
        <f>COUNTIFS(Table_SiteMilestoneTracking[SiteOnAir_BL],"&gt;="&amp;Table_SiteMilestoneTrackingSummary[[#This Row],[StartDate]:[StartDate]],
Table_SiteMilestoneTracking[SiteOnAir_BL],"&lt;"&amp;Table_SiteMilestoneTrackingSummary[[#This Row],[EndDate]:[EndDate]]+1)</f>
        <v>0</v>
      </c>
      <c r="CR22" s="100">
        <f>CR21+Table_SiteMilestoneTrackingSummary[[#This Row],[SiteOnAir_BL]]</f>
        <v>0</v>
      </c>
      <c r="CS22" s="96">
        <f>COUNTIFS(Table_SiteMilestoneTracking[SiteOnAir_AC],"&gt;="&amp;Table_SiteMilestoneTrackingSummary[[#This Row],[StartDate]:[StartDate]],
Table_SiteMilestoneTracking[SiteOnAir_AC],"&lt;"&amp;Table_SiteMilestoneTrackingSummary[[#This Row],[EndDate]:[EndDate]]+1)</f>
        <v>0</v>
      </c>
      <c r="CT22" s="100">
        <f>CT21+Table_SiteMilestoneTrackingSummary[[#This Row],[SiteOnAir_AC]]</f>
        <v>0</v>
      </c>
      <c r="CU22" s="100">
        <f>$CU$2*Table_SiteMilestoneTrackingSummary[[#This Row],[SiteAccepted_AC]]</f>
        <v>0</v>
      </c>
      <c r="CV22" s="100">
        <f>CV21+Table_SiteMilestoneTrackingSummary[[#This Row],[c8_AcceptanceEV]]</f>
        <v>0</v>
      </c>
      <c r="CW22" s="96">
        <f>SUMIFS(Table_SiteMilestoneTracking[c8_AcceptanceCostBL],
Table_SiteMilestoneTracking[SiteAccepted_BL],"&gt;="&amp;Table_SiteMilestoneTrackingSummary[[#This Row],[StartDate]:[StartDate]],
Table_SiteMilestoneTracking[SiteAccepted_BL],"&lt;"&amp;Table_SiteMilestoneTrackingSummary[[#This Row],[EndDate]:[EndDate]]+1)</f>
        <v>0</v>
      </c>
      <c r="CX22" s="100">
        <f>CX21+Table_SiteMilestoneTrackingSummary[[#This Row],[c8_AcceptanceCostBL]]</f>
        <v>0</v>
      </c>
      <c r="CY22" s="96">
        <f>SUMIFS(Table_SiteMilestoneTracking[c8_AcceptanceCostAC],
Table_SiteMilestoneTracking[SiteAccepted_AC],"&gt;="&amp;Table_SiteMilestoneTrackingSummary[[#This Row],[StartDate]:[StartDate]],
Table_SiteMilestoneTracking[SiteAccepted_AC],"&lt;"&amp;Table_SiteMilestoneTrackingSummary[[#This Row],[EndDate]:[EndDate]]+1)</f>
        <v>0</v>
      </c>
      <c r="CZ22" s="100">
        <f>CZ21+Table_SiteMilestoneTrackingSummary[[#This Row],[c8_AcceptanceCostAC]]</f>
        <v>0</v>
      </c>
      <c r="DA22" s="96">
        <f>COUNTIFS(Table_SiteMilestoneTracking[SiteAccepted_BL],"&gt;="&amp;Table_SiteMilestoneTrackingSummary[[#This Row],[StartDate]:[StartDate]],
Table_SiteMilestoneTracking[SiteAccepted_BL],"&lt;"&amp;Table_SiteMilestoneTrackingSummary[[#This Row],[EndDate]:[EndDate]]+1)</f>
        <v>0</v>
      </c>
      <c r="DB22" s="100">
        <f>DB21+Table_SiteMilestoneTrackingSummary[[#This Row],[SiteAccepted_BL]]</f>
        <v>0</v>
      </c>
      <c r="DC22" s="96">
        <f>COUNTIFS(Table_SiteMilestoneTracking[SiteAccepted_AC],"&gt;="&amp;Table_SiteMilestoneTrackingSummary[[#This Row],[StartDate]:[StartDate]],
Table_SiteMilestoneTracking[SiteAccepted_AC],"&lt;"&amp;Table_SiteMilestoneTrackingSummary[[#This Row],[EndDate]:[EndDate]]+1)</f>
        <v>0</v>
      </c>
      <c r="DD22" s="100">
        <f>DD21+Table_SiteMilestoneTrackingSummary[[#This Row],[SiteAccepted_AC]]</f>
        <v>0</v>
      </c>
      <c r="DE22" s="100">
        <f>$DE$2*Table_SiteMilestoneTrackingSummary[[#This Row],[SiteInOperations_AC]]</f>
        <v>0</v>
      </c>
      <c r="DF22" s="100">
        <f>DF21+Table_SiteMilestoneTrackingSummary[[#This Row],[c9_HandoverEV]]</f>
        <v>0</v>
      </c>
      <c r="DG22" s="96">
        <f>SUMIFS(Table_SiteMilestoneTracking[c9_HandoverCostBL],
Table_SiteMilestoneTracking[SiteInOperations_BL],"&gt;="&amp;Table_SiteMilestoneTrackingSummary[[#This Row],[StartDate]:[StartDate]],
Table_SiteMilestoneTracking[SiteInOperations_BL],"&lt;"&amp;Table_SiteMilestoneTrackingSummary[[#This Row],[EndDate]:[EndDate]]+1)</f>
        <v>0</v>
      </c>
      <c r="DH22" s="100">
        <f>DH21+Table_SiteMilestoneTrackingSummary[[#This Row],[c9_HandoverCostBL2]]</f>
        <v>0</v>
      </c>
      <c r="DI22" s="96">
        <f>SUMIFS(Table_SiteMilestoneTracking[c9_HandoverCostAC],
Table_SiteMilestoneTracking[SiteInOperations_AC],"&gt;="&amp;Table_SiteMilestoneTrackingSummary[[#This Row],[StartDate]:[StartDate]],
Table_SiteMilestoneTracking[SiteInOperations_AC],"&lt;"&amp;Table_SiteMilestoneTrackingSummary[[#This Row],[EndDate]:[EndDate]]+1)</f>
        <v>0</v>
      </c>
      <c r="DJ22" s="100">
        <f>DJ21+Table_SiteMilestoneTrackingSummary[[#This Row],[c9_HandoverCostAC]]</f>
        <v>0</v>
      </c>
      <c r="DK22" s="96">
        <f>COUNTIFS(Table_SiteMilestoneTracking[SiteInOperations_BL],"&gt;="&amp;Table_SiteMilestoneTrackingSummary[[#This Row],[StartDate]:[StartDate]],
Table_SiteMilestoneTracking[SiteInOperations_BL],"&lt;"&amp;Table_SiteMilestoneTrackingSummary[[#This Row],[EndDate]:[EndDate]]+1)</f>
        <v>0</v>
      </c>
      <c r="DL22" s="100">
        <f>DL21+Table_SiteMilestoneTrackingSummary[[#This Row],[SiteInOperations_BL]]</f>
        <v>0</v>
      </c>
      <c r="DM22" s="96">
        <f>COUNTIFS(Table_SiteMilestoneTracking[SiteInOperations_AC],"&gt;="&amp;Table_SiteMilestoneTrackingSummary[[#This Row],[StartDate]:[StartDate]],
Table_SiteMilestoneTracking[SiteInOperations_AC],"&lt;"&amp;Table_SiteMilestoneTrackingSummary[[#This Row],[EndDate]:[EndDate]]+1)</f>
        <v>0</v>
      </c>
      <c r="DN22" s="100">
        <f>DN21+Table_SiteMilestoneTrackingSummary[[#This Row],[SiteInOperations_AC]]</f>
        <v>0</v>
      </c>
      <c r="DO22" s="59">
        <f>Table_SiteMilestoneTrackingSummary[[#This Row],[c0_SiteDesignEV(SUM)]]+Table_SiteMilestoneTrackingSummary[[#This Row],[c1_SiteSurveyEV(SUM)]]+Table_SiteMilestoneTrackingSummary[[#This Row],[c2_SiteAcquisitionEV(SUM)]]+Table_SiteMilestoneTrackingSummary[[#This Row],[c2a_SiteCWReadinessEV(SUM)]]+Table_SiteMilestoneTrackingSummary[[#This Row],[c3_CivilWorksEV(SUM)]]+Table_SiteMilestoneTrackingSummary[[#This Row],[c4_PowerInstallEV(SUM)]]+Table_SiteMilestoneTrackingSummary[[#This Row],[c5_TxIntegrationEV(SUM)]]+Table_SiteMilestoneTrackingSummary[[#This Row],[c6_InstallationEV(SUM)]]+Table_SiteMilestoneTrackingSummary[[#This Row],[c7_IntegrationEV(SUM)]]+Table_SiteMilestoneTrackingSummary[[#This Row],[c8_AcceptanceEV(SUM)]]+Table_SiteMilestoneTrackingSummary[[#This Row],[c9_HandoverEV(SUM)]]</f>
        <v>0</v>
      </c>
      <c r="DP22" s="59">
        <f>Table_SiteMilestoneTrackingSummary[[#This Row],[c0_SiteDesignCostBL(SUM)]]+Table_SiteMilestoneTrackingSummary[[#This Row],[c1_SiteSurveyCostBL(SUM)]]+Table_SiteMilestoneTrackingSummary[[#This Row],[c2_SiteAcquisitionCostBL(SUM)]]+Table_SiteMilestoneTrackingSummary[[#This Row],[c2a_SiteCWReadinessCostBL(SUM)]]+Table_SiteMilestoneTrackingSummary[[#This Row],[c3_CivilWorksCostBL(SUM)]]+Table_SiteMilestoneTrackingSummary[[#This Row],[c4_PowerInstallCostBL(SUM)]]+Table_SiteMilestoneTrackingSummary[[#This Row],[c5_TxIntegrationCostBL(SUM)]]+Table_SiteMilestoneTrackingSummary[[#This Row],[c6_InstallationCostBL(SUM)]]+Table_SiteMilestoneTrackingSummary[[#This Row],[c7_IntegrationCostBL(SUM)]]+Table_SiteMilestoneTrackingSummary[[#This Row],[c8_AcceptanceCostBL(SUM)]]+Table_SiteMilestoneTrackingSummary[[#This Row],[c9_HandoverCostBL(SUM)]]</f>
        <v>0</v>
      </c>
      <c r="DQ22" s="59">
        <f>Table_SiteMilestoneTrackingSummary[[#This Row],[c0_SiteDesignCostAC(SUM)]]+Table_SiteMilestoneTrackingSummary[[#This Row],[c1_SiteSurveyCostAC(SUM)]]+Table_SiteMilestoneTrackingSummary[[#This Row],[c2_SiteAcquisitionCostAC(SUM)]]+Table_SiteMilestoneTrackingSummary[[#This Row],[c2a_SiteCWReadinessCostAC(SUM)]]+Table_SiteMilestoneTrackingSummary[[#This Row],[c3_CivilWorksCostAC(SUM)]]+Table_SiteMilestoneTrackingSummary[[#This Row],[c4_PowerInstallCostAC(SUM)]]+Table_SiteMilestoneTrackingSummary[[#This Row],[c5_TxIntegrationCostAC(SUM)]]+Table_SiteMilestoneTrackingSummary[[#This Row],[c6_InstallationCostAC(SUM)]]+Table_SiteMilestoneTrackingSummary[[#This Row],[c7_IntegrationCostAC(SUM)]]+Table_SiteMilestoneTrackingSummary[[#This Row],[c8_AcceptanceCostAC(SUM)]]+Table_SiteMilestoneTrackingSummary[[#This Row],[c9_HandoverCostAC(SUM)]]</f>
        <v>0</v>
      </c>
      <c r="DR22" s="59">
        <f>Table_SiteMilestoneTrackingSummary[[#This Row],[AccumulatedEV]]-Table_SiteMilestoneTrackingSummary[[#This Row],[AccumulatedPV]]</f>
        <v>0</v>
      </c>
      <c r="DS22" s="59">
        <f>Table_SiteMilestoneTrackingSummary[[#This Row],[AccumulatedEV]]-Table_SiteMilestoneTrackingSummary[[#This Row],[AccumulatedAC]]</f>
        <v>0</v>
      </c>
      <c r="DT22" s="58" t="str">
        <f>IFERROR(Table_SiteMilestoneTrackingSummary[[#This Row],[AccumulatedEV]]/Table_SiteMilestoneTrackingSummary[[#This Row],[AccumulatedPV]],"/")</f>
        <v>/</v>
      </c>
      <c r="DU22" s="101" t="str">
        <f>IFERROR(Table_SiteMilestoneTrackingSummary[[#This Row],[AccumulatedEV]]/Table_SiteMilestoneTrackingSummary[[#This Row],[AccumulatedAC]],"/")</f>
        <v>/</v>
      </c>
    </row>
    <row r="23" spans="1:125" outlineLevel="1" x14ac:dyDescent="0.3">
      <c r="A23" s="79">
        <v>2020</v>
      </c>
      <c r="B23" s="79">
        <v>20</v>
      </c>
      <c r="C23" s="95">
        <f>DATE(Table_SiteMilestoneTrackingSummary[[#This Row],[Year]],1,-2)-WEEKDAY(DATE(Table_SiteMilestoneTrackingSummary[[#This Row],[Year]],1,3))+Table_SiteMilestoneTrackingSummary[[#This Row],[Week]]*7</f>
        <v>43962</v>
      </c>
      <c r="D23" s="95">
        <f>Table_SiteMilestoneTrackingSummary[[#This Row],[StartDate]]+6</f>
        <v>43968</v>
      </c>
      <c r="E23" s="100">
        <f>COUNTIFS(Table_SiteMilestoneTracking[SiteDesignStarted_BL],"&gt;="&amp;Table_SiteMilestoneTrackingSummary[[#This Row],[StartDate]:[StartDate]],Table_SiteMilestoneTracking[SiteDesignStarted_BL],"&lt;"&amp;Table_SiteMilestoneTrackingSummary[[#This Row],[EndDate]:[EndDate]]+1)</f>
        <v>0</v>
      </c>
      <c r="F23" s="100">
        <f>F22+Table_SiteMilestoneTrackingSummary[[#This Row],[SiteDesignStarted_BL]]</f>
        <v>0</v>
      </c>
      <c r="G23" s="100">
        <f>COUNTIFS(Table_SiteMilestoneTracking[SiteDesignStarted_AC],"&gt;="&amp;Table_SiteMilestoneTrackingSummary[[#This Row],[StartDate]:[StartDate]],Table_SiteMilestoneTracking[SiteDesignStarted_AC],"&lt;"&amp;Table_SiteMilestoneTrackingSummary[[#This Row],[EndDate]:[EndDate]]+1)</f>
        <v>0</v>
      </c>
      <c r="H23" s="100">
        <f>H22+Table_SiteMilestoneTrackingSummary[[#This Row],[SiteDesignStarted_AC]]</f>
        <v>0</v>
      </c>
      <c r="I23" s="100">
        <f>Table_SiteMilestoneTrackingSummary[[#This Row],[SiteDesignReady_AC]]*$I$2</f>
        <v>0</v>
      </c>
      <c r="J23" s="100">
        <f>J22+Table_SiteMilestoneTrackingSummary[[#This Row],[c0_SiteDesignEV]]</f>
        <v>0</v>
      </c>
      <c r="K23" s="97">
        <f>SUMIFS(Table_SiteMilestoneTracking[c0_SiteDesignCostBL],
Table_SiteMilestoneTracking[SiteDesignReady_BL],"&gt;="&amp;Table_SiteMilestoneTrackingSummary[[#This Row],[StartDate]:[StartDate]],
Table_SiteMilestoneTracking[SiteDesignReady_BL],"&lt;"&amp;Table_SiteMilestoneTrackingSummary[[#This Row],[EndDate]:[EndDate]]+1)</f>
        <v>0</v>
      </c>
      <c r="L23" s="59">
        <f>L22+Table_SiteMilestoneTrackingSummary[[#This Row],[c0_SiteDesignCostBL]]</f>
        <v>0</v>
      </c>
      <c r="M23" s="97">
        <f>SUMIFS(Table_SiteMilestoneTracking[c0_SiteDesignCostAC],
Table_SiteMilestoneTracking[SiteDesignReady_AC],"&gt;="&amp;Table_SiteMilestoneTrackingSummary[[#This Row],[StartDate]:[StartDate]],
Table_SiteMilestoneTracking[SiteDesignReady_AC],"&lt;"&amp;Table_SiteMilestoneTrackingSummary[[#This Row],[EndDate]:[EndDate]]+1)</f>
        <v>0</v>
      </c>
      <c r="N23" s="59">
        <f>N22+Table_SiteMilestoneTrackingSummary[[#This Row],[c0_SiteDesignCostAC]]</f>
        <v>0</v>
      </c>
      <c r="O23" s="96">
        <f>COUNTIFS(Table_SiteMilestoneTracking[SiteDesignReady_BL],"&gt;="&amp;Table_SiteMilestoneTrackingSummary[[#This Row],[StartDate]:[StartDate]],
Table_SiteMilestoneTracking[SiteDesignReady_BL],"&lt;"&amp;Table_SiteMilestoneTrackingSummary[[#This Row],[EndDate]:[EndDate]]+1)</f>
        <v>0</v>
      </c>
      <c r="P23" s="100">
        <f>P22+Table_SiteMilestoneTrackingSummary[[#This Row],[SiteDesignReady_BL]]</f>
        <v>0</v>
      </c>
      <c r="Q23" s="100">
        <f>COUNTIFS(Table_SiteMilestoneTracking[SiteDesignReady_AC],"&gt;="&amp;Table_SiteMilestoneTrackingSummary[[#This Row],[StartDate]:[StartDate]],Table_SiteMilestoneTracking[SiteDesignReady_AC],"&lt;"&amp;Table_SiteMilestoneTrackingSummary[[#This Row],[EndDate]:[EndDate]]+1)</f>
        <v>0</v>
      </c>
      <c r="R23" s="100">
        <f>R22+Table_SiteMilestoneTrackingSummary[[#This Row],[SiteDesignReady_AC]]</f>
        <v>0</v>
      </c>
      <c r="S23" s="100">
        <f>Table_SiteMilestoneTrackingSummary[[#This Row],[ReadyForCW_AC]]*$S$2</f>
        <v>0</v>
      </c>
      <c r="T23" s="100">
        <f>T22+Table_SiteMilestoneTrackingSummary[[#This Row],[c1_SiteSurveyEV]]</f>
        <v>0</v>
      </c>
      <c r="U23" s="96">
        <f>SUMIFS(Table_SiteMilestoneTracking[c1_SiteSurveyCostBL],
Table_SiteMilestoneTracking[SiteSurveyCompleted_BL],"&gt;="&amp;Table_SiteMilestoneTrackingSummary[[#This Row],[StartDate]:[StartDate]],
Table_SiteMilestoneTracking[SiteSurveyCompleted_BL],"&lt;"&amp;Table_SiteMilestoneTrackingSummary[[#This Row],[EndDate]:[EndDate]]+1)</f>
        <v>0</v>
      </c>
      <c r="V23" s="100">
        <f>V22+Table_SiteMilestoneTrackingSummary[[#This Row],[c1_SiteSurveyCostBL]]</f>
        <v>0</v>
      </c>
      <c r="W23" s="96">
        <f>SUMIFS(Table_SiteMilestoneTracking[c1_SiteSurveyCostAC],
Table_SiteMilestoneTracking[SiteSurveyCompleted_AC],"&gt;="&amp;Table_SiteMilestoneTrackingSummary[[#This Row],[StartDate]:[StartDate]],
Table_SiteMilestoneTracking[SiteSurveyCompleted_AC],"&lt;"&amp;Table_SiteMilestoneTrackingSummary[[#This Row],[EndDate]:[EndDate]]+1)</f>
        <v>0</v>
      </c>
      <c r="X23" s="100">
        <f>X22+Table_SiteMilestoneTrackingSummary[[#This Row],[c1_SiteSurveyCostAC]]</f>
        <v>0</v>
      </c>
      <c r="Y23" s="96">
        <f>COUNTIFS(Table_SiteMilestoneTracking[SiteSurveyCompleted_BL],"&gt;="&amp;Table_SiteMilestoneTrackingSummary[[#This Row],[StartDate]:[StartDate]],
Table_SiteMilestoneTracking[SiteSurveyCompleted_BL],"&lt;"&amp;Table_SiteMilestoneTrackingSummary[[#This Row],[EndDate]:[EndDate]]+1)</f>
        <v>0</v>
      </c>
      <c r="Z23" s="100">
        <f>Z22+Table_SiteMilestoneTrackingSummary[[#This Row],[SiteSurveyCompleted_BL]]</f>
        <v>0</v>
      </c>
      <c r="AA23" s="96">
        <f>COUNTIFS(Table_SiteMilestoneTracking[SiteSurveyCompleted_AC],"&gt;="&amp;Table_SiteMilestoneTrackingSummary[[#This Row],[StartDate]:[StartDate]],
Table_SiteMilestoneTracking[SiteSurveyCompleted_AC],"&lt;"&amp;Table_SiteMilestoneTrackingSummary[[#This Row],[EndDate]:[EndDate]]+1)</f>
        <v>0</v>
      </c>
      <c r="AB23" s="100">
        <f>AB22+Table_SiteMilestoneTrackingSummary[[#This Row],[SiteSurveyCompleted_AC]]</f>
        <v>0</v>
      </c>
      <c r="AC23" s="100">
        <f>$AC$2*Table_SiteMilestoneTrackingSummary[[#This Row],[SiteAcquired_AC]]</f>
        <v>0</v>
      </c>
      <c r="AD23" s="100">
        <f>AD22+Table_SiteMilestoneTrackingSummary[[#This Row],[c2_SiteAcquisitionEV]]</f>
        <v>0</v>
      </c>
      <c r="AE23" s="96">
        <f>SUMIFS(Table_SiteMilestoneTracking[c2_SiteAcquisitionCostBL],
Table_SiteMilestoneTracking[SiteAcquired_BL],"&gt;="&amp;Table_SiteMilestoneTrackingSummary[[#This Row],[StartDate]:[StartDate]],
Table_SiteMilestoneTracking[SiteAcquired_BL],"&lt;"&amp;Table_SiteMilestoneTrackingSummary[[#This Row],[EndDate]:[EndDate]]+1)</f>
        <v>0</v>
      </c>
      <c r="AF23" s="100">
        <f>AF22+Table_SiteMilestoneTrackingSummary[[#This Row],[c2_SiteAcquisitionCostBL]]</f>
        <v>0</v>
      </c>
      <c r="AG23" s="96">
        <f>SUMIFS(Table_SiteMilestoneTracking[c2_SiteAcquisitionCostAC],
Table_SiteMilestoneTracking[SiteAcquired_AC],"&gt;="&amp;Table_SiteMilestoneTrackingSummary[[#This Row],[StartDate]:[StartDate]],
Table_SiteMilestoneTracking[SiteAcquired_AC],"&lt;"&amp;Table_SiteMilestoneTrackingSummary[[#This Row],[EndDate]:[EndDate]]+1)</f>
        <v>0</v>
      </c>
      <c r="AH23" s="100">
        <f>AH22+Table_SiteMilestoneTrackingSummary[[#This Row],[c2_SiteAcquisitionCostAC]]</f>
        <v>0</v>
      </c>
      <c r="AI23" s="96">
        <f>COUNTIFS(Table_SiteMilestoneTracking[SiteAcquired_BL],"&gt;="&amp;Table_SiteMilestoneTrackingSummary[[#This Row],[StartDate]:[StartDate]],
Table_SiteMilestoneTracking[SiteAcquired_BL],"&lt;"&amp;Table_SiteMilestoneTrackingSummary[[#This Row],[EndDate]:[EndDate]]+1)</f>
        <v>0</v>
      </c>
      <c r="AJ23" s="100">
        <f>AJ22+Table_SiteMilestoneTrackingSummary[[#This Row],[SiteAcquired_BL]]</f>
        <v>0</v>
      </c>
      <c r="AK23" s="96">
        <f>COUNTIFS(Table_SiteMilestoneTracking[SiteAcquired_AC],"&gt;="&amp;Table_SiteMilestoneTrackingSummary[[#This Row],[StartDate]:[StartDate]],
Table_SiteMilestoneTracking[SiteAcquired_AC],"&lt;"&amp;Table_SiteMilestoneTrackingSummary[[#This Row],[EndDate]:[EndDate]]+1)</f>
        <v>0</v>
      </c>
      <c r="AL23" s="100">
        <f>AL22+Table_SiteMilestoneTrackingSummary[[#This Row],[SiteAcquired_AC]]</f>
        <v>0</v>
      </c>
      <c r="AM23" s="100">
        <f>Table_SiteMilestoneTrackingSummary[[#This Row],[ReadyForCW_AC]]*$AM$2</f>
        <v>0</v>
      </c>
      <c r="AN23" s="100">
        <f>AN22+Table_SiteMilestoneTrackingSummary[[#This Row],[c2a_SiteCWReadinessEV]]</f>
        <v>0</v>
      </c>
      <c r="AO23" s="96">
        <f>SUMIFS(Table_SiteMilestoneTracking[c2a_SiteCWReadinessCost_BL],
Table_SiteMilestoneTracking[SiteReadyForCW_BL],"&gt;="&amp;Table_SiteMilestoneTrackingSummary[[#This Row],[StartDate]:[StartDate]],
Table_SiteMilestoneTracking[SiteReadyForCW_BL],"&lt;"&amp;Table_SiteMilestoneTrackingSummary[[#This Row],[EndDate]:[EndDate]]+1)</f>
        <v>0</v>
      </c>
      <c r="AP23" s="100">
        <f>AP22+Table_SiteMilestoneTrackingSummary[[#This Row],[c2a_SiteCWReadinessCostBL]]</f>
        <v>0</v>
      </c>
      <c r="AQ23" s="96">
        <f>SUMIFS(Table_SiteMilestoneTracking[c2a_SiteCWReadinessCost_AC],
Table_SiteMilestoneTracking[SiteReadyForCW_AC],"&gt;="&amp;Table_SiteMilestoneTrackingSummary[[#This Row],[StartDate]:[StartDate]],
Table_SiteMilestoneTracking[SiteReadyForCW_AC],"&lt;"&amp;Table_SiteMilestoneTrackingSummary[[#This Row],[EndDate]:[EndDate]]+1)</f>
        <v>0</v>
      </c>
      <c r="AR23" s="100">
        <f>AR22+Table_SiteMilestoneTrackingSummary[[#This Row],[c2a_SiteCWReadinessCostAC]]</f>
        <v>0</v>
      </c>
      <c r="AS23" s="96">
        <f>COUNTIFS(Table_SiteMilestoneTracking[SiteReadyForCW_BL],"&gt;="&amp;Table_SiteMilestoneTrackingSummary[[#This Row],[StartDate]:[StartDate]],
Table_SiteMilestoneTracking[SiteReadyForCW_BL],"&lt;"&amp;Table_SiteMilestoneTrackingSummary[[#This Row],[EndDate]:[EndDate]]+1)</f>
        <v>0</v>
      </c>
      <c r="AT23" s="100">
        <f>AT22+Table_SiteMilestoneTrackingSummary[[#This Row],[ReadyForCW_BL]]</f>
        <v>0</v>
      </c>
      <c r="AU23" s="96">
        <f>COUNTIFS(Table_SiteMilestoneTracking[SiteReadyForCW_AC],"&gt;="&amp;Table_SiteMilestoneTrackingSummary[[#This Row],[StartDate]:[StartDate]],
Table_SiteMilestoneTracking[SiteReadyForCW_AC],"&lt;"&amp;Table_SiteMilestoneTrackingSummary[[#This Row],[EndDate]:[EndDate]]+1)</f>
        <v>0</v>
      </c>
      <c r="AV23" s="100">
        <f>AV22+Table_SiteMilestoneTrackingSummary[[#This Row],[ReadyForCW_AC]]</f>
        <v>0</v>
      </c>
      <c r="AW23" s="100">
        <f>$AW$2*Table_SiteMilestoneTrackingSummary[[#This Row],[ReadyForPower_AC]]</f>
        <v>0</v>
      </c>
      <c r="AX23" s="100">
        <f>AX22+Table_SiteMilestoneTrackingSummary[[#This Row],[c3_CivilWorksEV]]</f>
        <v>0</v>
      </c>
      <c r="AY23" s="96">
        <f>SUMIFS(Table_SiteMilestoneTracking[c3_CivilWorksCostBL],
Table_SiteMilestoneTracking[SiteReadyForPower_BL],"&gt;="&amp;Table_SiteMilestoneTrackingSummary[[#This Row],[StartDate]:[StartDate]],
Table_SiteMilestoneTracking[SiteReadyForPower_BL],"&lt;"&amp;Table_SiteMilestoneTrackingSummary[[#This Row],[EndDate]:[EndDate]]+1)</f>
        <v>0</v>
      </c>
      <c r="AZ23" s="100">
        <f>AZ22+Table_SiteMilestoneTrackingSummary[[#This Row],[c3_CivilWorksCostBL]]</f>
        <v>0</v>
      </c>
      <c r="BA23" s="96">
        <f>SUMIFS(Table_SiteMilestoneTracking[c3_CivilWorksCostAC],
Table_SiteMilestoneTracking[SiteReadyForPower_AC],"&gt;="&amp;Table_SiteMilestoneTrackingSummary[[#This Row],[StartDate]:[StartDate]],
Table_SiteMilestoneTracking[SiteReadyForPower_AC],"&lt;"&amp;Table_SiteMilestoneTrackingSummary[[#This Row],[EndDate]:[EndDate]]+1)</f>
        <v>0</v>
      </c>
      <c r="BB23" s="100">
        <f>BB22+Table_SiteMilestoneTrackingSummary[[#This Row],[c3_CivilWorksCostAC]]</f>
        <v>0</v>
      </c>
      <c r="BC23" s="96">
        <f>COUNTIFS(Table_SiteMilestoneTracking[SiteReadyForPower_BL],"&gt;="&amp;Table_SiteMilestoneTrackingSummary[[#This Row],[StartDate]:[StartDate]],
Table_SiteMilestoneTracking[SiteReadyForPower_BL],"&lt;"&amp;Table_SiteMilestoneTrackingSummary[[#This Row],[EndDate]:[EndDate]]+1)</f>
        <v>0</v>
      </c>
      <c r="BD23" s="100">
        <f>BD22+Table_SiteMilestoneTrackingSummary[[#This Row],[ReadyForPower_BL]]</f>
        <v>0</v>
      </c>
      <c r="BE23" s="96">
        <f>COUNTIFS(Table_SiteMilestoneTracking[SiteReadyForPower_AC],"&gt;="&amp;Table_SiteMilestoneTrackingSummary[[#This Row],[StartDate]:[StartDate]],
Table_SiteMilestoneTracking[SiteReadyForPower_AC],"&lt;"&amp;Table_SiteMilestoneTrackingSummary[[#This Row],[EndDate]:[EndDate]]+1)</f>
        <v>0</v>
      </c>
      <c r="BF23" s="100">
        <f>BF22+Table_SiteMilestoneTrackingSummary[[#This Row],[ReadyForPower_AC]]</f>
        <v>0</v>
      </c>
      <c r="BG23" s="100">
        <f>$BG$2*Table_SiteMilestoneTrackingSummary[[#This Row],[TXReady_AC]]</f>
        <v>0</v>
      </c>
      <c r="BH23" s="100">
        <f>BH22+Table_SiteMilestoneTrackingSummary[[#This Row],[c4_PowerInstallEV]]</f>
        <v>0</v>
      </c>
      <c r="BI23" s="96">
        <f>SUMIFS(Table_SiteMilestoneTracking[c4_PowerInstallCostBL],
Table_SiteMilestoneTracking[TXReady_BL],"&gt;="&amp;Table_SiteMilestoneTrackingSummary[[#This Row],[StartDate]:[StartDate]],
Table_SiteMilestoneTracking[TXReady_BL],"&lt;"&amp;Table_SiteMilestoneTrackingSummary[[#This Row],[EndDate]:[EndDate]]+1)</f>
        <v>0</v>
      </c>
      <c r="BJ23" s="100">
        <f>BJ22+Table_SiteMilestoneTrackingSummary[[#This Row],[c4_PowerInstallCostBL]]</f>
        <v>0</v>
      </c>
      <c r="BK23" s="96">
        <f>SUMIFS(Table_SiteMilestoneTracking[c4_PowerInstallCostAC],
Table_SiteMilestoneTracking[TXReady_AC],"&gt;="&amp;Table_SiteMilestoneTrackingSummary[[#This Row],[StartDate]:[StartDate]],
Table_SiteMilestoneTracking[TXReady_AC],"&lt;"&amp;Table_SiteMilestoneTrackingSummary[[#This Row],[EndDate]:[EndDate]]+1)</f>
        <v>0</v>
      </c>
      <c r="BL23" s="100">
        <f>BL22+Table_SiteMilestoneTrackingSummary[[#This Row],[c4_PowerInstallCostAC]]</f>
        <v>0</v>
      </c>
      <c r="BM23" s="96">
        <f>COUNTIFS(Table_SiteMilestoneTracking[TXReady_BL],"&gt;="&amp;Table_SiteMilestoneTrackingSummary[[#This Row],[StartDate]:[StartDate]],
Table_SiteMilestoneTracking[TXReady_BL],"&lt;"&amp;Table_SiteMilestoneTrackingSummary[[#This Row],[EndDate]:[EndDate]]+1)</f>
        <v>0</v>
      </c>
      <c r="BN23" s="100">
        <f>BN22+Table_SiteMilestoneTrackingSummary[[#This Row],[TXReady_BL]]</f>
        <v>0</v>
      </c>
      <c r="BO23" s="100">
        <f>COUNTIFS(Table_SiteMilestoneTracking[TXReady_AC],"&gt;="&amp;Table_SiteMilestoneTrackingSummary[[#This Row],[StartDate]:[StartDate]],Table_SiteMilestoneTracking[TXReady_AC],"&lt;"&amp;Table_SiteMilestoneTrackingSummary[[#This Row],[EndDate]:[EndDate]]+1)</f>
        <v>0</v>
      </c>
      <c r="BP23" s="100">
        <f>BP22+Table_SiteMilestoneTrackingSummary[[#This Row],[TXReady_AC]]</f>
        <v>0</v>
      </c>
      <c r="BQ23" s="100">
        <f>$BQ$2*Table_SiteMilestoneTrackingSummary[[#This Row],[ReadyForInstallation_AC]]</f>
        <v>0</v>
      </c>
      <c r="BR23" s="100">
        <f>BR22+Table_SiteMilestoneTrackingSummary[[#This Row],[c5_TxIntegrationEV]]</f>
        <v>0</v>
      </c>
      <c r="BS23" s="96">
        <f>SUMIFS(Table_SiteMilestoneTracking[c5_TxintegrationCostBL],
Table_SiteMilestoneTracking[SiteReadyForInstallation_BL],"&gt;="&amp;Table_SiteMilestoneTrackingSummary[[#This Row],[StartDate]:[StartDate]],
Table_SiteMilestoneTracking[SiteReadyForInstallation_BL],"&lt;"&amp;Table_SiteMilestoneTrackingSummary[[#This Row],[EndDate]:[EndDate]]+1)</f>
        <v>0</v>
      </c>
      <c r="BT23" s="100">
        <f>BT22+Table_SiteMilestoneTrackingSummary[[#This Row],[c5_TxIntegrationCostBL]]</f>
        <v>0</v>
      </c>
      <c r="BU23" s="96">
        <f>SUMIFS(Table_SiteMilestoneTracking[c5_TxintegrationCostAC],
Table_SiteMilestoneTracking[SiteReadyForInstallation_AC],"&gt;="&amp;Table_SiteMilestoneTrackingSummary[[#This Row],[StartDate]:[StartDate]],
Table_SiteMilestoneTracking[SiteReadyForInstallation_AC],"&lt;"&amp;Table_SiteMilestoneTrackingSummary[[#This Row],[EndDate]:[EndDate]]+1)</f>
        <v>0</v>
      </c>
      <c r="BV23" s="100">
        <f>BV22+Table_SiteMilestoneTrackingSummary[[#This Row],[c5_TxIntegrationCostAC]]</f>
        <v>0</v>
      </c>
      <c r="BW23" s="96">
        <f>COUNTIFS(Table_SiteMilestoneTracking[SiteReadyForInstallation_BL],"&gt;="&amp;Table_SiteMilestoneTrackingSummary[[#This Row],[StartDate]:[StartDate]],
Table_SiteMilestoneTracking[SiteReadyForInstallation_BL],"&lt;"&amp;Table_SiteMilestoneTrackingSummary[[#This Row],[EndDate]:[EndDate]]+1)</f>
        <v>0</v>
      </c>
      <c r="BX23" s="100">
        <f>BX22+Table_SiteMilestoneTrackingSummary[[#This Row],[ReadyForInstallation_BL]]</f>
        <v>0</v>
      </c>
      <c r="BY23" s="96">
        <f>COUNTIFS(Table_SiteMilestoneTracking[SiteReadyForInstallation_AC],"&gt;="&amp;Table_SiteMilestoneTrackingSummary[[#This Row],[StartDate]:[StartDate]],
Table_SiteMilestoneTracking[SiteReadyForInstallation_AC],"&lt;"&amp;Table_SiteMilestoneTrackingSummary[[#This Row],[EndDate]:[EndDate]]+1)</f>
        <v>0</v>
      </c>
      <c r="BZ23" s="100">
        <f>BZ22+Table_SiteMilestoneTrackingSummary[[#This Row],[ReadyForInstallation_AC]]</f>
        <v>0</v>
      </c>
      <c r="CA23" s="100">
        <f>$CA$2*Table_SiteMilestoneTrackingSummary[[#This Row],[ReadyForIntegration_AC]]</f>
        <v>0</v>
      </c>
      <c r="CB23" s="100">
        <f>CB22+Table_SiteMilestoneTrackingSummary[[#This Row],[c6_InstallationEV]]</f>
        <v>0</v>
      </c>
      <c r="CC23" s="96">
        <f>SUMIFS(Table_SiteMilestoneTracking[c6_InstallationCostBL],
Table_SiteMilestoneTracking[SiteReadyForIntegration_BL],"&gt;="&amp;Table_SiteMilestoneTrackingSummary[[#This Row],[StartDate]:[StartDate]],
Table_SiteMilestoneTracking[SiteReadyForIntegration_BL],"&lt;"&amp;Table_SiteMilestoneTrackingSummary[[#This Row],[EndDate]:[EndDate]]+1)</f>
        <v>0</v>
      </c>
      <c r="CD23" s="100">
        <f>CD22+Table_SiteMilestoneTrackingSummary[[#This Row],[c6_InstallationCostBL]]</f>
        <v>0</v>
      </c>
      <c r="CE23" s="96">
        <f>SUMIFS(Table_SiteMilestoneTracking[c6_InstallationCostAC],
Table_SiteMilestoneTracking[SiteReadyForIntegration_AC],"&gt;="&amp;Table_SiteMilestoneTrackingSummary[[#This Row],[StartDate]:[StartDate]],
Table_SiteMilestoneTracking[SiteReadyForIntegration_AC],"&lt;"&amp;Table_SiteMilestoneTrackingSummary[[#This Row],[EndDate]:[EndDate]]+1)</f>
        <v>0</v>
      </c>
      <c r="CF23" s="100">
        <f>CF22+Table_SiteMilestoneTrackingSummary[[#This Row],[c6_InstallationCostAC]]</f>
        <v>0</v>
      </c>
      <c r="CG23" s="96">
        <f>COUNTIFS(Table_SiteMilestoneTracking[SiteReadyForIntegration_BL],"&gt;="&amp;Table_SiteMilestoneTrackingSummary[[#This Row],[StartDate]:[StartDate]],
Table_SiteMilestoneTracking[SiteReadyForIntegration_BL],"&lt;"&amp;Table_SiteMilestoneTrackingSummary[[#This Row],[EndDate]:[EndDate]]+1)</f>
        <v>0</v>
      </c>
      <c r="CH23" s="100">
        <f>CH22+Table_SiteMilestoneTrackingSummary[[#This Row],[ReadyForIntegration_BL]]</f>
        <v>0</v>
      </c>
      <c r="CI23" s="96">
        <f>COUNTIFS(Table_SiteMilestoneTracking[SiteReadyForIntegration_AC],"&gt;="&amp;Table_SiteMilestoneTrackingSummary[[#This Row],[StartDate]:[StartDate]],
Table_SiteMilestoneTracking[SiteReadyForIntegration_AC],"&lt;"&amp;Table_SiteMilestoneTrackingSummary[[#This Row],[EndDate]:[EndDate]]+1)</f>
        <v>0</v>
      </c>
      <c r="CJ23" s="100">
        <f>CJ22+Table_SiteMilestoneTrackingSummary[[#This Row],[ReadyForIntegration_AC]]</f>
        <v>0</v>
      </c>
      <c r="CK23" s="100">
        <f>$CK$2*Table_SiteMilestoneTrackingSummary[[#This Row],[SiteOnAir_AC]]</f>
        <v>0</v>
      </c>
      <c r="CL23" s="100">
        <f>CL22+Table_SiteMilestoneTrackingSummary[[#This Row],[c7_IntegrationEV]]</f>
        <v>0</v>
      </c>
      <c r="CM23" s="96">
        <f>SUMIFS(Table_SiteMilestoneTracking[c7_IntegrationCostBL],
Table_SiteMilestoneTracking[SiteOnAir_BL],"&gt;="&amp;Table_SiteMilestoneTrackingSummary[[#This Row],[StartDate]:[StartDate]],
Table_SiteMilestoneTracking[SiteOnAir_BL],"&lt;"&amp;Table_SiteMilestoneTrackingSummary[[#This Row],[EndDate]:[EndDate]]+1)</f>
        <v>0</v>
      </c>
      <c r="CN23" s="100">
        <f>CN22+Table_SiteMilestoneTrackingSummary[[#This Row],[c7_IntegrationCostBL]]</f>
        <v>0</v>
      </c>
      <c r="CO23" s="96">
        <f>SUMIFS(Table_SiteMilestoneTracking[c7_IntegrationCostAC],
Table_SiteMilestoneTracking[SiteOnAir_AC],"&gt;="&amp;Table_SiteMilestoneTrackingSummary[[#This Row],[StartDate]:[StartDate]],
Table_SiteMilestoneTracking[SiteOnAir_AC],"&lt;"&amp;Table_SiteMilestoneTrackingSummary[[#This Row],[EndDate]:[EndDate]]+1)</f>
        <v>0</v>
      </c>
      <c r="CP23" s="100">
        <f>CP22+Table_SiteMilestoneTrackingSummary[[#This Row],[c7_IntegrationCostAC]]</f>
        <v>0</v>
      </c>
      <c r="CQ23" s="96">
        <f>COUNTIFS(Table_SiteMilestoneTracking[SiteOnAir_BL],"&gt;="&amp;Table_SiteMilestoneTrackingSummary[[#This Row],[StartDate]:[StartDate]],
Table_SiteMilestoneTracking[SiteOnAir_BL],"&lt;"&amp;Table_SiteMilestoneTrackingSummary[[#This Row],[EndDate]:[EndDate]]+1)</f>
        <v>0</v>
      </c>
      <c r="CR23" s="100">
        <f>CR22+Table_SiteMilestoneTrackingSummary[[#This Row],[SiteOnAir_BL]]</f>
        <v>0</v>
      </c>
      <c r="CS23" s="96">
        <f>COUNTIFS(Table_SiteMilestoneTracking[SiteOnAir_AC],"&gt;="&amp;Table_SiteMilestoneTrackingSummary[[#This Row],[StartDate]:[StartDate]],
Table_SiteMilestoneTracking[SiteOnAir_AC],"&lt;"&amp;Table_SiteMilestoneTrackingSummary[[#This Row],[EndDate]:[EndDate]]+1)</f>
        <v>0</v>
      </c>
      <c r="CT23" s="100">
        <f>CT22+Table_SiteMilestoneTrackingSummary[[#This Row],[SiteOnAir_AC]]</f>
        <v>0</v>
      </c>
      <c r="CU23" s="100">
        <f>$CU$2*Table_SiteMilestoneTrackingSummary[[#This Row],[SiteAccepted_AC]]</f>
        <v>0</v>
      </c>
      <c r="CV23" s="100">
        <f>CV22+Table_SiteMilestoneTrackingSummary[[#This Row],[c8_AcceptanceEV]]</f>
        <v>0</v>
      </c>
      <c r="CW23" s="96">
        <f>SUMIFS(Table_SiteMilestoneTracking[c8_AcceptanceCostBL],
Table_SiteMilestoneTracking[SiteAccepted_BL],"&gt;="&amp;Table_SiteMilestoneTrackingSummary[[#This Row],[StartDate]:[StartDate]],
Table_SiteMilestoneTracking[SiteAccepted_BL],"&lt;"&amp;Table_SiteMilestoneTrackingSummary[[#This Row],[EndDate]:[EndDate]]+1)</f>
        <v>0</v>
      </c>
      <c r="CX23" s="100">
        <f>CX22+Table_SiteMilestoneTrackingSummary[[#This Row],[c8_AcceptanceCostBL]]</f>
        <v>0</v>
      </c>
      <c r="CY23" s="96">
        <f>SUMIFS(Table_SiteMilestoneTracking[c8_AcceptanceCostAC],
Table_SiteMilestoneTracking[SiteAccepted_AC],"&gt;="&amp;Table_SiteMilestoneTrackingSummary[[#This Row],[StartDate]:[StartDate]],
Table_SiteMilestoneTracking[SiteAccepted_AC],"&lt;"&amp;Table_SiteMilestoneTrackingSummary[[#This Row],[EndDate]:[EndDate]]+1)</f>
        <v>0</v>
      </c>
      <c r="CZ23" s="100">
        <f>CZ22+Table_SiteMilestoneTrackingSummary[[#This Row],[c8_AcceptanceCostAC]]</f>
        <v>0</v>
      </c>
      <c r="DA23" s="96">
        <f>COUNTIFS(Table_SiteMilestoneTracking[SiteAccepted_BL],"&gt;="&amp;Table_SiteMilestoneTrackingSummary[[#This Row],[StartDate]:[StartDate]],
Table_SiteMilestoneTracking[SiteAccepted_BL],"&lt;"&amp;Table_SiteMilestoneTrackingSummary[[#This Row],[EndDate]:[EndDate]]+1)</f>
        <v>0</v>
      </c>
      <c r="DB23" s="100">
        <f>DB22+Table_SiteMilestoneTrackingSummary[[#This Row],[SiteAccepted_BL]]</f>
        <v>0</v>
      </c>
      <c r="DC23" s="96">
        <f>COUNTIFS(Table_SiteMilestoneTracking[SiteAccepted_AC],"&gt;="&amp;Table_SiteMilestoneTrackingSummary[[#This Row],[StartDate]:[StartDate]],
Table_SiteMilestoneTracking[SiteAccepted_AC],"&lt;"&amp;Table_SiteMilestoneTrackingSummary[[#This Row],[EndDate]:[EndDate]]+1)</f>
        <v>0</v>
      </c>
      <c r="DD23" s="100">
        <f>DD22+Table_SiteMilestoneTrackingSummary[[#This Row],[SiteAccepted_AC]]</f>
        <v>0</v>
      </c>
      <c r="DE23" s="100">
        <f>$DE$2*Table_SiteMilestoneTrackingSummary[[#This Row],[SiteInOperations_AC]]</f>
        <v>0</v>
      </c>
      <c r="DF23" s="100">
        <f>DF22+Table_SiteMilestoneTrackingSummary[[#This Row],[c9_HandoverEV]]</f>
        <v>0</v>
      </c>
      <c r="DG23" s="96">
        <f>SUMIFS(Table_SiteMilestoneTracking[c9_HandoverCostBL],
Table_SiteMilestoneTracking[SiteInOperations_BL],"&gt;="&amp;Table_SiteMilestoneTrackingSummary[[#This Row],[StartDate]:[StartDate]],
Table_SiteMilestoneTracking[SiteInOperations_BL],"&lt;"&amp;Table_SiteMilestoneTrackingSummary[[#This Row],[EndDate]:[EndDate]]+1)</f>
        <v>0</v>
      </c>
      <c r="DH23" s="100">
        <f>DH22+Table_SiteMilestoneTrackingSummary[[#This Row],[c9_HandoverCostBL2]]</f>
        <v>0</v>
      </c>
      <c r="DI23" s="96">
        <f>SUMIFS(Table_SiteMilestoneTracking[c9_HandoverCostAC],
Table_SiteMilestoneTracking[SiteInOperations_AC],"&gt;="&amp;Table_SiteMilestoneTrackingSummary[[#This Row],[StartDate]:[StartDate]],
Table_SiteMilestoneTracking[SiteInOperations_AC],"&lt;"&amp;Table_SiteMilestoneTrackingSummary[[#This Row],[EndDate]:[EndDate]]+1)</f>
        <v>0</v>
      </c>
      <c r="DJ23" s="100">
        <f>DJ22+Table_SiteMilestoneTrackingSummary[[#This Row],[c9_HandoverCostAC]]</f>
        <v>0</v>
      </c>
      <c r="DK23" s="96">
        <f>COUNTIFS(Table_SiteMilestoneTracking[SiteInOperations_BL],"&gt;="&amp;Table_SiteMilestoneTrackingSummary[[#This Row],[StartDate]:[StartDate]],
Table_SiteMilestoneTracking[SiteInOperations_BL],"&lt;"&amp;Table_SiteMilestoneTrackingSummary[[#This Row],[EndDate]:[EndDate]]+1)</f>
        <v>0</v>
      </c>
      <c r="DL23" s="100">
        <f>DL22+Table_SiteMilestoneTrackingSummary[[#This Row],[SiteInOperations_BL]]</f>
        <v>0</v>
      </c>
      <c r="DM23" s="96">
        <f>COUNTIFS(Table_SiteMilestoneTracking[SiteInOperations_AC],"&gt;="&amp;Table_SiteMilestoneTrackingSummary[[#This Row],[StartDate]:[StartDate]],
Table_SiteMilestoneTracking[SiteInOperations_AC],"&lt;"&amp;Table_SiteMilestoneTrackingSummary[[#This Row],[EndDate]:[EndDate]]+1)</f>
        <v>0</v>
      </c>
      <c r="DN23" s="100">
        <f>DN22+Table_SiteMilestoneTrackingSummary[[#This Row],[SiteInOperations_AC]]</f>
        <v>0</v>
      </c>
      <c r="DO23" s="59">
        <f>Table_SiteMilestoneTrackingSummary[[#This Row],[c0_SiteDesignEV(SUM)]]+Table_SiteMilestoneTrackingSummary[[#This Row],[c1_SiteSurveyEV(SUM)]]+Table_SiteMilestoneTrackingSummary[[#This Row],[c2_SiteAcquisitionEV(SUM)]]+Table_SiteMilestoneTrackingSummary[[#This Row],[c2a_SiteCWReadinessEV(SUM)]]+Table_SiteMilestoneTrackingSummary[[#This Row],[c3_CivilWorksEV(SUM)]]+Table_SiteMilestoneTrackingSummary[[#This Row],[c4_PowerInstallEV(SUM)]]+Table_SiteMilestoneTrackingSummary[[#This Row],[c5_TxIntegrationEV(SUM)]]+Table_SiteMilestoneTrackingSummary[[#This Row],[c6_InstallationEV(SUM)]]+Table_SiteMilestoneTrackingSummary[[#This Row],[c7_IntegrationEV(SUM)]]+Table_SiteMilestoneTrackingSummary[[#This Row],[c8_AcceptanceEV(SUM)]]+Table_SiteMilestoneTrackingSummary[[#This Row],[c9_HandoverEV(SUM)]]</f>
        <v>0</v>
      </c>
      <c r="DP23" s="59">
        <f>Table_SiteMilestoneTrackingSummary[[#This Row],[c0_SiteDesignCostBL(SUM)]]+Table_SiteMilestoneTrackingSummary[[#This Row],[c1_SiteSurveyCostBL(SUM)]]+Table_SiteMilestoneTrackingSummary[[#This Row],[c2_SiteAcquisitionCostBL(SUM)]]+Table_SiteMilestoneTrackingSummary[[#This Row],[c2a_SiteCWReadinessCostBL(SUM)]]+Table_SiteMilestoneTrackingSummary[[#This Row],[c3_CivilWorksCostBL(SUM)]]+Table_SiteMilestoneTrackingSummary[[#This Row],[c4_PowerInstallCostBL(SUM)]]+Table_SiteMilestoneTrackingSummary[[#This Row],[c5_TxIntegrationCostBL(SUM)]]+Table_SiteMilestoneTrackingSummary[[#This Row],[c6_InstallationCostBL(SUM)]]+Table_SiteMilestoneTrackingSummary[[#This Row],[c7_IntegrationCostBL(SUM)]]+Table_SiteMilestoneTrackingSummary[[#This Row],[c8_AcceptanceCostBL(SUM)]]+Table_SiteMilestoneTrackingSummary[[#This Row],[c9_HandoverCostBL(SUM)]]</f>
        <v>0</v>
      </c>
      <c r="DQ23" s="59">
        <f>Table_SiteMilestoneTrackingSummary[[#This Row],[c0_SiteDesignCostAC(SUM)]]+Table_SiteMilestoneTrackingSummary[[#This Row],[c1_SiteSurveyCostAC(SUM)]]+Table_SiteMilestoneTrackingSummary[[#This Row],[c2_SiteAcquisitionCostAC(SUM)]]+Table_SiteMilestoneTrackingSummary[[#This Row],[c2a_SiteCWReadinessCostAC(SUM)]]+Table_SiteMilestoneTrackingSummary[[#This Row],[c3_CivilWorksCostAC(SUM)]]+Table_SiteMilestoneTrackingSummary[[#This Row],[c4_PowerInstallCostAC(SUM)]]+Table_SiteMilestoneTrackingSummary[[#This Row],[c5_TxIntegrationCostAC(SUM)]]+Table_SiteMilestoneTrackingSummary[[#This Row],[c6_InstallationCostAC(SUM)]]+Table_SiteMilestoneTrackingSummary[[#This Row],[c7_IntegrationCostAC(SUM)]]+Table_SiteMilestoneTrackingSummary[[#This Row],[c8_AcceptanceCostAC(SUM)]]+Table_SiteMilestoneTrackingSummary[[#This Row],[c9_HandoverCostAC(SUM)]]</f>
        <v>0</v>
      </c>
      <c r="DR23" s="59">
        <f>Table_SiteMilestoneTrackingSummary[[#This Row],[AccumulatedEV]]-Table_SiteMilestoneTrackingSummary[[#This Row],[AccumulatedPV]]</f>
        <v>0</v>
      </c>
      <c r="DS23" s="59">
        <f>Table_SiteMilestoneTrackingSummary[[#This Row],[AccumulatedEV]]-Table_SiteMilestoneTrackingSummary[[#This Row],[AccumulatedAC]]</f>
        <v>0</v>
      </c>
      <c r="DT23" s="58" t="str">
        <f>IFERROR(Table_SiteMilestoneTrackingSummary[[#This Row],[AccumulatedEV]]/Table_SiteMilestoneTrackingSummary[[#This Row],[AccumulatedPV]],"/")</f>
        <v>/</v>
      </c>
      <c r="DU23" s="101" t="str">
        <f>IFERROR(Table_SiteMilestoneTrackingSummary[[#This Row],[AccumulatedEV]]/Table_SiteMilestoneTrackingSummary[[#This Row],[AccumulatedAC]],"/")</f>
        <v>/</v>
      </c>
    </row>
    <row r="24" spans="1:125" outlineLevel="1" x14ac:dyDescent="0.3">
      <c r="A24" s="79">
        <v>2020</v>
      </c>
      <c r="B24" s="79">
        <v>21</v>
      </c>
      <c r="C24" s="95">
        <f>DATE(Table_SiteMilestoneTrackingSummary[[#This Row],[Year]],1,-2)-WEEKDAY(DATE(Table_SiteMilestoneTrackingSummary[[#This Row],[Year]],1,3))+Table_SiteMilestoneTrackingSummary[[#This Row],[Week]]*7</f>
        <v>43969</v>
      </c>
      <c r="D24" s="95">
        <f>Table_SiteMilestoneTrackingSummary[[#This Row],[StartDate]]+6</f>
        <v>43975</v>
      </c>
      <c r="E24" s="100">
        <f>COUNTIFS(Table_SiteMilestoneTracking[SiteDesignStarted_BL],"&gt;="&amp;Table_SiteMilestoneTrackingSummary[[#This Row],[StartDate]:[StartDate]],Table_SiteMilestoneTracking[SiteDesignStarted_BL],"&lt;"&amp;Table_SiteMilestoneTrackingSummary[[#This Row],[EndDate]:[EndDate]]+1)</f>
        <v>0</v>
      </c>
      <c r="F24" s="100">
        <f>F23+Table_SiteMilestoneTrackingSummary[[#This Row],[SiteDesignStarted_BL]]</f>
        <v>0</v>
      </c>
      <c r="G24" s="100">
        <f>COUNTIFS(Table_SiteMilestoneTracking[SiteDesignStarted_AC],"&gt;="&amp;Table_SiteMilestoneTrackingSummary[[#This Row],[StartDate]:[StartDate]],Table_SiteMilestoneTracking[SiteDesignStarted_AC],"&lt;"&amp;Table_SiteMilestoneTrackingSummary[[#This Row],[EndDate]:[EndDate]]+1)</f>
        <v>0</v>
      </c>
      <c r="H24" s="100">
        <f>H23+Table_SiteMilestoneTrackingSummary[[#This Row],[SiteDesignStarted_AC]]</f>
        <v>0</v>
      </c>
      <c r="I24" s="100">
        <f>Table_SiteMilestoneTrackingSummary[[#This Row],[SiteDesignReady_AC]]*$I$2</f>
        <v>0</v>
      </c>
      <c r="J24" s="100">
        <f>J23+Table_SiteMilestoneTrackingSummary[[#This Row],[c0_SiteDesignEV]]</f>
        <v>0</v>
      </c>
      <c r="K24" s="97">
        <f>SUMIFS(Table_SiteMilestoneTracking[c0_SiteDesignCostBL],
Table_SiteMilestoneTracking[SiteDesignReady_BL],"&gt;="&amp;Table_SiteMilestoneTrackingSummary[[#This Row],[StartDate]:[StartDate]],
Table_SiteMilestoneTracking[SiteDesignReady_BL],"&lt;"&amp;Table_SiteMilestoneTrackingSummary[[#This Row],[EndDate]:[EndDate]]+1)</f>
        <v>0</v>
      </c>
      <c r="L24" s="59">
        <f>L23+Table_SiteMilestoneTrackingSummary[[#This Row],[c0_SiteDesignCostBL]]</f>
        <v>0</v>
      </c>
      <c r="M24" s="97">
        <f>SUMIFS(Table_SiteMilestoneTracking[c0_SiteDesignCostAC],
Table_SiteMilestoneTracking[SiteDesignReady_AC],"&gt;="&amp;Table_SiteMilestoneTrackingSummary[[#This Row],[StartDate]:[StartDate]],
Table_SiteMilestoneTracking[SiteDesignReady_AC],"&lt;"&amp;Table_SiteMilestoneTrackingSummary[[#This Row],[EndDate]:[EndDate]]+1)</f>
        <v>0</v>
      </c>
      <c r="N24" s="59">
        <f>N23+Table_SiteMilestoneTrackingSummary[[#This Row],[c0_SiteDesignCostAC]]</f>
        <v>0</v>
      </c>
      <c r="O24" s="96">
        <f>COUNTIFS(Table_SiteMilestoneTracking[SiteDesignReady_BL],"&gt;="&amp;Table_SiteMilestoneTrackingSummary[[#This Row],[StartDate]:[StartDate]],
Table_SiteMilestoneTracking[SiteDesignReady_BL],"&lt;"&amp;Table_SiteMilestoneTrackingSummary[[#This Row],[EndDate]:[EndDate]]+1)</f>
        <v>0</v>
      </c>
      <c r="P24" s="100">
        <f>P23+Table_SiteMilestoneTrackingSummary[[#This Row],[SiteDesignReady_BL]]</f>
        <v>0</v>
      </c>
      <c r="Q24" s="100">
        <f>COUNTIFS(Table_SiteMilestoneTracking[SiteDesignReady_AC],"&gt;="&amp;Table_SiteMilestoneTrackingSummary[[#This Row],[StartDate]:[StartDate]],Table_SiteMilestoneTracking[SiteDesignReady_AC],"&lt;"&amp;Table_SiteMilestoneTrackingSummary[[#This Row],[EndDate]:[EndDate]]+1)</f>
        <v>0</v>
      </c>
      <c r="R24" s="100">
        <f>R23+Table_SiteMilestoneTrackingSummary[[#This Row],[SiteDesignReady_AC]]</f>
        <v>0</v>
      </c>
      <c r="S24" s="100">
        <f>Table_SiteMilestoneTrackingSummary[[#This Row],[ReadyForCW_AC]]*$S$2</f>
        <v>0</v>
      </c>
      <c r="T24" s="100">
        <f>T23+Table_SiteMilestoneTrackingSummary[[#This Row],[c1_SiteSurveyEV]]</f>
        <v>0</v>
      </c>
      <c r="U24" s="96">
        <f>SUMIFS(Table_SiteMilestoneTracking[c1_SiteSurveyCostBL],
Table_SiteMilestoneTracking[SiteSurveyCompleted_BL],"&gt;="&amp;Table_SiteMilestoneTrackingSummary[[#This Row],[StartDate]:[StartDate]],
Table_SiteMilestoneTracking[SiteSurveyCompleted_BL],"&lt;"&amp;Table_SiteMilestoneTrackingSummary[[#This Row],[EndDate]:[EndDate]]+1)</f>
        <v>0</v>
      </c>
      <c r="V24" s="100">
        <f>V23+Table_SiteMilestoneTrackingSummary[[#This Row],[c1_SiteSurveyCostBL]]</f>
        <v>0</v>
      </c>
      <c r="W24" s="96">
        <f>SUMIFS(Table_SiteMilestoneTracking[c1_SiteSurveyCostAC],
Table_SiteMilestoneTracking[SiteSurveyCompleted_AC],"&gt;="&amp;Table_SiteMilestoneTrackingSummary[[#This Row],[StartDate]:[StartDate]],
Table_SiteMilestoneTracking[SiteSurveyCompleted_AC],"&lt;"&amp;Table_SiteMilestoneTrackingSummary[[#This Row],[EndDate]:[EndDate]]+1)</f>
        <v>0</v>
      </c>
      <c r="X24" s="100">
        <f>X23+Table_SiteMilestoneTrackingSummary[[#This Row],[c1_SiteSurveyCostAC]]</f>
        <v>0</v>
      </c>
      <c r="Y24" s="96">
        <f>COUNTIFS(Table_SiteMilestoneTracking[SiteSurveyCompleted_BL],"&gt;="&amp;Table_SiteMilestoneTrackingSummary[[#This Row],[StartDate]:[StartDate]],
Table_SiteMilestoneTracking[SiteSurveyCompleted_BL],"&lt;"&amp;Table_SiteMilestoneTrackingSummary[[#This Row],[EndDate]:[EndDate]]+1)</f>
        <v>0</v>
      </c>
      <c r="Z24" s="100">
        <f>Z23+Table_SiteMilestoneTrackingSummary[[#This Row],[SiteSurveyCompleted_BL]]</f>
        <v>0</v>
      </c>
      <c r="AA24" s="96">
        <f>COUNTIFS(Table_SiteMilestoneTracking[SiteSurveyCompleted_AC],"&gt;="&amp;Table_SiteMilestoneTrackingSummary[[#This Row],[StartDate]:[StartDate]],
Table_SiteMilestoneTracking[SiteSurveyCompleted_AC],"&lt;"&amp;Table_SiteMilestoneTrackingSummary[[#This Row],[EndDate]:[EndDate]]+1)</f>
        <v>0</v>
      </c>
      <c r="AB24" s="100">
        <f>AB23+Table_SiteMilestoneTrackingSummary[[#This Row],[SiteSurveyCompleted_AC]]</f>
        <v>0</v>
      </c>
      <c r="AC24" s="100">
        <f>$AC$2*Table_SiteMilestoneTrackingSummary[[#This Row],[SiteAcquired_AC]]</f>
        <v>0</v>
      </c>
      <c r="AD24" s="100">
        <f>AD23+Table_SiteMilestoneTrackingSummary[[#This Row],[c2_SiteAcquisitionEV]]</f>
        <v>0</v>
      </c>
      <c r="AE24" s="96">
        <f>SUMIFS(Table_SiteMilestoneTracking[c2_SiteAcquisitionCostBL],
Table_SiteMilestoneTracking[SiteAcquired_BL],"&gt;="&amp;Table_SiteMilestoneTrackingSummary[[#This Row],[StartDate]:[StartDate]],
Table_SiteMilestoneTracking[SiteAcquired_BL],"&lt;"&amp;Table_SiteMilestoneTrackingSummary[[#This Row],[EndDate]:[EndDate]]+1)</f>
        <v>0</v>
      </c>
      <c r="AF24" s="100">
        <f>AF23+Table_SiteMilestoneTrackingSummary[[#This Row],[c2_SiteAcquisitionCostBL]]</f>
        <v>0</v>
      </c>
      <c r="AG24" s="96">
        <f>SUMIFS(Table_SiteMilestoneTracking[c2_SiteAcquisitionCostAC],
Table_SiteMilestoneTracking[SiteAcquired_AC],"&gt;="&amp;Table_SiteMilestoneTrackingSummary[[#This Row],[StartDate]:[StartDate]],
Table_SiteMilestoneTracking[SiteAcquired_AC],"&lt;"&amp;Table_SiteMilestoneTrackingSummary[[#This Row],[EndDate]:[EndDate]]+1)</f>
        <v>0</v>
      </c>
      <c r="AH24" s="100">
        <f>AH23+Table_SiteMilestoneTrackingSummary[[#This Row],[c2_SiteAcquisitionCostAC]]</f>
        <v>0</v>
      </c>
      <c r="AI24" s="96">
        <f>COUNTIFS(Table_SiteMilestoneTracking[SiteAcquired_BL],"&gt;="&amp;Table_SiteMilestoneTrackingSummary[[#This Row],[StartDate]:[StartDate]],
Table_SiteMilestoneTracking[SiteAcquired_BL],"&lt;"&amp;Table_SiteMilestoneTrackingSummary[[#This Row],[EndDate]:[EndDate]]+1)</f>
        <v>0</v>
      </c>
      <c r="AJ24" s="100">
        <f>AJ23+Table_SiteMilestoneTrackingSummary[[#This Row],[SiteAcquired_BL]]</f>
        <v>0</v>
      </c>
      <c r="AK24" s="96">
        <f>COUNTIFS(Table_SiteMilestoneTracking[SiteAcquired_AC],"&gt;="&amp;Table_SiteMilestoneTrackingSummary[[#This Row],[StartDate]:[StartDate]],
Table_SiteMilestoneTracking[SiteAcquired_AC],"&lt;"&amp;Table_SiteMilestoneTrackingSummary[[#This Row],[EndDate]:[EndDate]]+1)</f>
        <v>0</v>
      </c>
      <c r="AL24" s="100">
        <f>AL23+Table_SiteMilestoneTrackingSummary[[#This Row],[SiteAcquired_AC]]</f>
        <v>0</v>
      </c>
      <c r="AM24" s="100">
        <f>Table_SiteMilestoneTrackingSummary[[#This Row],[ReadyForCW_AC]]*$AM$2</f>
        <v>0</v>
      </c>
      <c r="AN24" s="100">
        <f>AN23+Table_SiteMilestoneTrackingSummary[[#This Row],[c2a_SiteCWReadinessEV]]</f>
        <v>0</v>
      </c>
      <c r="AO24" s="96">
        <f>SUMIFS(Table_SiteMilestoneTracking[c2a_SiteCWReadinessCost_BL],
Table_SiteMilestoneTracking[SiteReadyForCW_BL],"&gt;="&amp;Table_SiteMilestoneTrackingSummary[[#This Row],[StartDate]:[StartDate]],
Table_SiteMilestoneTracking[SiteReadyForCW_BL],"&lt;"&amp;Table_SiteMilestoneTrackingSummary[[#This Row],[EndDate]:[EndDate]]+1)</f>
        <v>0</v>
      </c>
      <c r="AP24" s="100">
        <f>AP23+Table_SiteMilestoneTrackingSummary[[#This Row],[c2a_SiteCWReadinessCostBL]]</f>
        <v>0</v>
      </c>
      <c r="AQ24" s="96">
        <f>SUMIFS(Table_SiteMilestoneTracking[c2a_SiteCWReadinessCost_AC],
Table_SiteMilestoneTracking[SiteReadyForCW_AC],"&gt;="&amp;Table_SiteMilestoneTrackingSummary[[#This Row],[StartDate]:[StartDate]],
Table_SiteMilestoneTracking[SiteReadyForCW_AC],"&lt;"&amp;Table_SiteMilestoneTrackingSummary[[#This Row],[EndDate]:[EndDate]]+1)</f>
        <v>0</v>
      </c>
      <c r="AR24" s="100">
        <f>AR23+Table_SiteMilestoneTrackingSummary[[#This Row],[c2a_SiteCWReadinessCostAC]]</f>
        <v>0</v>
      </c>
      <c r="AS24" s="96">
        <f>COUNTIFS(Table_SiteMilestoneTracking[SiteReadyForCW_BL],"&gt;="&amp;Table_SiteMilestoneTrackingSummary[[#This Row],[StartDate]:[StartDate]],
Table_SiteMilestoneTracking[SiteReadyForCW_BL],"&lt;"&amp;Table_SiteMilestoneTrackingSummary[[#This Row],[EndDate]:[EndDate]]+1)</f>
        <v>0</v>
      </c>
      <c r="AT24" s="100">
        <f>AT23+Table_SiteMilestoneTrackingSummary[[#This Row],[ReadyForCW_BL]]</f>
        <v>0</v>
      </c>
      <c r="AU24" s="96">
        <f>COUNTIFS(Table_SiteMilestoneTracking[SiteReadyForCW_AC],"&gt;="&amp;Table_SiteMilestoneTrackingSummary[[#This Row],[StartDate]:[StartDate]],
Table_SiteMilestoneTracking[SiteReadyForCW_AC],"&lt;"&amp;Table_SiteMilestoneTrackingSummary[[#This Row],[EndDate]:[EndDate]]+1)</f>
        <v>0</v>
      </c>
      <c r="AV24" s="100">
        <f>AV23+Table_SiteMilestoneTrackingSummary[[#This Row],[ReadyForCW_AC]]</f>
        <v>0</v>
      </c>
      <c r="AW24" s="100">
        <f>$AW$2*Table_SiteMilestoneTrackingSummary[[#This Row],[ReadyForPower_AC]]</f>
        <v>0</v>
      </c>
      <c r="AX24" s="100">
        <f>AX23+Table_SiteMilestoneTrackingSummary[[#This Row],[c3_CivilWorksEV]]</f>
        <v>0</v>
      </c>
      <c r="AY24" s="96">
        <f>SUMIFS(Table_SiteMilestoneTracking[c3_CivilWorksCostBL],
Table_SiteMilestoneTracking[SiteReadyForPower_BL],"&gt;="&amp;Table_SiteMilestoneTrackingSummary[[#This Row],[StartDate]:[StartDate]],
Table_SiteMilestoneTracking[SiteReadyForPower_BL],"&lt;"&amp;Table_SiteMilestoneTrackingSummary[[#This Row],[EndDate]:[EndDate]]+1)</f>
        <v>0</v>
      </c>
      <c r="AZ24" s="100">
        <f>AZ23+Table_SiteMilestoneTrackingSummary[[#This Row],[c3_CivilWorksCostBL]]</f>
        <v>0</v>
      </c>
      <c r="BA24" s="96">
        <f>SUMIFS(Table_SiteMilestoneTracking[c3_CivilWorksCostAC],
Table_SiteMilestoneTracking[SiteReadyForPower_AC],"&gt;="&amp;Table_SiteMilestoneTrackingSummary[[#This Row],[StartDate]:[StartDate]],
Table_SiteMilestoneTracking[SiteReadyForPower_AC],"&lt;"&amp;Table_SiteMilestoneTrackingSummary[[#This Row],[EndDate]:[EndDate]]+1)</f>
        <v>0</v>
      </c>
      <c r="BB24" s="100">
        <f>BB23+Table_SiteMilestoneTrackingSummary[[#This Row],[c3_CivilWorksCostAC]]</f>
        <v>0</v>
      </c>
      <c r="BC24" s="96">
        <f>COUNTIFS(Table_SiteMilestoneTracking[SiteReadyForPower_BL],"&gt;="&amp;Table_SiteMilestoneTrackingSummary[[#This Row],[StartDate]:[StartDate]],
Table_SiteMilestoneTracking[SiteReadyForPower_BL],"&lt;"&amp;Table_SiteMilestoneTrackingSummary[[#This Row],[EndDate]:[EndDate]]+1)</f>
        <v>0</v>
      </c>
      <c r="BD24" s="100">
        <f>BD23+Table_SiteMilestoneTrackingSummary[[#This Row],[ReadyForPower_BL]]</f>
        <v>0</v>
      </c>
      <c r="BE24" s="96">
        <f>COUNTIFS(Table_SiteMilestoneTracking[SiteReadyForPower_AC],"&gt;="&amp;Table_SiteMilestoneTrackingSummary[[#This Row],[StartDate]:[StartDate]],
Table_SiteMilestoneTracking[SiteReadyForPower_AC],"&lt;"&amp;Table_SiteMilestoneTrackingSummary[[#This Row],[EndDate]:[EndDate]]+1)</f>
        <v>0</v>
      </c>
      <c r="BF24" s="100">
        <f>BF23+Table_SiteMilestoneTrackingSummary[[#This Row],[ReadyForPower_AC]]</f>
        <v>0</v>
      </c>
      <c r="BG24" s="100">
        <f>$BG$2*Table_SiteMilestoneTrackingSummary[[#This Row],[TXReady_AC]]</f>
        <v>0</v>
      </c>
      <c r="BH24" s="100">
        <f>BH23+Table_SiteMilestoneTrackingSummary[[#This Row],[c4_PowerInstallEV]]</f>
        <v>0</v>
      </c>
      <c r="BI24" s="96">
        <f>SUMIFS(Table_SiteMilestoneTracking[c4_PowerInstallCostBL],
Table_SiteMilestoneTracking[TXReady_BL],"&gt;="&amp;Table_SiteMilestoneTrackingSummary[[#This Row],[StartDate]:[StartDate]],
Table_SiteMilestoneTracking[TXReady_BL],"&lt;"&amp;Table_SiteMilestoneTrackingSummary[[#This Row],[EndDate]:[EndDate]]+1)</f>
        <v>0</v>
      </c>
      <c r="BJ24" s="100">
        <f>BJ23+Table_SiteMilestoneTrackingSummary[[#This Row],[c4_PowerInstallCostBL]]</f>
        <v>0</v>
      </c>
      <c r="BK24" s="96">
        <f>SUMIFS(Table_SiteMilestoneTracking[c4_PowerInstallCostAC],
Table_SiteMilestoneTracking[TXReady_AC],"&gt;="&amp;Table_SiteMilestoneTrackingSummary[[#This Row],[StartDate]:[StartDate]],
Table_SiteMilestoneTracking[TXReady_AC],"&lt;"&amp;Table_SiteMilestoneTrackingSummary[[#This Row],[EndDate]:[EndDate]]+1)</f>
        <v>0</v>
      </c>
      <c r="BL24" s="100">
        <f>BL23+Table_SiteMilestoneTrackingSummary[[#This Row],[c4_PowerInstallCostAC]]</f>
        <v>0</v>
      </c>
      <c r="BM24" s="96">
        <f>COUNTIFS(Table_SiteMilestoneTracking[TXReady_BL],"&gt;="&amp;Table_SiteMilestoneTrackingSummary[[#This Row],[StartDate]:[StartDate]],
Table_SiteMilestoneTracking[TXReady_BL],"&lt;"&amp;Table_SiteMilestoneTrackingSummary[[#This Row],[EndDate]:[EndDate]]+1)</f>
        <v>0</v>
      </c>
      <c r="BN24" s="100">
        <f>BN23+Table_SiteMilestoneTrackingSummary[[#This Row],[TXReady_BL]]</f>
        <v>0</v>
      </c>
      <c r="BO24" s="100">
        <f>COUNTIFS(Table_SiteMilestoneTracking[TXReady_AC],"&gt;="&amp;Table_SiteMilestoneTrackingSummary[[#This Row],[StartDate]:[StartDate]],Table_SiteMilestoneTracking[TXReady_AC],"&lt;"&amp;Table_SiteMilestoneTrackingSummary[[#This Row],[EndDate]:[EndDate]]+1)</f>
        <v>0</v>
      </c>
      <c r="BP24" s="100">
        <f>BP23+Table_SiteMilestoneTrackingSummary[[#This Row],[TXReady_AC]]</f>
        <v>0</v>
      </c>
      <c r="BQ24" s="100">
        <f>$BQ$2*Table_SiteMilestoneTrackingSummary[[#This Row],[ReadyForInstallation_AC]]</f>
        <v>0</v>
      </c>
      <c r="BR24" s="100">
        <f>BR23+Table_SiteMilestoneTrackingSummary[[#This Row],[c5_TxIntegrationEV]]</f>
        <v>0</v>
      </c>
      <c r="BS24" s="96">
        <f>SUMIFS(Table_SiteMilestoneTracking[c5_TxintegrationCostBL],
Table_SiteMilestoneTracking[SiteReadyForInstallation_BL],"&gt;="&amp;Table_SiteMilestoneTrackingSummary[[#This Row],[StartDate]:[StartDate]],
Table_SiteMilestoneTracking[SiteReadyForInstallation_BL],"&lt;"&amp;Table_SiteMilestoneTrackingSummary[[#This Row],[EndDate]:[EndDate]]+1)</f>
        <v>0</v>
      </c>
      <c r="BT24" s="100">
        <f>BT23+Table_SiteMilestoneTrackingSummary[[#This Row],[c5_TxIntegrationCostBL]]</f>
        <v>0</v>
      </c>
      <c r="BU24" s="96">
        <f>SUMIFS(Table_SiteMilestoneTracking[c5_TxintegrationCostAC],
Table_SiteMilestoneTracking[SiteReadyForInstallation_AC],"&gt;="&amp;Table_SiteMilestoneTrackingSummary[[#This Row],[StartDate]:[StartDate]],
Table_SiteMilestoneTracking[SiteReadyForInstallation_AC],"&lt;"&amp;Table_SiteMilestoneTrackingSummary[[#This Row],[EndDate]:[EndDate]]+1)</f>
        <v>0</v>
      </c>
      <c r="BV24" s="100">
        <f>BV23+Table_SiteMilestoneTrackingSummary[[#This Row],[c5_TxIntegrationCostAC]]</f>
        <v>0</v>
      </c>
      <c r="BW24" s="96">
        <f>COUNTIFS(Table_SiteMilestoneTracking[SiteReadyForInstallation_BL],"&gt;="&amp;Table_SiteMilestoneTrackingSummary[[#This Row],[StartDate]:[StartDate]],
Table_SiteMilestoneTracking[SiteReadyForInstallation_BL],"&lt;"&amp;Table_SiteMilestoneTrackingSummary[[#This Row],[EndDate]:[EndDate]]+1)</f>
        <v>0</v>
      </c>
      <c r="BX24" s="100">
        <f>BX23+Table_SiteMilestoneTrackingSummary[[#This Row],[ReadyForInstallation_BL]]</f>
        <v>0</v>
      </c>
      <c r="BY24" s="96">
        <f>COUNTIFS(Table_SiteMilestoneTracking[SiteReadyForInstallation_AC],"&gt;="&amp;Table_SiteMilestoneTrackingSummary[[#This Row],[StartDate]:[StartDate]],
Table_SiteMilestoneTracking[SiteReadyForInstallation_AC],"&lt;"&amp;Table_SiteMilestoneTrackingSummary[[#This Row],[EndDate]:[EndDate]]+1)</f>
        <v>0</v>
      </c>
      <c r="BZ24" s="100">
        <f>BZ23+Table_SiteMilestoneTrackingSummary[[#This Row],[ReadyForInstallation_AC]]</f>
        <v>0</v>
      </c>
      <c r="CA24" s="100">
        <f>$CA$2*Table_SiteMilestoneTrackingSummary[[#This Row],[ReadyForIntegration_AC]]</f>
        <v>0</v>
      </c>
      <c r="CB24" s="100">
        <f>CB23+Table_SiteMilestoneTrackingSummary[[#This Row],[c6_InstallationEV]]</f>
        <v>0</v>
      </c>
      <c r="CC24" s="96">
        <f>SUMIFS(Table_SiteMilestoneTracking[c6_InstallationCostBL],
Table_SiteMilestoneTracking[SiteReadyForIntegration_BL],"&gt;="&amp;Table_SiteMilestoneTrackingSummary[[#This Row],[StartDate]:[StartDate]],
Table_SiteMilestoneTracking[SiteReadyForIntegration_BL],"&lt;"&amp;Table_SiteMilestoneTrackingSummary[[#This Row],[EndDate]:[EndDate]]+1)</f>
        <v>0</v>
      </c>
      <c r="CD24" s="100">
        <f>CD23+Table_SiteMilestoneTrackingSummary[[#This Row],[c6_InstallationCostBL]]</f>
        <v>0</v>
      </c>
      <c r="CE24" s="96">
        <f>SUMIFS(Table_SiteMilestoneTracking[c6_InstallationCostAC],
Table_SiteMilestoneTracking[SiteReadyForIntegration_AC],"&gt;="&amp;Table_SiteMilestoneTrackingSummary[[#This Row],[StartDate]:[StartDate]],
Table_SiteMilestoneTracking[SiteReadyForIntegration_AC],"&lt;"&amp;Table_SiteMilestoneTrackingSummary[[#This Row],[EndDate]:[EndDate]]+1)</f>
        <v>0</v>
      </c>
      <c r="CF24" s="100">
        <f>CF23+Table_SiteMilestoneTrackingSummary[[#This Row],[c6_InstallationCostAC]]</f>
        <v>0</v>
      </c>
      <c r="CG24" s="96">
        <f>COUNTIFS(Table_SiteMilestoneTracking[SiteReadyForIntegration_BL],"&gt;="&amp;Table_SiteMilestoneTrackingSummary[[#This Row],[StartDate]:[StartDate]],
Table_SiteMilestoneTracking[SiteReadyForIntegration_BL],"&lt;"&amp;Table_SiteMilestoneTrackingSummary[[#This Row],[EndDate]:[EndDate]]+1)</f>
        <v>0</v>
      </c>
      <c r="CH24" s="100">
        <f>CH23+Table_SiteMilestoneTrackingSummary[[#This Row],[ReadyForIntegration_BL]]</f>
        <v>0</v>
      </c>
      <c r="CI24" s="96">
        <f>COUNTIFS(Table_SiteMilestoneTracking[SiteReadyForIntegration_AC],"&gt;="&amp;Table_SiteMilestoneTrackingSummary[[#This Row],[StartDate]:[StartDate]],
Table_SiteMilestoneTracking[SiteReadyForIntegration_AC],"&lt;"&amp;Table_SiteMilestoneTrackingSummary[[#This Row],[EndDate]:[EndDate]]+1)</f>
        <v>0</v>
      </c>
      <c r="CJ24" s="100">
        <f>CJ23+Table_SiteMilestoneTrackingSummary[[#This Row],[ReadyForIntegration_AC]]</f>
        <v>0</v>
      </c>
      <c r="CK24" s="100">
        <f>$CK$2*Table_SiteMilestoneTrackingSummary[[#This Row],[SiteOnAir_AC]]</f>
        <v>0</v>
      </c>
      <c r="CL24" s="100">
        <f>CL23+Table_SiteMilestoneTrackingSummary[[#This Row],[c7_IntegrationEV]]</f>
        <v>0</v>
      </c>
      <c r="CM24" s="96">
        <f>SUMIFS(Table_SiteMilestoneTracking[c7_IntegrationCostBL],
Table_SiteMilestoneTracking[SiteOnAir_BL],"&gt;="&amp;Table_SiteMilestoneTrackingSummary[[#This Row],[StartDate]:[StartDate]],
Table_SiteMilestoneTracking[SiteOnAir_BL],"&lt;"&amp;Table_SiteMilestoneTrackingSummary[[#This Row],[EndDate]:[EndDate]]+1)</f>
        <v>0</v>
      </c>
      <c r="CN24" s="100">
        <f>CN23+Table_SiteMilestoneTrackingSummary[[#This Row],[c7_IntegrationCostBL]]</f>
        <v>0</v>
      </c>
      <c r="CO24" s="96">
        <f>SUMIFS(Table_SiteMilestoneTracking[c7_IntegrationCostAC],
Table_SiteMilestoneTracking[SiteOnAir_AC],"&gt;="&amp;Table_SiteMilestoneTrackingSummary[[#This Row],[StartDate]:[StartDate]],
Table_SiteMilestoneTracking[SiteOnAir_AC],"&lt;"&amp;Table_SiteMilestoneTrackingSummary[[#This Row],[EndDate]:[EndDate]]+1)</f>
        <v>0</v>
      </c>
      <c r="CP24" s="100">
        <f>CP23+Table_SiteMilestoneTrackingSummary[[#This Row],[c7_IntegrationCostAC]]</f>
        <v>0</v>
      </c>
      <c r="CQ24" s="96">
        <f>COUNTIFS(Table_SiteMilestoneTracking[SiteOnAir_BL],"&gt;="&amp;Table_SiteMilestoneTrackingSummary[[#This Row],[StartDate]:[StartDate]],
Table_SiteMilestoneTracking[SiteOnAir_BL],"&lt;"&amp;Table_SiteMilestoneTrackingSummary[[#This Row],[EndDate]:[EndDate]]+1)</f>
        <v>0</v>
      </c>
      <c r="CR24" s="100">
        <f>CR23+Table_SiteMilestoneTrackingSummary[[#This Row],[SiteOnAir_BL]]</f>
        <v>0</v>
      </c>
      <c r="CS24" s="96">
        <f>COUNTIFS(Table_SiteMilestoneTracking[SiteOnAir_AC],"&gt;="&amp;Table_SiteMilestoneTrackingSummary[[#This Row],[StartDate]:[StartDate]],
Table_SiteMilestoneTracking[SiteOnAir_AC],"&lt;"&amp;Table_SiteMilestoneTrackingSummary[[#This Row],[EndDate]:[EndDate]]+1)</f>
        <v>0</v>
      </c>
      <c r="CT24" s="100">
        <f>CT23+Table_SiteMilestoneTrackingSummary[[#This Row],[SiteOnAir_AC]]</f>
        <v>0</v>
      </c>
      <c r="CU24" s="100">
        <f>$CU$2*Table_SiteMilestoneTrackingSummary[[#This Row],[SiteAccepted_AC]]</f>
        <v>0</v>
      </c>
      <c r="CV24" s="100">
        <f>CV23+Table_SiteMilestoneTrackingSummary[[#This Row],[c8_AcceptanceEV]]</f>
        <v>0</v>
      </c>
      <c r="CW24" s="96">
        <f>SUMIFS(Table_SiteMilestoneTracking[c8_AcceptanceCostBL],
Table_SiteMilestoneTracking[SiteAccepted_BL],"&gt;="&amp;Table_SiteMilestoneTrackingSummary[[#This Row],[StartDate]:[StartDate]],
Table_SiteMilestoneTracking[SiteAccepted_BL],"&lt;"&amp;Table_SiteMilestoneTrackingSummary[[#This Row],[EndDate]:[EndDate]]+1)</f>
        <v>0</v>
      </c>
      <c r="CX24" s="100">
        <f>CX23+Table_SiteMilestoneTrackingSummary[[#This Row],[c8_AcceptanceCostBL]]</f>
        <v>0</v>
      </c>
      <c r="CY24" s="96">
        <f>SUMIFS(Table_SiteMilestoneTracking[c8_AcceptanceCostAC],
Table_SiteMilestoneTracking[SiteAccepted_AC],"&gt;="&amp;Table_SiteMilestoneTrackingSummary[[#This Row],[StartDate]:[StartDate]],
Table_SiteMilestoneTracking[SiteAccepted_AC],"&lt;"&amp;Table_SiteMilestoneTrackingSummary[[#This Row],[EndDate]:[EndDate]]+1)</f>
        <v>0</v>
      </c>
      <c r="CZ24" s="100">
        <f>CZ23+Table_SiteMilestoneTrackingSummary[[#This Row],[c8_AcceptanceCostAC]]</f>
        <v>0</v>
      </c>
      <c r="DA24" s="96">
        <f>COUNTIFS(Table_SiteMilestoneTracking[SiteAccepted_BL],"&gt;="&amp;Table_SiteMilestoneTrackingSummary[[#This Row],[StartDate]:[StartDate]],
Table_SiteMilestoneTracking[SiteAccepted_BL],"&lt;"&amp;Table_SiteMilestoneTrackingSummary[[#This Row],[EndDate]:[EndDate]]+1)</f>
        <v>0</v>
      </c>
      <c r="DB24" s="100">
        <f>DB23+Table_SiteMilestoneTrackingSummary[[#This Row],[SiteAccepted_BL]]</f>
        <v>0</v>
      </c>
      <c r="DC24" s="96">
        <f>COUNTIFS(Table_SiteMilestoneTracking[SiteAccepted_AC],"&gt;="&amp;Table_SiteMilestoneTrackingSummary[[#This Row],[StartDate]:[StartDate]],
Table_SiteMilestoneTracking[SiteAccepted_AC],"&lt;"&amp;Table_SiteMilestoneTrackingSummary[[#This Row],[EndDate]:[EndDate]]+1)</f>
        <v>0</v>
      </c>
      <c r="DD24" s="100">
        <f>DD23+Table_SiteMilestoneTrackingSummary[[#This Row],[SiteAccepted_AC]]</f>
        <v>0</v>
      </c>
      <c r="DE24" s="100">
        <f>$DE$2*Table_SiteMilestoneTrackingSummary[[#This Row],[SiteInOperations_AC]]</f>
        <v>0</v>
      </c>
      <c r="DF24" s="100">
        <f>DF23+Table_SiteMilestoneTrackingSummary[[#This Row],[c9_HandoverEV]]</f>
        <v>0</v>
      </c>
      <c r="DG24" s="96">
        <f>SUMIFS(Table_SiteMilestoneTracking[c9_HandoverCostBL],
Table_SiteMilestoneTracking[SiteInOperations_BL],"&gt;="&amp;Table_SiteMilestoneTrackingSummary[[#This Row],[StartDate]:[StartDate]],
Table_SiteMilestoneTracking[SiteInOperations_BL],"&lt;"&amp;Table_SiteMilestoneTrackingSummary[[#This Row],[EndDate]:[EndDate]]+1)</f>
        <v>0</v>
      </c>
      <c r="DH24" s="100">
        <f>DH23+Table_SiteMilestoneTrackingSummary[[#This Row],[c9_HandoverCostBL2]]</f>
        <v>0</v>
      </c>
      <c r="DI24" s="96">
        <f>SUMIFS(Table_SiteMilestoneTracking[c9_HandoverCostAC],
Table_SiteMilestoneTracking[SiteInOperations_AC],"&gt;="&amp;Table_SiteMilestoneTrackingSummary[[#This Row],[StartDate]:[StartDate]],
Table_SiteMilestoneTracking[SiteInOperations_AC],"&lt;"&amp;Table_SiteMilestoneTrackingSummary[[#This Row],[EndDate]:[EndDate]]+1)</f>
        <v>0</v>
      </c>
      <c r="DJ24" s="100">
        <f>DJ23+Table_SiteMilestoneTrackingSummary[[#This Row],[c9_HandoverCostAC]]</f>
        <v>0</v>
      </c>
      <c r="DK24" s="96">
        <f>COUNTIFS(Table_SiteMilestoneTracking[SiteInOperations_BL],"&gt;="&amp;Table_SiteMilestoneTrackingSummary[[#This Row],[StartDate]:[StartDate]],
Table_SiteMilestoneTracking[SiteInOperations_BL],"&lt;"&amp;Table_SiteMilestoneTrackingSummary[[#This Row],[EndDate]:[EndDate]]+1)</f>
        <v>0</v>
      </c>
      <c r="DL24" s="100">
        <f>DL23+Table_SiteMilestoneTrackingSummary[[#This Row],[SiteInOperations_BL]]</f>
        <v>0</v>
      </c>
      <c r="DM24" s="96">
        <f>COUNTIFS(Table_SiteMilestoneTracking[SiteInOperations_AC],"&gt;="&amp;Table_SiteMilestoneTrackingSummary[[#This Row],[StartDate]:[StartDate]],
Table_SiteMilestoneTracking[SiteInOperations_AC],"&lt;"&amp;Table_SiteMilestoneTrackingSummary[[#This Row],[EndDate]:[EndDate]]+1)</f>
        <v>0</v>
      </c>
      <c r="DN24" s="100">
        <f>DN23+Table_SiteMilestoneTrackingSummary[[#This Row],[SiteInOperations_AC]]</f>
        <v>0</v>
      </c>
      <c r="DO24" s="59">
        <f>Table_SiteMilestoneTrackingSummary[[#This Row],[c0_SiteDesignEV(SUM)]]+Table_SiteMilestoneTrackingSummary[[#This Row],[c1_SiteSurveyEV(SUM)]]+Table_SiteMilestoneTrackingSummary[[#This Row],[c2_SiteAcquisitionEV(SUM)]]+Table_SiteMilestoneTrackingSummary[[#This Row],[c2a_SiteCWReadinessEV(SUM)]]+Table_SiteMilestoneTrackingSummary[[#This Row],[c3_CivilWorksEV(SUM)]]+Table_SiteMilestoneTrackingSummary[[#This Row],[c4_PowerInstallEV(SUM)]]+Table_SiteMilestoneTrackingSummary[[#This Row],[c5_TxIntegrationEV(SUM)]]+Table_SiteMilestoneTrackingSummary[[#This Row],[c6_InstallationEV(SUM)]]+Table_SiteMilestoneTrackingSummary[[#This Row],[c7_IntegrationEV(SUM)]]+Table_SiteMilestoneTrackingSummary[[#This Row],[c8_AcceptanceEV(SUM)]]+Table_SiteMilestoneTrackingSummary[[#This Row],[c9_HandoverEV(SUM)]]</f>
        <v>0</v>
      </c>
      <c r="DP24" s="59">
        <f>Table_SiteMilestoneTrackingSummary[[#This Row],[c0_SiteDesignCostBL(SUM)]]+Table_SiteMilestoneTrackingSummary[[#This Row],[c1_SiteSurveyCostBL(SUM)]]+Table_SiteMilestoneTrackingSummary[[#This Row],[c2_SiteAcquisitionCostBL(SUM)]]+Table_SiteMilestoneTrackingSummary[[#This Row],[c2a_SiteCWReadinessCostBL(SUM)]]+Table_SiteMilestoneTrackingSummary[[#This Row],[c3_CivilWorksCostBL(SUM)]]+Table_SiteMilestoneTrackingSummary[[#This Row],[c4_PowerInstallCostBL(SUM)]]+Table_SiteMilestoneTrackingSummary[[#This Row],[c5_TxIntegrationCostBL(SUM)]]+Table_SiteMilestoneTrackingSummary[[#This Row],[c6_InstallationCostBL(SUM)]]+Table_SiteMilestoneTrackingSummary[[#This Row],[c7_IntegrationCostBL(SUM)]]+Table_SiteMilestoneTrackingSummary[[#This Row],[c8_AcceptanceCostBL(SUM)]]+Table_SiteMilestoneTrackingSummary[[#This Row],[c9_HandoverCostBL(SUM)]]</f>
        <v>0</v>
      </c>
      <c r="DQ24" s="59">
        <f>Table_SiteMilestoneTrackingSummary[[#This Row],[c0_SiteDesignCostAC(SUM)]]+Table_SiteMilestoneTrackingSummary[[#This Row],[c1_SiteSurveyCostAC(SUM)]]+Table_SiteMilestoneTrackingSummary[[#This Row],[c2_SiteAcquisitionCostAC(SUM)]]+Table_SiteMilestoneTrackingSummary[[#This Row],[c2a_SiteCWReadinessCostAC(SUM)]]+Table_SiteMilestoneTrackingSummary[[#This Row],[c3_CivilWorksCostAC(SUM)]]+Table_SiteMilestoneTrackingSummary[[#This Row],[c4_PowerInstallCostAC(SUM)]]+Table_SiteMilestoneTrackingSummary[[#This Row],[c5_TxIntegrationCostAC(SUM)]]+Table_SiteMilestoneTrackingSummary[[#This Row],[c6_InstallationCostAC(SUM)]]+Table_SiteMilestoneTrackingSummary[[#This Row],[c7_IntegrationCostAC(SUM)]]+Table_SiteMilestoneTrackingSummary[[#This Row],[c8_AcceptanceCostAC(SUM)]]+Table_SiteMilestoneTrackingSummary[[#This Row],[c9_HandoverCostAC(SUM)]]</f>
        <v>0</v>
      </c>
      <c r="DR24" s="59">
        <f>Table_SiteMilestoneTrackingSummary[[#This Row],[AccumulatedEV]]-Table_SiteMilestoneTrackingSummary[[#This Row],[AccumulatedPV]]</f>
        <v>0</v>
      </c>
      <c r="DS24" s="59">
        <f>Table_SiteMilestoneTrackingSummary[[#This Row],[AccumulatedEV]]-Table_SiteMilestoneTrackingSummary[[#This Row],[AccumulatedAC]]</f>
        <v>0</v>
      </c>
      <c r="DT24" s="58" t="str">
        <f>IFERROR(Table_SiteMilestoneTrackingSummary[[#This Row],[AccumulatedEV]]/Table_SiteMilestoneTrackingSummary[[#This Row],[AccumulatedPV]],"/")</f>
        <v>/</v>
      </c>
      <c r="DU24" s="101" t="str">
        <f>IFERROR(Table_SiteMilestoneTrackingSummary[[#This Row],[AccumulatedEV]]/Table_SiteMilestoneTrackingSummary[[#This Row],[AccumulatedAC]],"/")</f>
        <v>/</v>
      </c>
    </row>
    <row r="25" spans="1:125" x14ac:dyDescent="0.3">
      <c r="A25" s="79">
        <v>2020</v>
      </c>
      <c r="B25" s="79">
        <v>22</v>
      </c>
      <c r="C25" s="95">
        <f>DATE(Table_SiteMilestoneTrackingSummary[[#This Row],[Year]],1,-2)-WEEKDAY(DATE(Table_SiteMilestoneTrackingSummary[[#This Row],[Year]],1,3))+Table_SiteMilestoneTrackingSummary[[#This Row],[Week]]*7</f>
        <v>43976</v>
      </c>
      <c r="D25" s="95">
        <f>Table_SiteMilestoneTrackingSummary[[#This Row],[StartDate]]+6</f>
        <v>43982</v>
      </c>
      <c r="E25" s="100">
        <f>COUNTIFS(Table_SiteMilestoneTracking[SiteDesignStarted_BL],"&gt;="&amp;Table_SiteMilestoneTrackingSummary[[#This Row],[StartDate]:[StartDate]],Table_SiteMilestoneTracking[SiteDesignStarted_BL],"&lt;"&amp;Table_SiteMilestoneTrackingSummary[[#This Row],[EndDate]:[EndDate]]+1)</f>
        <v>7</v>
      </c>
      <c r="F25" s="100">
        <f>F24+Table_SiteMilestoneTrackingSummary[[#This Row],[SiteDesignStarted_BL]]</f>
        <v>7</v>
      </c>
      <c r="G25" s="100">
        <f>COUNTIFS(Table_SiteMilestoneTracking[SiteDesignStarted_AC],"&gt;="&amp;Table_SiteMilestoneTrackingSummary[[#This Row],[StartDate]:[StartDate]],Table_SiteMilestoneTracking[SiteDesignStarted_AC],"&lt;"&amp;Table_SiteMilestoneTrackingSummary[[#This Row],[EndDate]:[EndDate]]+1)</f>
        <v>2</v>
      </c>
      <c r="H25" s="100">
        <f>H24+Table_SiteMilestoneTrackingSummary[[#This Row],[SiteDesignStarted_AC]]</f>
        <v>2</v>
      </c>
      <c r="I25" s="100">
        <f>Table_SiteMilestoneTrackingSummary[[#This Row],[SiteDesignReady_AC]]*$I$2</f>
        <v>500</v>
      </c>
      <c r="J25" s="100">
        <f>J24+Table_SiteMilestoneTrackingSummary[[#This Row],[c0_SiteDesignEV]]</f>
        <v>500</v>
      </c>
      <c r="K25" s="97">
        <f>SUMIFS(Table_SiteMilestoneTracking[c0_SiteDesignCostBL],
Table_SiteMilestoneTracking[SiteDesignReady_BL],"&gt;="&amp;Table_SiteMilestoneTrackingSummary[[#This Row],[StartDate]:[StartDate]],
Table_SiteMilestoneTracking[SiteDesignReady_BL],"&lt;"&amp;Table_SiteMilestoneTrackingSummary[[#This Row],[EndDate]:[EndDate]]+1)</f>
        <v>500</v>
      </c>
      <c r="L25" s="59">
        <f>L24+Table_SiteMilestoneTrackingSummary[[#This Row],[c0_SiteDesignCostBL]]</f>
        <v>500</v>
      </c>
      <c r="M25" s="97">
        <f>SUMIFS(Table_SiteMilestoneTracking[c0_SiteDesignCostAC],
Table_SiteMilestoneTracking[SiteDesignReady_AC],"&gt;="&amp;Table_SiteMilestoneTrackingSummary[[#This Row],[StartDate]:[StartDate]],
Table_SiteMilestoneTracking[SiteDesignReady_AC],"&lt;"&amp;Table_SiteMilestoneTrackingSummary[[#This Row],[EndDate]:[EndDate]]+1)</f>
        <v>500</v>
      </c>
      <c r="N25" s="59">
        <f>N24+Table_SiteMilestoneTrackingSummary[[#This Row],[c0_SiteDesignCostAC]]</f>
        <v>500</v>
      </c>
      <c r="O25" s="96">
        <f>COUNTIFS(Table_SiteMilestoneTracking[SiteDesignReady_BL],"&gt;="&amp;Table_SiteMilestoneTrackingSummary[[#This Row],[StartDate]:[StartDate]],
Table_SiteMilestoneTracking[SiteDesignReady_BL],"&lt;"&amp;Table_SiteMilestoneTrackingSummary[[#This Row],[EndDate]:[EndDate]]+1)</f>
        <v>1</v>
      </c>
      <c r="P25" s="100">
        <f>P24+Table_SiteMilestoneTrackingSummary[[#This Row],[SiteDesignReady_BL]]</f>
        <v>1</v>
      </c>
      <c r="Q25" s="100">
        <f>COUNTIFS(Table_SiteMilestoneTracking[SiteDesignReady_AC],"&gt;="&amp;Table_SiteMilestoneTrackingSummary[[#This Row],[StartDate]:[StartDate]],Table_SiteMilestoneTracking[SiteDesignReady_AC],"&lt;"&amp;Table_SiteMilestoneTrackingSummary[[#This Row],[EndDate]:[EndDate]]+1)</f>
        <v>1</v>
      </c>
      <c r="R25" s="100">
        <f>R24+Table_SiteMilestoneTrackingSummary[[#This Row],[SiteDesignReady_AC]]</f>
        <v>1</v>
      </c>
      <c r="S25" s="100">
        <f>Table_SiteMilestoneTrackingSummary[[#This Row],[ReadyForCW_AC]]*$S$2</f>
        <v>0</v>
      </c>
      <c r="T25" s="100">
        <f>T24+Table_SiteMilestoneTrackingSummary[[#This Row],[c1_SiteSurveyEV]]</f>
        <v>0</v>
      </c>
      <c r="U25" s="96">
        <f>SUMIFS(Table_SiteMilestoneTracking[c1_SiteSurveyCostBL],
Table_SiteMilestoneTracking[SiteSurveyCompleted_BL],"&gt;="&amp;Table_SiteMilestoneTrackingSummary[[#This Row],[StartDate]:[StartDate]],
Table_SiteMilestoneTracking[SiteSurveyCompleted_BL],"&lt;"&amp;Table_SiteMilestoneTrackingSummary[[#This Row],[EndDate]:[EndDate]]+1)</f>
        <v>500</v>
      </c>
      <c r="V25" s="100">
        <f>V24+Table_SiteMilestoneTrackingSummary[[#This Row],[c1_SiteSurveyCostBL]]</f>
        <v>500</v>
      </c>
      <c r="W25" s="96">
        <f>SUMIFS(Table_SiteMilestoneTracking[c1_SiteSurveyCostAC],
Table_SiteMilestoneTracking[SiteSurveyCompleted_AC],"&gt;="&amp;Table_SiteMilestoneTrackingSummary[[#This Row],[StartDate]:[StartDate]],
Table_SiteMilestoneTracking[SiteSurveyCompleted_AC],"&lt;"&amp;Table_SiteMilestoneTrackingSummary[[#This Row],[EndDate]:[EndDate]]+1)</f>
        <v>425</v>
      </c>
      <c r="X25" s="100">
        <f>X24+Table_SiteMilestoneTrackingSummary[[#This Row],[c1_SiteSurveyCostAC]]</f>
        <v>425</v>
      </c>
      <c r="Y25" s="96">
        <f>COUNTIFS(Table_SiteMilestoneTracking[SiteSurveyCompleted_BL],"&gt;="&amp;Table_SiteMilestoneTrackingSummary[[#This Row],[StartDate]:[StartDate]],
Table_SiteMilestoneTracking[SiteSurveyCompleted_BL],"&lt;"&amp;Table_SiteMilestoneTrackingSummary[[#This Row],[EndDate]:[EndDate]]+1)</f>
        <v>1</v>
      </c>
      <c r="Z25" s="100">
        <f>Z24+Table_SiteMilestoneTrackingSummary[[#This Row],[SiteSurveyCompleted_BL]]</f>
        <v>1</v>
      </c>
      <c r="AA25" s="96">
        <f>COUNTIFS(Table_SiteMilestoneTracking[SiteSurveyCompleted_AC],"&gt;="&amp;Table_SiteMilestoneTrackingSummary[[#This Row],[StartDate]:[StartDate]],
Table_SiteMilestoneTracking[SiteSurveyCompleted_AC],"&lt;"&amp;Table_SiteMilestoneTrackingSummary[[#This Row],[EndDate]:[EndDate]]+1)</f>
        <v>1</v>
      </c>
      <c r="AB25" s="100">
        <f>AB24+Table_SiteMilestoneTrackingSummary[[#This Row],[SiteSurveyCompleted_AC]]</f>
        <v>1</v>
      </c>
      <c r="AC25" s="100">
        <f>$AC$2*Table_SiteMilestoneTrackingSummary[[#This Row],[SiteAcquired_AC]]</f>
        <v>0</v>
      </c>
      <c r="AD25" s="100">
        <f>AD24+Table_SiteMilestoneTrackingSummary[[#This Row],[c2_SiteAcquisitionEV]]</f>
        <v>0</v>
      </c>
      <c r="AE25" s="96">
        <f>SUMIFS(Table_SiteMilestoneTracking[c2_SiteAcquisitionCostBL],
Table_SiteMilestoneTracking[SiteAcquired_BL],"&gt;="&amp;Table_SiteMilestoneTrackingSummary[[#This Row],[StartDate]:[StartDate]],
Table_SiteMilestoneTracking[SiteAcquired_BL],"&lt;"&amp;Table_SiteMilestoneTrackingSummary[[#This Row],[EndDate]:[EndDate]]+1)</f>
        <v>0</v>
      </c>
      <c r="AF25" s="100">
        <f>AF24+Table_SiteMilestoneTrackingSummary[[#This Row],[c2_SiteAcquisitionCostBL]]</f>
        <v>0</v>
      </c>
      <c r="AG25" s="96">
        <f>SUMIFS(Table_SiteMilestoneTracking[c2_SiteAcquisitionCostAC],
Table_SiteMilestoneTracking[SiteAcquired_AC],"&gt;="&amp;Table_SiteMilestoneTrackingSummary[[#This Row],[StartDate]:[StartDate]],
Table_SiteMilestoneTracking[SiteAcquired_AC],"&lt;"&amp;Table_SiteMilestoneTrackingSummary[[#This Row],[EndDate]:[EndDate]]+1)</f>
        <v>0</v>
      </c>
      <c r="AH25" s="100">
        <f>AH24+Table_SiteMilestoneTrackingSummary[[#This Row],[c2_SiteAcquisitionCostAC]]</f>
        <v>0</v>
      </c>
      <c r="AI25" s="96">
        <f>COUNTIFS(Table_SiteMilestoneTracking[SiteAcquired_BL],"&gt;="&amp;Table_SiteMilestoneTrackingSummary[[#This Row],[StartDate]:[StartDate]],
Table_SiteMilestoneTracking[SiteAcquired_BL],"&lt;"&amp;Table_SiteMilestoneTrackingSummary[[#This Row],[EndDate]:[EndDate]]+1)</f>
        <v>0</v>
      </c>
      <c r="AJ25" s="100">
        <f>AJ24+Table_SiteMilestoneTrackingSummary[[#This Row],[SiteAcquired_BL]]</f>
        <v>0</v>
      </c>
      <c r="AK25" s="96">
        <f>COUNTIFS(Table_SiteMilestoneTracking[SiteAcquired_AC],"&gt;="&amp;Table_SiteMilestoneTrackingSummary[[#This Row],[StartDate]:[StartDate]],
Table_SiteMilestoneTracking[SiteAcquired_AC],"&lt;"&amp;Table_SiteMilestoneTrackingSummary[[#This Row],[EndDate]:[EndDate]]+1)</f>
        <v>0</v>
      </c>
      <c r="AL25" s="100">
        <f>AL24+Table_SiteMilestoneTrackingSummary[[#This Row],[SiteAcquired_AC]]</f>
        <v>0</v>
      </c>
      <c r="AM25" s="100">
        <f>Table_SiteMilestoneTrackingSummary[[#This Row],[ReadyForCW_AC]]*$AM$2</f>
        <v>0</v>
      </c>
      <c r="AN25" s="100">
        <f>AN24+Table_SiteMilestoneTrackingSummary[[#This Row],[c2a_SiteCWReadinessEV]]</f>
        <v>0</v>
      </c>
      <c r="AO25" s="96">
        <f>SUMIFS(Table_SiteMilestoneTracking[c2a_SiteCWReadinessCost_BL],
Table_SiteMilestoneTracking[SiteReadyForCW_BL],"&gt;="&amp;Table_SiteMilestoneTrackingSummary[[#This Row],[StartDate]:[StartDate]],
Table_SiteMilestoneTracking[SiteReadyForCW_BL],"&lt;"&amp;Table_SiteMilestoneTrackingSummary[[#This Row],[EndDate]:[EndDate]]+1)</f>
        <v>0</v>
      </c>
      <c r="AP25" s="100">
        <f>AP24+Table_SiteMilestoneTrackingSummary[[#This Row],[c2a_SiteCWReadinessCostBL]]</f>
        <v>0</v>
      </c>
      <c r="AQ25" s="96">
        <f>SUMIFS(Table_SiteMilestoneTracking[c2a_SiteCWReadinessCost_AC],
Table_SiteMilestoneTracking[SiteReadyForCW_AC],"&gt;="&amp;Table_SiteMilestoneTrackingSummary[[#This Row],[StartDate]:[StartDate]],
Table_SiteMilestoneTracking[SiteReadyForCW_AC],"&lt;"&amp;Table_SiteMilestoneTrackingSummary[[#This Row],[EndDate]:[EndDate]]+1)</f>
        <v>0</v>
      </c>
      <c r="AR25" s="100">
        <f>AR24+Table_SiteMilestoneTrackingSummary[[#This Row],[c2a_SiteCWReadinessCostAC]]</f>
        <v>0</v>
      </c>
      <c r="AS25" s="96">
        <f>COUNTIFS(Table_SiteMilestoneTracking[SiteReadyForCW_BL],"&gt;="&amp;Table_SiteMilestoneTrackingSummary[[#This Row],[StartDate]:[StartDate]],
Table_SiteMilestoneTracking[SiteReadyForCW_BL],"&lt;"&amp;Table_SiteMilestoneTrackingSummary[[#This Row],[EndDate]:[EndDate]]+1)</f>
        <v>0</v>
      </c>
      <c r="AT25" s="100">
        <f>AT24+Table_SiteMilestoneTrackingSummary[[#This Row],[ReadyForCW_BL]]</f>
        <v>0</v>
      </c>
      <c r="AU25" s="96">
        <f>COUNTIFS(Table_SiteMilestoneTracking[SiteReadyForCW_AC],"&gt;="&amp;Table_SiteMilestoneTrackingSummary[[#This Row],[StartDate]:[StartDate]],
Table_SiteMilestoneTracking[SiteReadyForCW_AC],"&lt;"&amp;Table_SiteMilestoneTrackingSummary[[#This Row],[EndDate]:[EndDate]]+1)</f>
        <v>0</v>
      </c>
      <c r="AV25" s="100">
        <f>AV24+Table_SiteMilestoneTrackingSummary[[#This Row],[ReadyForCW_AC]]</f>
        <v>0</v>
      </c>
      <c r="AW25" s="100">
        <f>$AW$2*Table_SiteMilestoneTrackingSummary[[#This Row],[ReadyForPower_AC]]</f>
        <v>0</v>
      </c>
      <c r="AX25" s="100">
        <f>AX24+Table_SiteMilestoneTrackingSummary[[#This Row],[c3_CivilWorksEV]]</f>
        <v>0</v>
      </c>
      <c r="AY25" s="96">
        <f>SUMIFS(Table_SiteMilestoneTracking[c3_CivilWorksCostBL],
Table_SiteMilestoneTracking[SiteReadyForPower_BL],"&gt;="&amp;Table_SiteMilestoneTrackingSummary[[#This Row],[StartDate]:[StartDate]],
Table_SiteMilestoneTracking[SiteReadyForPower_BL],"&lt;"&amp;Table_SiteMilestoneTrackingSummary[[#This Row],[EndDate]:[EndDate]]+1)</f>
        <v>0</v>
      </c>
      <c r="AZ25" s="100">
        <f>AZ24+Table_SiteMilestoneTrackingSummary[[#This Row],[c3_CivilWorksCostBL]]</f>
        <v>0</v>
      </c>
      <c r="BA25" s="96">
        <f>SUMIFS(Table_SiteMilestoneTracking[c3_CivilWorksCostAC],
Table_SiteMilestoneTracking[SiteReadyForPower_AC],"&gt;="&amp;Table_SiteMilestoneTrackingSummary[[#This Row],[StartDate]:[StartDate]],
Table_SiteMilestoneTracking[SiteReadyForPower_AC],"&lt;"&amp;Table_SiteMilestoneTrackingSummary[[#This Row],[EndDate]:[EndDate]]+1)</f>
        <v>0</v>
      </c>
      <c r="BB25" s="100">
        <f>BB24+Table_SiteMilestoneTrackingSummary[[#This Row],[c3_CivilWorksCostAC]]</f>
        <v>0</v>
      </c>
      <c r="BC25" s="96">
        <f>COUNTIFS(Table_SiteMilestoneTracking[SiteReadyForPower_BL],"&gt;="&amp;Table_SiteMilestoneTrackingSummary[[#This Row],[StartDate]:[StartDate]],
Table_SiteMilestoneTracking[SiteReadyForPower_BL],"&lt;"&amp;Table_SiteMilestoneTrackingSummary[[#This Row],[EndDate]:[EndDate]]+1)</f>
        <v>0</v>
      </c>
      <c r="BD25" s="100">
        <f>BD24+Table_SiteMilestoneTrackingSummary[[#This Row],[ReadyForPower_BL]]</f>
        <v>0</v>
      </c>
      <c r="BE25" s="96">
        <f>COUNTIFS(Table_SiteMilestoneTracking[SiteReadyForPower_AC],"&gt;="&amp;Table_SiteMilestoneTrackingSummary[[#This Row],[StartDate]:[StartDate]],
Table_SiteMilestoneTracking[SiteReadyForPower_AC],"&lt;"&amp;Table_SiteMilestoneTrackingSummary[[#This Row],[EndDate]:[EndDate]]+1)</f>
        <v>0</v>
      </c>
      <c r="BF25" s="100">
        <f>BF24+Table_SiteMilestoneTrackingSummary[[#This Row],[ReadyForPower_AC]]</f>
        <v>0</v>
      </c>
      <c r="BG25" s="100">
        <f>$BG$2*Table_SiteMilestoneTrackingSummary[[#This Row],[TXReady_AC]]</f>
        <v>0</v>
      </c>
      <c r="BH25" s="100">
        <f>BH24+Table_SiteMilestoneTrackingSummary[[#This Row],[c4_PowerInstallEV]]</f>
        <v>0</v>
      </c>
      <c r="BI25" s="96">
        <f>SUMIFS(Table_SiteMilestoneTracking[c4_PowerInstallCostBL],
Table_SiteMilestoneTracking[TXReady_BL],"&gt;="&amp;Table_SiteMilestoneTrackingSummary[[#This Row],[StartDate]:[StartDate]],
Table_SiteMilestoneTracking[TXReady_BL],"&lt;"&amp;Table_SiteMilestoneTrackingSummary[[#This Row],[EndDate]:[EndDate]]+1)</f>
        <v>0</v>
      </c>
      <c r="BJ25" s="100">
        <f>BJ24+Table_SiteMilestoneTrackingSummary[[#This Row],[c4_PowerInstallCostBL]]</f>
        <v>0</v>
      </c>
      <c r="BK25" s="96">
        <f>SUMIFS(Table_SiteMilestoneTracking[c4_PowerInstallCostAC],
Table_SiteMilestoneTracking[TXReady_AC],"&gt;="&amp;Table_SiteMilestoneTrackingSummary[[#This Row],[StartDate]:[StartDate]],
Table_SiteMilestoneTracking[TXReady_AC],"&lt;"&amp;Table_SiteMilestoneTrackingSummary[[#This Row],[EndDate]:[EndDate]]+1)</f>
        <v>0</v>
      </c>
      <c r="BL25" s="100">
        <f>BL24+Table_SiteMilestoneTrackingSummary[[#This Row],[c4_PowerInstallCostAC]]</f>
        <v>0</v>
      </c>
      <c r="BM25" s="96">
        <f>COUNTIFS(Table_SiteMilestoneTracking[TXReady_BL],"&gt;="&amp;Table_SiteMilestoneTrackingSummary[[#This Row],[StartDate]:[StartDate]],
Table_SiteMilestoneTracking[TXReady_BL],"&lt;"&amp;Table_SiteMilestoneTrackingSummary[[#This Row],[EndDate]:[EndDate]]+1)</f>
        <v>0</v>
      </c>
      <c r="BN25" s="100">
        <f>BN24+Table_SiteMilestoneTrackingSummary[[#This Row],[TXReady_BL]]</f>
        <v>0</v>
      </c>
      <c r="BO25" s="100">
        <f>COUNTIFS(Table_SiteMilestoneTracking[TXReady_AC],"&gt;="&amp;Table_SiteMilestoneTrackingSummary[[#This Row],[StartDate]:[StartDate]],Table_SiteMilestoneTracking[TXReady_AC],"&lt;"&amp;Table_SiteMilestoneTrackingSummary[[#This Row],[EndDate]:[EndDate]]+1)</f>
        <v>0</v>
      </c>
      <c r="BP25" s="100">
        <f>BP24+Table_SiteMilestoneTrackingSummary[[#This Row],[TXReady_AC]]</f>
        <v>0</v>
      </c>
      <c r="BQ25" s="100">
        <f>$BQ$2*Table_SiteMilestoneTrackingSummary[[#This Row],[ReadyForInstallation_AC]]</f>
        <v>0</v>
      </c>
      <c r="BR25" s="100">
        <f>BR24+Table_SiteMilestoneTrackingSummary[[#This Row],[c5_TxIntegrationEV]]</f>
        <v>0</v>
      </c>
      <c r="BS25" s="96">
        <f>SUMIFS(Table_SiteMilestoneTracking[c5_TxintegrationCostBL],
Table_SiteMilestoneTracking[SiteReadyForInstallation_BL],"&gt;="&amp;Table_SiteMilestoneTrackingSummary[[#This Row],[StartDate]:[StartDate]],
Table_SiteMilestoneTracking[SiteReadyForInstallation_BL],"&lt;"&amp;Table_SiteMilestoneTrackingSummary[[#This Row],[EndDate]:[EndDate]]+1)</f>
        <v>0</v>
      </c>
      <c r="BT25" s="100">
        <f>BT24+Table_SiteMilestoneTrackingSummary[[#This Row],[c5_TxIntegrationCostBL]]</f>
        <v>0</v>
      </c>
      <c r="BU25" s="96">
        <f>SUMIFS(Table_SiteMilestoneTracking[c5_TxintegrationCostAC],
Table_SiteMilestoneTracking[SiteReadyForInstallation_AC],"&gt;="&amp;Table_SiteMilestoneTrackingSummary[[#This Row],[StartDate]:[StartDate]],
Table_SiteMilestoneTracking[SiteReadyForInstallation_AC],"&lt;"&amp;Table_SiteMilestoneTrackingSummary[[#This Row],[EndDate]:[EndDate]]+1)</f>
        <v>0</v>
      </c>
      <c r="BV25" s="100">
        <f>BV24+Table_SiteMilestoneTrackingSummary[[#This Row],[c5_TxIntegrationCostAC]]</f>
        <v>0</v>
      </c>
      <c r="BW25" s="96">
        <f>COUNTIFS(Table_SiteMilestoneTracking[SiteReadyForInstallation_BL],"&gt;="&amp;Table_SiteMilestoneTrackingSummary[[#This Row],[StartDate]:[StartDate]],
Table_SiteMilestoneTracking[SiteReadyForInstallation_BL],"&lt;"&amp;Table_SiteMilestoneTrackingSummary[[#This Row],[EndDate]:[EndDate]]+1)</f>
        <v>0</v>
      </c>
      <c r="BX25" s="100">
        <f>BX24+Table_SiteMilestoneTrackingSummary[[#This Row],[ReadyForInstallation_BL]]</f>
        <v>0</v>
      </c>
      <c r="BY25" s="96">
        <f>COUNTIFS(Table_SiteMilestoneTracking[SiteReadyForInstallation_AC],"&gt;="&amp;Table_SiteMilestoneTrackingSummary[[#This Row],[StartDate]:[StartDate]],
Table_SiteMilestoneTracking[SiteReadyForInstallation_AC],"&lt;"&amp;Table_SiteMilestoneTrackingSummary[[#This Row],[EndDate]:[EndDate]]+1)</f>
        <v>0</v>
      </c>
      <c r="BZ25" s="100">
        <f>BZ24+Table_SiteMilestoneTrackingSummary[[#This Row],[ReadyForInstallation_AC]]</f>
        <v>0</v>
      </c>
      <c r="CA25" s="100">
        <f>$CA$2*Table_SiteMilestoneTrackingSummary[[#This Row],[ReadyForIntegration_AC]]</f>
        <v>0</v>
      </c>
      <c r="CB25" s="100">
        <f>CB24+Table_SiteMilestoneTrackingSummary[[#This Row],[c6_InstallationEV]]</f>
        <v>0</v>
      </c>
      <c r="CC25" s="96">
        <f>SUMIFS(Table_SiteMilestoneTracking[c6_InstallationCostBL],
Table_SiteMilestoneTracking[SiteReadyForIntegration_BL],"&gt;="&amp;Table_SiteMilestoneTrackingSummary[[#This Row],[StartDate]:[StartDate]],
Table_SiteMilestoneTracking[SiteReadyForIntegration_BL],"&lt;"&amp;Table_SiteMilestoneTrackingSummary[[#This Row],[EndDate]:[EndDate]]+1)</f>
        <v>0</v>
      </c>
      <c r="CD25" s="100">
        <f>CD24+Table_SiteMilestoneTrackingSummary[[#This Row],[c6_InstallationCostBL]]</f>
        <v>0</v>
      </c>
      <c r="CE25" s="96">
        <f>SUMIFS(Table_SiteMilestoneTracking[c6_InstallationCostAC],
Table_SiteMilestoneTracking[SiteReadyForIntegration_AC],"&gt;="&amp;Table_SiteMilestoneTrackingSummary[[#This Row],[StartDate]:[StartDate]],
Table_SiteMilestoneTracking[SiteReadyForIntegration_AC],"&lt;"&amp;Table_SiteMilestoneTrackingSummary[[#This Row],[EndDate]:[EndDate]]+1)</f>
        <v>0</v>
      </c>
      <c r="CF25" s="100">
        <f>CF24+Table_SiteMilestoneTrackingSummary[[#This Row],[c6_InstallationCostAC]]</f>
        <v>0</v>
      </c>
      <c r="CG25" s="96">
        <f>COUNTIFS(Table_SiteMilestoneTracking[SiteReadyForIntegration_BL],"&gt;="&amp;Table_SiteMilestoneTrackingSummary[[#This Row],[StartDate]:[StartDate]],
Table_SiteMilestoneTracking[SiteReadyForIntegration_BL],"&lt;"&amp;Table_SiteMilestoneTrackingSummary[[#This Row],[EndDate]:[EndDate]]+1)</f>
        <v>0</v>
      </c>
      <c r="CH25" s="100">
        <f>CH24+Table_SiteMilestoneTrackingSummary[[#This Row],[ReadyForIntegration_BL]]</f>
        <v>0</v>
      </c>
      <c r="CI25" s="96">
        <f>COUNTIFS(Table_SiteMilestoneTracking[SiteReadyForIntegration_AC],"&gt;="&amp;Table_SiteMilestoneTrackingSummary[[#This Row],[StartDate]:[StartDate]],
Table_SiteMilestoneTracking[SiteReadyForIntegration_AC],"&lt;"&amp;Table_SiteMilestoneTrackingSummary[[#This Row],[EndDate]:[EndDate]]+1)</f>
        <v>0</v>
      </c>
      <c r="CJ25" s="100">
        <f>CJ24+Table_SiteMilestoneTrackingSummary[[#This Row],[ReadyForIntegration_AC]]</f>
        <v>0</v>
      </c>
      <c r="CK25" s="100">
        <f>$CK$2*Table_SiteMilestoneTrackingSummary[[#This Row],[SiteOnAir_AC]]</f>
        <v>0</v>
      </c>
      <c r="CL25" s="100">
        <f>CL24+Table_SiteMilestoneTrackingSummary[[#This Row],[c7_IntegrationEV]]</f>
        <v>0</v>
      </c>
      <c r="CM25" s="96">
        <f>SUMIFS(Table_SiteMilestoneTracking[c7_IntegrationCostBL],
Table_SiteMilestoneTracking[SiteOnAir_BL],"&gt;="&amp;Table_SiteMilestoneTrackingSummary[[#This Row],[StartDate]:[StartDate]],
Table_SiteMilestoneTracking[SiteOnAir_BL],"&lt;"&amp;Table_SiteMilestoneTrackingSummary[[#This Row],[EndDate]:[EndDate]]+1)</f>
        <v>0</v>
      </c>
      <c r="CN25" s="100">
        <f>CN24+Table_SiteMilestoneTrackingSummary[[#This Row],[c7_IntegrationCostBL]]</f>
        <v>0</v>
      </c>
      <c r="CO25" s="96">
        <f>SUMIFS(Table_SiteMilestoneTracking[c7_IntegrationCostAC],
Table_SiteMilestoneTracking[SiteOnAir_AC],"&gt;="&amp;Table_SiteMilestoneTrackingSummary[[#This Row],[StartDate]:[StartDate]],
Table_SiteMilestoneTracking[SiteOnAir_AC],"&lt;"&amp;Table_SiteMilestoneTrackingSummary[[#This Row],[EndDate]:[EndDate]]+1)</f>
        <v>0</v>
      </c>
      <c r="CP25" s="100">
        <f>CP24+Table_SiteMilestoneTrackingSummary[[#This Row],[c7_IntegrationCostAC]]</f>
        <v>0</v>
      </c>
      <c r="CQ25" s="96">
        <f>COUNTIFS(Table_SiteMilestoneTracking[SiteOnAir_BL],"&gt;="&amp;Table_SiteMilestoneTrackingSummary[[#This Row],[StartDate]:[StartDate]],
Table_SiteMilestoneTracking[SiteOnAir_BL],"&lt;"&amp;Table_SiteMilestoneTrackingSummary[[#This Row],[EndDate]:[EndDate]]+1)</f>
        <v>0</v>
      </c>
      <c r="CR25" s="100">
        <f>CR24+Table_SiteMilestoneTrackingSummary[[#This Row],[SiteOnAir_BL]]</f>
        <v>0</v>
      </c>
      <c r="CS25" s="96">
        <f>COUNTIFS(Table_SiteMilestoneTracking[SiteOnAir_AC],"&gt;="&amp;Table_SiteMilestoneTrackingSummary[[#This Row],[StartDate]:[StartDate]],
Table_SiteMilestoneTracking[SiteOnAir_AC],"&lt;"&amp;Table_SiteMilestoneTrackingSummary[[#This Row],[EndDate]:[EndDate]]+1)</f>
        <v>0</v>
      </c>
      <c r="CT25" s="100">
        <f>CT24+Table_SiteMilestoneTrackingSummary[[#This Row],[SiteOnAir_AC]]</f>
        <v>0</v>
      </c>
      <c r="CU25" s="100">
        <f>$CU$2*Table_SiteMilestoneTrackingSummary[[#This Row],[SiteAccepted_AC]]</f>
        <v>0</v>
      </c>
      <c r="CV25" s="100">
        <f>CV24+Table_SiteMilestoneTrackingSummary[[#This Row],[c8_AcceptanceEV]]</f>
        <v>0</v>
      </c>
      <c r="CW25" s="96">
        <f>SUMIFS(Table_SiteMilestoneTracking[c8_AcceptanceCostBL],
Table_SiteMilestoneTracking[SiteAccepted_BL],"&gt;="&amp;Table_SiteMilestoneTrackingSummary[[#This Row],[StartDate]:[StartDate]],
Table_SiteMilestoneTracking[SiteAccepted_BL],"&lt;"&amp;Table_SiteMilestoneTrackingSummary[[#This Row],[EndDate]:[EndDate]]+1)</f>
        <v>0</v>
      </c>
      <c r="CX25" s="100">
        <f>CX24+Table_SiteMilestoneTrackingSummary[[#This Row],[c8_AcceptanceCostBL]]</f>
        <v>0</v>
      </c>
      <c r="CY25" s="96">
        <f>SUMIFS(Table_SiteMilestoneTracking[c8_AcceptanceCostAC],
Table_SiteMilestoneTracking[SiteAccepted_AC],"&gt;="&amp;Table_SiteMilestoneTrackingSummary[[#This Row],[StartDate]:[StartDate]],
Table_SiteMilestoneTracking[SiteAccepted_AC],"&lt;"&amp;Table_SiteMilestoneTrackingSummary[[#This Row],[EndDate]:[EndDate]]+1)</f>
        <v>0</v>
      </c>
      <c r="CZ25" s="100">
        <f>CZ24+Table_SiteMilestoneTrackingSummary[[#This Row],[c8_AcceptanceCostAC]]</f>
        <v>0</v>
      </c>
      <c r="DA25" s="96">
        <f>COUNTIFS(Table_SiteMilestoneTracking[SiteAccepted_BL],"&gt;="&amp;Table_SiteMilestoneTrackingSummary[[#This Row],[StartDate]:[StartDate]],
Table_SiteMilestoneTracking[SiteAccepted_BL],"&lt;"&amp;Table_SiteMilestoneTrackingSummary[[#This Row],[EndDate]:[EndDate]]+1)</f>
        <v>0</v>
      </c>
      <c r="DB25" s="100">
        <f>DB24+Table_SiteMilestoneTrackingSummary[[#This Row],[SiteAccepted_BL]]</f>
        <v>0</v>
      </c>
      <c r="DC25" s="96">
        <f>COUNTIFS(Table_SiteMilestoneTracking[SiteAccepted_AC],"&gt;="&amp;Table_SiteMilestoneTrackingSummary[[#This Row],[StartDate]:[StartDate]],
Table_SiteMilestoneTracking[SiteAccepted_AC],"&lt;"&amp;Table_SiteMilestoneTrackingSummary[[#This Row],[EndDate]:[EndDate]]+1)</f>
        <v>0</v>
      </c>
      <c r="DD25" s="100">
        <f>DD24+Table_SiteMilestoneTrackingSummary[[#This Row],[SiteAccepted_AC]]</f>
        <v>0</v>
      </c>
      <c r="DE25" s="100">
        <f>$DE$2*Table_SiteMilestoneTrackingSummary[[#This Row],[SiteInOperations_AC]]</f>
        <v>0</v>
      </c>
      <c r="DF25" s="100">
        <f>DF24+Table_SiteMilestoneTrackingSummary[[#This Row],[c9_HandoverEV]]</f>
        <v>0</v>
      </c>
      <c r="DG25" s="96">
        <f>SUMIFS(Table_SiteMilestoneTracking[c9_HandoverCostBL],
Table_SiteMilestoneTracking[SiteInOperations_BL],"&gt;="&amp;Table_SiteMilestoneTrackingSummary[[#This Row],[StartDate]:[StartDate]],
Table_SiteMilestoneTracking[SiteInOperations_BL],"&lt;"&amp;Table_SiteMilestoneTrackingSummary[[#This Row],[EndDate]:[EndDate]]+1)</f>
        <v>0</v>
      </c>
      <c r="DH25" s="100">
        <f>DH24+Table_SiteMilestoneTrackingSummary[[#This Row],[c9_HandoverCostBL2]]</f>
        <v>0</v>
      </c>
      <c r="DI25" s="96">
        <f>SUMIFS(Table_SiteMilestoneTracking[c9_HandoverCostAC],
Table_SiteMilestoneTracking[SiteInOperations_AC],"&gt;="&amp;Table_SiteMilestoneTrackingSummary[[#This Row],[StartDate]:[StartDate]],
Table_SiteMilestoneTracking[SiteInOperations_AC],"&lt;"&amp;Table_SiteMilestoneTrackingSummary[[#This Row],[EndDate]:[EndDate]]+1)</f>
        <v>0</v>
      </c>
      <c r="DJ25" s="100">
        <f>DJ24+Table_SiteMilestoneTrackingSummary[[#This Row],[c9_HandoverCostAC]]</f>
        <v>0</v>
      </c>
      <c r="DK25" s="96">
        <f>COUNTIFS(Table_SiteMilestoneTracking[SiteInOperations_BL],"&gt;="&amp;Table_SiteMilestoneTrackingSummary[[#This Row],[StartDate]:[StartDate]],
Table_SiteMilestoneTracking[SiteInOperations_BL],"&lt;"&amp;Table_SiteMilestoneTrackingSummary[[#This Row],[EndDate]:[EndDate]]+1)</f>
        <v>0</v>
      </c>
      <c r="DL25" s="100">
        <f>DL24+Table_SiteMilestoneTrackingSummary[[#This Row],[SiteInOperations_BL]]</f>
        <v>0</v>
      </c>
      <c r="DM25" s="96">
        <f>COUNTIFS(Table_SiteMilestoneTracking[SiteInOperations_AC],"&gt;="&amp;Table_SiteMilestoneTrackingSummary[[#This Row],[StartDate]:[StartDate]],
Table_SiteMilestoneTracking[SiteInOperations_AC],"&lt;"&amp;Table_SiteMilestoneTrackingSummary[[#This Row],[EndDate]:[EndDate]]+1)</f>
        <v>0</v>
      </c>
      <c r="DN25" s="100">
        <f>DN24+Table_SiteMilestoneTrackingSummary[[#This Row],[SiteInOperations_AC]]</f>
        <v>0</v>
      </c>
      <c r="DO25" s="59">
        <f>Table_SiteMilestoneTrackingSummary[[#This Row],[c0_SiteDesignEV(SUM)]]+Table_SiteMilestoneTrackingSummary[[#This Row],[c1_SiteSurveyEV(SUM)]]+Table_SiteMilestoneTrackingSummary[[#This Row],[c2_SiteAcquisitionEV(SUM)]]+Table_SiteMilestoneTrackingSummary[[#This Row],[c2a_SiteCWReadinessEV(SUM)]]+Table_SiteMilestoneTrackingSummary[[#This Row],[c3_CivilWorksEV(SUM)]]+Table_SiteMilestoneTrackingSummary[[#This Row],[c4_PowerInstallEV(SUM)]]+Table_SiteMilestoneTrackingSummary[[#This Row],[c5_TxIntegrationEV(SUM)]]+Table_SiteMilestoneTrackingSummary[[#This Row],[c6_InstallationEV(SUM)]]+Table_SiteMilestoneTrackingSummary[[#This Row],[c7_IntegrationEV(SUM)]]+Table_SiteMilestoneTrackingSummary[[#This Row],[c8_AcceptanceEV(SUM)]]+Table_SiteMilestoneTrackingSummary[[#This Row],[c9_HandoverEV(SUM)]]</f>
        <v>500</v>
      </c>
      <c r="DP25" s="59">
        <f>Table_SiteMilestoneTrackingSummary[[#This Row],[c0_SiteDesignCostBL(SUM)]]+Table_SiteMilestoneTrackingSummary[[#This Row],[c1_SiteSurveyCostBL(SUM)]]+Table_SiteMilestoneTrackingSummary[[#This Row],[c2_SiteAcquisitionCostBL(SUM)]]+Table_SiteMilestoneTrackingSummary[[#This Row],[c2a_SiteCWReadinessCostBL(SUM)]]+Table_SiteMilestoneTrackingSummary[[#This Row],[c3_CivilWorksCostBL(SUM)]]+Table_SiteMilestoneTrackingSummary[[#This Row],[c4_PowerInstallCostBL(SUM)]]+Table_SiteMilestoneTrackingSummary[[#This Row],[c5_TxIntegrationCostBL(SUM)]]+Table_SiteMilestoneTrackingSummary[[#This Row],[c6_InstallationCostBL(SUM)]]+Table_SiteMilestoneTrackingSummary[[#This Row],[c7_IntegrationCostBL(SUM)]]+Table_SiteMilestoneTrackingSummary[[#This Row],[c8_AcceptanceCostBL(SUM)]]+Table_SiteMilestoneTrackingSummary[[#This Row],[c9_HandoverCostBL(SUM)]]</f>
        <v>1000</v>
      </c>
      <c r="DQ25" s="59">
        <f>Table_SiteMilestoneTrackingSummary[[#This Row],[c0_SiteDesignCostAC(SUM)]]+Table_SiteMilestoneTrackingSummary[[#This Row],[c1_SiteSurveyCostAC(SUM)]]+Table_SiteMilestoneTrackingSummary[[#This Row],[c2_SiteAcquisitionCostAC(SUM)]]+Table_SiteMilestoneTrackingSummary[[#This Row],[c2a_SiteCWReadinessCostAC(SUM)]]+Table_SiteMilestoneTrackingSummary[[#This Row],[c3_CivilWorksCostAC(SUM)]]+Table_SiteMilestoneTrackingSummary[[#This Row],[c4_PowerInstallCostAC(SUM)]]+Table_SiteMilestoneTrackingSummary[[#This Row],[c5_TxIntegrationCostAC(SUM)]]+Table_SiteMilestoneTrackingSummary[[#This Row],[c6_InstallationCostAC(SUM)]]+Table_SiteMilestoneTrackingSummary[[#This Row],[c7_IntegrationCostAC(SUM)]]+Table_SiteMilestoneTrackingSummary[[#This Row],[c8_AcceptanceCostAC(SUM)]]+Table_SiteMilestoneTrackingSummary[[#This Row],[c9_HandoverCostAC(SUM)]]</f>
        <v>925</v>
      </c>
      <c r="DR25" s="59">
        <f>Table_SiteMilestoneTrackingSummary[[#This Row],[AccumulatedEV]]-Table_SiteMilestoneTrackingSummary[[#This Row],[AccumulatedPV]]</f>
        <v>-500</v>
      </c>
      <c r="DS25" s="59">
        <f>Table_SiteMilestoneTrackingSummary[[#This Row],[AccumulatedEV]]-Table_SiteMilestoneTrackingSummary[[#This Row],[AccumulatedAC]]</f>
        <v>-425</v>
      </c>
      <c r="DT25" s="58">
        <f>IFERROR(Table_SiteMilestoneTrackingSummary[[#This Row],[AccumulatedEV]]/Table_SiteMilestoneTrackingSummary[[#This Row],[AccumulatedPV]],"/")</f>
        <v>0.5</v>
      </c>
      <c r="DU25" s="101">
        <f>IFERROR(Table_SiteMilestoneTrackingSummary[[#This Row],[AccumulatedEV]]/Table_SiteMilestoneTrackingSummary[[#This Row],[AccumulatedAC]],"/")</f>
        <v>0.54054054054054057</v>
      </c>
    </row>
    <row r="26" spans="1:125" x14ac:dyDescent="0.3">
      <c r="A26" s="79">
        <v>2020</v>
      </c>
      <c r="B26" s="79">
        <v>23</v>
      </c>
      <c r="C26" s="95">
        <f>DATE(Table_SiteMilestoneTrackingSummary[[#This Row],[Year]],1,-2)-WEEKDAY(DATE(Table_SiteMilestoneTrackingSummary[[#This Row],[Year]],1,3))+Table_SiteMilestoneTrackingSummary[[#This Row],[Week]]*7</f>
        <v>43983</v>
      </c>
      <c r="D26" s="95">
        <f>Table_SiteMilestoneTrackingSummary[[#This Row],[StartDate]]+6</f>
        <v>43989</v>
      </c>
      <c r="E26" s="100">
        <f>COUNTIFS(Table_SiteMilestoneTracking[SiteDesignStarted_BL],"&gt;="&amp;Table_SiteMilestoneTrackingSummary[[#This Row],[StartDate]:[StartDate]],Table_SiteMilestoneTracking[SiteDesignStarted_BL],"&lt;"&amp;Table_SiteMilestoneTrackingSummary[[#This Row],[EndDate]:[EndDate]]+1)</f>
        <v>9</v>
      </c>
      <c r="F26" s="100">
        <f>F25+Table_SiteMilestoneTrackingSummary[[#This Row],[SiteDesignStarted_BL]]</f>
        <v>16</v>
      </c>
      <c r="G26" s="100">
        <f>COUNTIFS(Table_SiteMilestoneTracking[SiteDesignStarted_AC],"&gt;="&amp;Table_SiteMilestoneTrackingSummary[[#This Row],[StartDate]:[StartDate]],Table_SiteMilestoneTracking[SiteDesignStarted_AC],"&lt;"&amp;Table_SiteMilestoneTrackingSummary[[#This Row],[EndDate]:[EndDate]]+1)</f>
        <v>8</v>
      </c>
      <c r="H26" s="100">
        <f>H25+Table_SiteMilestoneTrackingSummary[[#This Row],[SiteDesignStarted_AC]]</f>
        <v>10</v>
      </c>
      <c r="I26" s="100">
        <f>Table_SiteMilestoneTrackingSummary[[#This Row],[SiteDesignReady_AC]]*$I$2</f>
        <v>3000</v>
      </c>
      <c r="J26" s="100">
        <f>J25+Table_SiteMilestoneTrackingSummary[[#This Row],[c0_SiteDesignEV]]</f>
        <v>3500</v>
      </c>
      <c r="K26" s="97">
        <f>SUMIFS(Table_SiteMilestoneTracking[c0_SiteDesignCostBL],
Table_SiteMilestoneTracking[SiteDesignReady_BL],"&gt;="&amp;Table_SiteMilestoneTrackingSummary[[#This Row],[StartDate]:[StartDate]],
Table_SiteMilestoneTracking[SiteDesignReady_BL],"&lt;"&amp;Table_SiteMilestoneTrackingSummary[[#This Row],[EndDate]:[EndDate]]+1)</f>
        <v>3000</v>
      </c>
      <c r="L26" s="59">
        <f>L25+Table_SiteMilestoneTrackingSummary[[#This Row],[c0_SiteDesignCostBL]]</f>
        <v>3500</v>
      </c>
      <c r="M26" s="97">
        <f>SUMIFS(Table_SiteMilestoneTracking[c0_SiteDesignCostAC],
Table_SiteMilestoneTracking[SiteDesignReady_AC],"&gt;="&amp;Table_SiteMilestoneTrackingSummary[[#This Row],[StartDate]:[StartDate]],
Table_SiteMilestoneTracking[SiteDesignReady_AC],"&lt;"&amp;Table_SiteMilestoneTrackingSummary[[#This Row],[EndDate]:[EndDate]]+1)</f>
        <v>2900</v>
      </c>
      <c r="N26" s="59">
        <f>N25+Table_SiteMilestoneTrackingSummary[[#This Row],[c0_SiteDesignCostAC]]</f>
        <v>3400</v>
      </c>
      <c r="O26" s="96">
        <f>COUNTIFS(Table_SiteMilestoneTracking[SiteDesignReady_BL],"&gt;="&amp;Table_SiteMilestoneTrackingSummary[[#This Row],[StartDate]:[StartDate]],
Table_SiteMilestoneTracking[SiteDesignReady_BL],"&lt;"&amp;Table_SiteMilestoneTrackingSummary[[#This Row],[EndDate]:[EndDate]]+1)</f>
        <v>6</v>
      </c>
      <c r="P26" s="100">
        <f>P25+Table_SiteMilestoneTrackingSummary[[#This Row],[SiteDesignReady_BL]]</f>
        <v>7</v>
      </c>
      <c r="Q26" s="100">
        <f>COUNTIFS(Table_SiteMilestoneTracking[SiteDesignReady_AC],"&gt;="&amp;Table_SiteMilestoneTrackingSummary[[#This Row],[StartDate]:[StartDate]],Table_SiteMilestoneTracking[SiteDesignReady_AC],"&lt;"&amp;Table_SiteMilestoneTrackingSummary[[#This Row],[EndDate]:[EndDate]]+1)</f>
        <v>6</v>
      </c>
      <c r="R26" s="100">
        <f>R25+Table_SiteMilestoneTrackingSummary[[#This Row],[SiteDesignReady_AC]]</f>
        <v>7</v>
      </c>
      <c r="S26" s="100">
        <f>Table_SiteMilestoneTrackingSummary[[#This Row],[ReadyForCW_AC]]*$S$2</f>
        <v>0</v>
      </c>
      <c r="T26" s="100">
        <f>T25+Table_SiteMilestoneTrackingSummary[[#This Row],[c1_SiteSurveyEV]]</f>
        <v>0</v>
      </c>
      <c r="U26" s="96">
        <f>SUMIFS(Table_SiteMilestoneTracking[c1_SiteSurveyCostBL],
Table_SiteMilestoneTracking[SiteSurveyCompleted_BL],"&gt;="&amp;Table_SiteMilestoneTrackingSummary[[#This Row],[StartDate]:[StartDate]],
Table_SiteMilestoneTracking[SiteSurveyCompleted_BL],"&lt;"&amp;Table_SiteMilestoneTrackingSummary[[#This Row],[EndDate]:[EndDate]]+1)</f>
        <v>3000</v>
      </c>
      <c r="V26" s="100">
        <f>V25+Table_SiteMilestoneTrackingSummary[[#This Row],[c1_SiteSurveyCostBL]]</f>
        <v>3500</v>
      </c>
      <c r="W26" s="96">
        <f>SUMIFS(Table_SiteMilestoneTracking[c1_SiteSurveyCostAC],
Table_SiteMilestoneTracking[SiteSurveyCompleted_AC],"&gt;="&amp;Table_SiteMilestoneTrackingSummary[[#This Row],[StartDate]:[StartDate]],
Table_SiteMilestoneTracking[SiteSurveyCompleted_AC],"&lt;"&amp;Table_SiteMilestoneTrackingSummary[[#This Row],[EndDate]:[EndDate]]+1)</f>
        <v>1700</v>
      </c>
      <c r="X26" s="100">
        <f>X25+Table_SiteMilestoneTrackingSummary[[#This Row],[c1_SiteSurveyCostAC]]</f>
        <v>2125</v>
      </c>
      <c r="Y26" s="96">
        <f>COUNTIFS(Table_SiteMilestoneTracking[SiteSurveyCompleted_BL],"&gt;="&amp;Table_SiteMilestoneTrackingSummary[[#This Row],[StartDate]:[StartDate]],
Table_SiteMilestoneTracking[SiteSurveyCompleted_BL],"&lt;"&amp;Table_SiteMilestoneTrackingSummary[[#This Row],[EndDate]:[EndDate]]+1)</f>
        <v>6</v>
      </c>
      <c r="Z26" s="100">
        <f>Z25+Table_SiteMilestoneTrackingSummary[[#This Row],[SiteSurveyCompleted_BL]]</f>
        <v>7</v>
      </c>
      <c r="AA26" s="96">
        <f>COUNTIFS(Table_SiteMilestoneTracking[SiteSurveyCompleted_AC],"&gt;="&amp;Table_SiteMilestoneTrackingSummary[[#This Row],[StartDate]:[StartDate]],
Table_SiteMilestoneTracking[SiteSurveyCompleted_AC],"&lt;"&amp;Table_SiteMilestoneTrackingSummary[[#This Row],[EndDate]:[EndDate]]+1)</f>
        <v>4</v>
      </c>
      <c r="AB26" s="100">
        <f>AB25+Table_SiteMilestoneTrackingSummary[[#This Row],[SiteSurveyCompleted_AC]]</f>
        <v>5</v>
      </c>
      <c r="AC26" s="100">
        <f>$AC$2*Table_SiteMilestoneTrackingSummary[[#This Row],[SiteAcquired_AC]]</f>
        <v>0</v>
      </c>
      <c r="AD26" s="100">
        <f>AD25+Table_SiteMilestoneTrackingSummary[[#This Row],[c2_SiteAcquisitionEV]]</f>
        <v>0</v>
      </c>
      <c r="AE26" s="96">
        <f>SUMIFS(Table_SiteMilestoneTracking[c2_SiteAcquisitionCostBL],
Table_SiteMilestoneTracking[SiteAcquired_BL],"&gt;="&amp;Table_SiteMilestoneTrackingSummary[[#This Row],[StartDate]:[StartDate]],
Table_SiteMilestoneTracking[SiteAcquired_BL],"&lt;"&amp;Table_SiteMilestoneTrackingSummary[[#This Row],[EndDate]:[EndDate]]+1)</f>
        <v>0</v>
      </c>
      <c r="AF26" s="100">
        <f>AF25+Table_SiteMilestoneTrackingSummary[[#This Row],[c2_SiteAcquisitionCostBL]]</f>
        <v>0</v>
      </c>
      <c r="AG26" s="96">
        <f>SUMIFS(Table_SiteMilestoneTracking[c2_SiteAcquisitionCostAC],
Table_SiteMilestoneTracking[SiteAcquired_AC],"&gt;="&amp;Table_SiteMilestoneTrackingSummary[[#This Row],[StartDate]:[StartDate]],
Table_SiteMilestoneTracking[SiteAcquired_AC],"&lt;"&amp;Table_SiteMilestoneTrackingSummary[[#This Row],[EndDate]:[EndDate]]+1)</f>
        <v>0</v>
      </c>
      <c r="AH26" s="100">
        <f>AH25+Table_SiteMilestoneTrackingSummary[[#This Row],[c2_SiteAcquisitionCostAC]]</f>
        <v>0</v>
      </c>
      <c r="AI26" s="96">
        <f>COUNTIFS(Table_SiteMilestoneTracking[SiteAcquired_BL],"&gt;="&amp;Table_SiteMilestoneTrackingSummary[[#This Row],[StartDate]:[StartDate]],
Table_SiteMilestoneTracking[SiteAcquired_BL],"&lt;"&amp;Table_SiteMilestoneTrackingSummary[[#This Row],[EndDate]:[EndDate]]+1)</f>
        <v>0</v>
      </c>
      <c r="AJ26" s="100">
        <f>AJ25+Table_SiteMilestoneTrackingSummary[[#This Row],[SiteAcquired_BL]]</f>
        <v>0</v>
      </c>
      <c r="AK26" s="96">
        <f>COUNTIFS(Table_SiteMilestoneTracking[SiteAcquired_AC],"&gt;="&amp;Table_SiteMilestoneTrackingSummary[[#This Row],[StartDate]:[StartDate]],
Table_SiteMilestoneTracking[SiteAcquired_AC],"&lt;"&amp;Table_SiteMilestoneTrackingSummary[[#This Row],[EndDate]:[EndDate]]+1)</f>
        <v>0</v>
      </c>
      <c r="AL26" s="100">
        <f>AL25+Table_SiteMilestoneTrackingSummary[[#This Row],[SiteAcquired_AC]]</f>
        <v>0</v>
      </c>
      <c r="AM26" s="100">
        <f>Table_SiteMilestoneTrackingSummary[[#This Row],[ReadyForCW_AC]]*$AM$2</f>
        <v>0</v>
      </c>
      <c r="AN26" s="100">
        <f>AN25+Table_SiteMilestoneTrackingSummary[[#This Row],[c2a_SiteCWReadinessEV]]</f>
        <v>0</v>
      </c>
      <c r="AO26" s="96">
        <f>SUMIFS(Table_SiteMilestoneTracking[c2a_SiteCWReadinessCost_BL],
Table_SiteMilestoneTracking[SiteReadyForCW_BL],"&gt;="&amp;Table_SiteMilestoneTrackingSummary[[#This Row],[StartDate]:[StartDate]],
Table_SiteMilestoneTracking[SiteReadyForCW_BL],"&lt;"&amp;Table_SiteMilestoneTrackingSummary[[#This Row],[EndDate]:[EndDate]]+1)</f>
        <v>0</v>
      </c>
      <c r="AP26" s="100">
        <f>AP25+Table_SiteMilestoneTrackingSummary[[#This Row],[c2a_SiteCWReadinessCostBL]]</f>
        <v>0</v>
      </c>
      <c r="AQ26" s="96">
        <f>SUMIFS(Table_SiteMilestoneTracking[c2a_SiteCWReadinessCost_AC],
Table_SiteMilestoneTracking[SiteReadyForCW_AC],"&gt;="&amp;Table_SiteMilestoneTrackingSummary[[#This Row],[StartDate]:[StartDate]],
Table_SiteMilestoneTracking[SiteReadyForCW_AC],"&lt;"&amp;Table_SiteMilestoneTrackingSummary[[#This Row],[EndDate]:[EndDate]]+1)</f>
        <v>0</v>
      </c>
      <c r="AR26" s="100">
        <f>AR25+Table_SiteMilestoneTrackingSummary[[#This Row],[c2a_SiteCWReadinessCostAC]]</f>
        <v>0</v>
      </c>
      <c r="AS26" s="96">
        <f>COUNTIFS(Table_SiteMilestoneTracking[SiteReadyForCW_BL],"&gt;="&amp;Table_SiteMilestoneTrackingSummary[[#This Row],[StartDate]:[StartDate]],
Table_SiteMilestoneTracking[SiteReadyForCW_BL],"&lt;"&amp;Table_SiteMilestoneTrackingSummary[[#This Row],[EndDate]:[EndDate]]+1)</f>
        <v>0</v>
      </c>
      <c r="AT26" s="100">
        <f>AT25+Table_SiteMilestoneTrackingSummary[[#This Row],[ReadyForCW_BL]]</f>
        <v>0</v>
      </c>
      <c r="AU26" s="96">
        <f>COUNTIFS(Table_SiteMilestoneTracking[SiteReadyForCW_AC],"&gt;="&amp;Table_SiteMilestoneTrackingSummary[[#This Row],[StartDate]:[StartDate]],
Table_SiteMilestoneTracking[SiteReadyForCW_AC],"&lt;"&amp;Table_SiteMilestoneTrackingSummary[[#This Row],[EndDate]:[EndDate]]+1)</f>
        <v>0</v>
      </c>
      <c r="AV26" s="100">
        <f>AV25+Table_SiteMilestoneTrackingSummary[[#This Row],[ReadyForCW_AC]]</f>
        <v>0</v>
      </c>
      <c r="AW26" s="100">
        <f>$AW$2*Table_SiteMilestoneTrackingSummary[[#This Row],[ReadyForPower_AC]]</f>
        <v>0</v>
      </c>
      <c r="AX26" s="100">
        <f>AX25+Table_SiteMilestoneTrackingSummary[[#This Row],[c3_CivilWorksEV]]</f>
        <v>0</v>
      </c>
      <c r="AY26" s="96">
        <f>SUMIFS(Table_SiteMilestoneTracking[c3_CivilWorksCostBL],
Table_SiteMilestoneTracking[SiteReadyForPower_BL],"&gt;="&amp;Table_SiteMilestoneTrackingSummary[[#This Row],[StartDate]:[StartDate]],
Table_SiteMilestoneTracking[SiteReadyForPower_BL],"&lt;"&amp;Table_SiteMilestoneTrackingSummary[[#This Row],[EndDate]:[EndDate]]+1)</f>
        <v>0</v>
      </c>
      <c r="AZ26" s="100">
        <f>AZ25+Table_SiteMilestoneTrackingSummary[[#This Row],[c3_CivilWorksCostBL]]</f>
        <v>0</v>
      </c>
      <c r="BA26" s="96">
        <f>SUMIFS(Table_SiteMilestoneTracking[c3_CivilWorksCostAC],
Table_SiteMilestoneTracking[SiteReadyForPower_AC],"&gt;="&amp;Table_SiteMilestoneTrackingSummary[[#This Row],[StartDate]:[StartDate]],
Table_SiteMilestoneTracking[SiteReadyForPower_AC],"&lt;"&amp;Table_SiteMilestoneTrackingSummary[[#This Row],[EndDate]:[EndDate]]+1)</f>
        <v>0</v>
      </c>
      <c r="BB26" s="100">
        <f>BB25+Table_SiteMilestoneTrackingSummary[[#This Row],[c3_CivilWorksCostAC]]</f>
        <v>0</v>
      </c>
      <c r="BC26" s="96">
        <f>COUNTIFS(Table_SiteMilestoneTracking[SiteReadyForPower_BL],"&gt;="&amp;Table_SiteMilestoneTrackingSummary[[#This Row],[StartDate]:[StartDate]],
Table_SiteMilestoneTracking[SiteReadyForPower_BL],"&lt;"&amp;Table_SiteMilestoneTrackingSummary[[#This Row],[EndDate]:[EndDate]]+1)</f>
        <v>0</v>
      </c>
      <c r="BD26" s="100">
        <f>BD25+Table_SiteMilestoneTrackingSummary[[#This Row],[ReadyForPower_BL]]</f>
        <v>0</v>
      </c>
      <c r="BE26" s="96">
        <f>COUNTIFS(Table_SiteMilestoneTracking[SiteReadyForPower_AC],"&gt;="&amp;Table_SiteMilestoneTrackingSummary[[#This Row],[StartDate]:[StartDate]],
Table_SiteMilestoneTracking[SiteReadyForPower_AC],"&lt;"&amp;Table_SiteMilestoneTrackingSummary[[#This Row],[EndDate]:[EndDate]]+1)</f>
        <v>0</v>
      </c>
      <c r="BF26" s="100">
        <f>BF25+Table_SiteMilestoneTrackingSummary[[#This Row],[ReadyForPower_AC]]</f>
        <v>0</v>
      </c>
      <c r="BG26" s="100">
        <f>$BG$2*Table_SiteMilestoneTrackingSummary[[#This Row],[TXReady_AC]]</f>
        <v>0</v>
      </c>
      <c r="BH26" s="100">
        <f>BH25+Table_SiteMilestoneTrackingSummary[[#This Row],[c4_PowerInstallEV]]</f>
        <v>0</v>
      </c>
      <c r="BI26" s="96">
        <f>SUMIFS(Table_SiteMilestoneTracking[c4_PowerInstallCostBL],
Table_SiteMilestoneTracking[TXReady_BL],"&gt;="&amp;Table_SiteMilestoneTrackingSummary[[#This Row],[StartDate]:[StartDate]],
Table_SiteMilestoneTracking[TXReady_BL],"&lt;"&amp;Table_SiteMilestoneTrackingSummary[[#This Row],[EndDate]:[EndDate]]+1)</f>
        <v>0</v>
      </c>
      <c r="BJ26" s="100">
        <f>BJ25+Table_SiteMilestoneTrackingSummary[[#This Row],[c4_PowerInstallCostBL]]</f>
        <v>0</v>
      </c>
      <c r="BK26" s="96">
        <f>SUMIFS(Table_SiteMilestoneTracking[c4_PowerInstallCostAC],
Table_SiteMilestoneTracking[TXReady_AC],"&gt;="&amp;Table_SiteMilestoneTrackingSummary[[#This Row],[StartDate]:[StartDate]],
Table_SiteMilestoneTracking[TXReady_AC],"&lt;"&amp;Table_SiteMilestoneTrackingSummary[[#This Row],[EndDate]:[EndDate]]+1)</f>
        <v>0</v>
      </c>
      <c r="BL26" s="100">
        <f>BL25+Table_SiteMilestoneTrackingSummary[[#This Row],[c4_PowerInstallCostAC]]</f>
        <v>0</v>
      </c>
      <c r="BM26" s="96">
        <f>COUNTIFS(Table_SiteMilestoneTracking[TXReady_BL],"&gt;="&amp;Table_SiteMilestoneTrackingSummary[[#This Row],[StartDate]:[StartDate]],
Table_SiteMilestoneTracking[TXReady_BL],"&lt;"&amp;Table_SiteMilestoneTrackingSummary[[#This Row],[EndDate]:[EndDate]]+1)</f>
        <v>0</v>
      </c>
      <c r="BN26" s="100">
        <f>BN25+Table_SiteMilestoneTrackingSummary[[#This Row],[TXReady_BL]]</f>
        <v>0</v>
      </c>
      <c r="BO26" s="100">
        <f>COUNTIFS(Table_SiteMilestoneTracking[TXReady_AC],"&gt;="&amp;Table_SiteMilestoneTrackingSummary[[#This Row],[StartDate]:[StartDate]],Table_SiteMilestoneTracking[TXReady_AC],"&lt;"&amp;Table_SiteMilestoneTrackingSummary[[#This Row],[EndDate]:[EndDate]]+1)</f>
        <v>0</v>
      </c>
      <c r="BP26" s="100">
        <f>BP25+Table_SiteMilestoneTrackingSummary[[#This Row],[TXReady_AC]]</f>
        <v>0</v>
      </c>
      <c r="BQ26" s="100">
        <f>$BQ$2*Table_SiteMilestoneTrackingSummary[[#This Row],[ReadyForInstallation_AC]]</f>
        <v>0</v>
      </c>
      <c r="BR26" s="100">
        <f>BR25+Table_SiteMilestoneTrackingSummary[[#This Row],[c5_TxIntegrationEV]]</f>
        <v>0</v>
      </c>
      <c r="BS26" s="96">
        <f>SUMIFS(Table_SiteMilestoneTracking[c5_TxintegrationCostBL],
Table_SiteMilestoneTracking[SiteReadyForInstallation_BL],"&gt;="&amp;Table_SiteMilestoneTrackingSummary[[#This Row],[StartDate]:[StartDate]],
Table_SiteMilestoneTracking[SiteReadyForInstallation_BL],"&lt;"&amp;Table_SiteMilestoneTrackingSummary[[#This Row],[EndDate]:[EndDate]]+1)</f>
        <v>0</v>
      </c>
      <c r="BT26" s="100">
        <f>BT25+Table_SiteMilestoneTrackingSummary[[#This Row],[c5_TxIntegrationCostBL]]</f>
        <v>0</v>
      </c>
      <c r="BU26" s="96">
        <f>SUMIFS(Table_SiteMilestoneTracking[c5_TxintegrationCostAC],
Table_SiteMilestoneTracking[SiteReadyForInstallation_AC],"&gt;="&amp;Table_SiteMilestoneTrackingSummary[[#This Row],[StartDate]:[StartDate]],
Table_SiteMilestoneTracking[SiteReadyForInstallation_AC],"&lt;"&amp;Table_SiteMilestoneTrackingSummary[[#This Row],[EndDate]:[EndDate]]+1)</f>
        <v>0</v>
      </c>
      <c r="BV26" s="100">
        <f>BV25+Table_SiteMilestoneTrackingSummary[[#This Row],[c5_TxIntegrationCostAC]]</f>
        <v>0</v>
      </c>
      <c r="BW26" s="96">
        <f>COUNTIFS(Table_SiteMilestoneTracking[SiteReadyForInstallation_BL],"&gt;="&amp;Table_SiteMilestoneTrackingSummary[[#This Row],[StartDate]:[StartDate]],
Table_SiteMilestoneTracking[SiteReadyForInstallation_BL],"&lt;"&amp;Table_SiteMilestoneTrackingSummary[[#This Row],[EndDate]:[EndDate]]+1)</f>
        <v>0</v>
      </c>
      <c r="BX26" s="100">
        <f>BX25+Table_SiteMilestoneTrackingSummary[[#This Row],[ReadyForInstallation_BL]]</f>
        <v>0</v>
      </c>
      <c r="BY26" s="96">
        <f>COUNTIFS(Table_SiteMilestoneTracking[SiteReadyForInstallation_AC],"&gt;="&amp;Table_SiteMilestoneTrackingSummary[[#This Row],[StartDate]:[StartDate]],
Table_SiteMilestoneTracking[SiteReadyForInstallation_AC],"&lt;"&amp;Table_SiteMilestoneTrackingSummary[[#This Row],[EndDate]:[EndDate]]+1)</f>
        <v>0</v>
      </c>
      <c r="BZ26" s="100">
        <f>BZ25+Table_SiteMilestoneTrackingSummary[[#This Row],[ReadyForInstallation_AC]]</f>
        <v>0</v>
      </c>
      <c r="CA26" s="100">
        <f>$CA$2*Table_SiteMilestoneTrackingSummary[[#This Row],[ReadyForIntegration_AC]]</f>
        <v>0</v>
      </c>
      <c r="CB26" s="100">
        <f>CB25+Table_SiteMilestoneTrackingSummary[[#This Row],[c6_InstallationEV]]</f>
        <v>0</v>
      </c>
      <c r="CC26" s="96">
        <f>SUMIFS(Table_SiteMilestoneTracking[c6_InstallationCostBL],
Table_SiteMilestoneTracking[SiteReadyForIntegration_BL],"&gt;="&amp;Table_SiteMilestoneTrackingSummary[[#This Row],[StartDate]:[StartDate]],
Table_SiteMilestoneTracking[SiteReadyForIntegration_BL],"&lt;"&amp;Table_SiteMilestoneTrackingSummary[[#This Row],[EndDate]:[EndDate]]+1)</f>
        <v>0</v>
      </c>
      <c r="CD26" s="100">
        <f>CD25+Table_SiteMilestoneTrackingSummary[[#This Row],[c6_InstallationCostBL]]</f>
        <v>0</v>
      </c>
      <c r="CE26" s="96">
        <f>SUMIFS(Table_SiteMilestoneTracking[c6_InstallationCostAC],
Table_SiteMilestoneTracking[SiteReadyForIntegration_AC],"&gt;="&amp;Table_SiteMilestoneTrackingSummary[[#This Row],[StartDate]:[StartDate]],
Table_SiteMilestoneTracking[SiteReadyForIntegration_AC],"&lt;"&amp;Table_SiteMilestoneTrackingSummary[[#This Row],[EndDate]:[EndDate]]+1)</f>
        <v>0</v>
      </c>
      <c r="CF26" s="100">
        <f>CF25+Table_SiteMilestoneTrackingSummary[[#This Row],[c6_InstallationCostAC]]</f>
        <v>0</v>
      </c>
      <c r="CG26" s="96">
        <f>COUNTIFS(Table_SiteMilestoneTracking[SiteReadyForIntegration_BL],"&gt;="&amp;Table_SiteMilestoneTrackingSummary[[#This Row],[StartDate]:[StartDate]],
Table_SiteMilestoneTracking[SiteReadyForIntegration_BL],"&lt;"&amp;Table_SiteMilestoneTrackingSummary[[#This Row],[EndDate]:[EndDate]]+1)</f>
        <v>0</v>
      </c>
      <c r="CH26" s="100">
        <f>CH25+Table_SiteMilestoneTrackingSummary[[#This Row],[ReadyForIntegration_BL]]</f>
        <v>0</v>
      </c>
      <c r="CI26" s="96">
        <f>COUNTIFS(Table_SiteMilestoneTracking[SiteReadyForIntegration_AC],"&gt;="&amp;Table_SiteMilestoneTrackingSummary[[#This Row],[StartDate]:[StartDate]],
Table_SiteMilestoneTracking[SiteReadyForIntegration_AC],"&lt;"&amp;Table_SiteMilestoneTrackingSummary[[#This Row],[EndDate]:[EndDate]]+1)</f>
        <v>0</v>
      </c>
      <c r="CJ26" s="100">
        <f>CJ25+Table_SiteMilestoneTrackingSummary[[#This Row],[ReadyForIntegration_AC]]</f>
        <v>0</v>
      </c>
      <c r="CK26" s="100">
        <f>$CK$2*Table_SiteMilestoneTrackingSummary[[#This Row],[SiteOnAir_AC]]</f>
        <v>0</v>
      </c>
      <c r="CL26" s="100">
        <f>CL25+Table_SiteMilestoneTrackingSummary[[#This Row],[c7_IntegrationEV]]</f>
        <v>0</v>
      </c>
      <c r="CM26" s="96">
        <f>SUMIFS(Table_SiteMilestoneTracking[c7_IntegrationCostBL],
Table_SiteMilestoneTracking[SiteOnAir_BL],"&gt;="&amp;Table_SiteMilestoneTrackingSummary[[#This Row],[StartDate]:[StartDate]],
Table_SiteMilestoneTracking[SiteOnAir_BL],"&lt;"&amp;Table_SiteMilestoneTrackingSummary[[#This Row],[EndDate]:[EndDate]]+1)</f>
        <v>0</v>
      </c>
      <c r="CN26" s="100">
        <f>CN25+Table_SiteMilestoneTrackingSummary[[#This Row],[c7_IntegrationCostBL]]</f>
        <v>0</v>
      </c>
      <c r="CO26" s="96">
        <f>SUMIFS(Table_SiteMilestoneTracking[c7_IntegrationCostAC],
Table_SiteMilestoneTracking[SiteOnAir_AC],"&gt;="&amp;Table_SiteMilestoneTrackingSummary[[#This Row],[StartDate]:[StartDate]],
Table_SiteMilestoneTracking[SiteOnAir_AC],"&lt;"&amp;Table_SiteMilestoneTrackingSummary[[#This Row],[EndDate]:[EndDate]]+1)</f>
        <v>0</v>
      </c>
      <c r="CP26" s="100">
        <f>CP25+Table_SiteMilestoneTrackingSummary[[#This Row],[c7_IntegrationCostAC]]</f>
        <v>0</v>
      </c>
      <c r="CQ26" s="96">
        <f>COUNTIFS(Table_SiteMilestoneTracking[SiteOnAir_BL],"&gt;="&amp;Table_SiteMilestoneTrackingSummary[[#This Row],[StartDate]:[StartDate]],
Table_SiteMilestoneTracking[SiteOnAir_BL],"&lt;"&amp;Table_SiteMilestoneTrackingSummary[[#This Row],[EndDate]:[EndDate]]+1)</f>
        <v>0</v>
      </c>
      <c r="CR26" s="100">
        <f>CR25+Table_SiteMilestoneTrackingSummary[[#This Row],[SiteOnAir_BL]]</f>
        <v>0</v>
      </c>
      <c r="CS26" s="96">
        <f>COUNTIFS(Table_SiteMilestoneTracking[SiteOnAir_AC],"&gt;="&amp;Table_SiteMilestoneTrackingSummary[[#This Row],[StartDate]:[StartDate]],
Table_SiteMilestoneTracking[SiteOnAir_AC],"&lt;"&amp;Table_SiteMilestoneTrackingSummary[[#This Row],[EndDate]:[EndDate]]+1)</f>
        <v>0</v>
      </c>
      <c r="CT26" s="100">
        <f>CT25+Table_SiteMilestoneTrackingSummary[[#This Row],[SiteOnAir_AC]]</f>
        <v>0</v>
      </c>
      <c r="CU26" s="100">
        <f>$CU$2*Table_SiteMilestoneTrackingSummary[[#This Row],[SiteAccepted_AC]]</f>
        <v>0</v>
      </c>
      <c r="CV26" s="100">
        <f>CV25+Table_SiteMilestoneTrackingSummary[[#This Row],[c8_AcceptanceEV]]</f>
        <v>0</v>
      </c>
      <c r="CW26" s="96">
        <f>SUMIFS(Table_SiteMilestoneTracking[c8_AcceptanceCostBL],
Table_SiteMilestoneTracking[SiteAccepted_BL],"&gt;="&amp;Table_SiteMilestoneTrackingSummary[[#This Row],[StartDate]:[StartDate]],
Table_SiteMilestoneTracking[SiteAccepted_BL],"&lt;"&amp;Table_SiteMilestoneTrackingSummary[[#This Row],[EndDate]:[EndDate]]+1)</f>
        <v>0</v>
      </c>
      <c r="CX26" s="100">
        <f>CX25+Table_SiteMilestoneTrackingSummary[[#This Row],[c8_AcceptanceCostBL]]</f>
        <v>0</v>
      </c>
      <c r="CY26" s="96">
        <f>SUMIFS(Table_SiteMilestoneTracking[c8_AcceptanceCostAC],
Table_SiteMilestoneTracking[SiteAccepted_AC],"&gt;="&amp;Table_SiteMilestoneTrackingSummary[[#This Row],[StartDate]:[StartDate]],
Table_SiteMilestoneTracking[SiteAccepted_AC],"&lt;"&amp;Table_SiteMilestoneTrackingSummary[[#This Row],[EndDate]:[EndDate]]+1)</f>
        <v>0</v>
      </c>
      <c r="CZ26" s="100">
        <f>CZ25+Table_SiteMilestoneTrackingSummary[[#This Row],[c8_AcceptanceCostAC]]</f>
        <v>0</v>
      </c>
      <c r="DA26" s="96">
        <f>COUNTIFS(Table_SiteMilestoneTracking[SiteAccepted_BL],"&gt;="&amp;Table_SiteMilestoneTrackingSummary[[#This Row],[StartDate]:[StartDate]],
Table_SiteMilestoneTracking[SiteAccepted_BL],"&lt;"&amp;Table_SiteMilestoneTrackingSummary[[#This Row],[EndDate]:[EndDate]]+1)</f>
        <v>0</v>
      </c>
      <c r="DB26" s="100">
        <f>DB25+Table_SiteMilestoneTrackingSummary[[#This Row],[SiteAccepted_BL]]</f>
        <v>0</v>
      </c>
      <c r="DC26" s="96">
        <f>COUNTIFS(Table_SiteMilestoneTracking[SiteAccepted_AC],"&gt;="&amp;Table_SiteMilestoneTrackingSummary[[#This Row],[StartDate]:[StartDate]],
Table_SiteMilestoneTracking[SiteAccepted_AC],"&lt;"&amp;Table_SiteMilestoneTrackingSummary[[#This Row],[EndDate]:[EndDate]]+1)</f>
        <v>0</v>
      </c>
      <c r="DD26" s="100">
        <f>DD25+Table_SiteMilestoneTrackingSummary[[#This Row],[SiteAccepted_AC]]</f>
        <v>0</v>
      </c>
      <c r="DE26" s="100">
        <f>$DE$2*Table_SiteMilestoneTrackingSummary[[#This Row],[SiteInOperations_AC]]</f>
        <v>0</v>
      </c>
      <c r="DF26" s="100">
        <f>DF25+Table_SiteMilestoneTrackingSummary[[#This Row],[c9_HandoverEV]]</f>
        <v>0</v>
      </c>
      <c r="DG26" s="96">
        <f>SUMIFS(Table_SiteMilestoneTracking[c9_HandoverCostBL],
Table_SiteMilestoneTracking[SiteInOperations_BL],"&gt;="&amp;Table_SiteMilestoneTrackingSummary[[#This Row],[StartDate]:[StartDate]],
Table_SiteMilestoneTracking[SiteInOperations_BL],"&lt;"&amp;Table_SiteMilestoneTrackingSummary[[#This Row],[EndDate]:[EndDate]]+1)</f>
        <v>0</v>
      </c>
      <c r="DH26" s="100">
        <f>DH25+Table_SiteMilestoneTrackingSummary[[#This Row],[c9_HandoverCostBL2]]</f>
        <v>0</v>
      </c>
      <c r="DI26" s="96">
        <f>SUMIFS(Table_SiteMilestoneTracking[c9_HandoverCostAC],
Table_SiteMilestoneTracking[SiteInOperations_AC],"&gt;="&amp;Table_SiteMilestoneTrackingSummary[[#This Row],[StartDate]:[StartDate]],
Table_SiteMilestoneTracking[SiteInOperations_AC],"&lt;"&amp;Table_SiteMilestoneTrackingSummary[[#This Row],[EndDate]:[EndDate]]+1)</f>
        <v>0</v>
      </c>
      <c r="DJ26" s="100">
        <f>DJ25+Table_SiteMilestoneTrackingSummary[[#This Row],[c9_HandoverCostAC]]</f>
        <v>0</v>
      </c>
      <c r="DK26" s="96">
        <f>COUNTIFS(Table_SiteMilestoneTracking[SiteInOperations_BL],"&gt;="&amp;Table_SiteMilestoneTrackingSummary[[#This Row],[StartDate]:[StartDate]],
Table_SiteMilestoneTracking[SiteInOperations_BL],"&lt;"&amp;Table_SiteMilestoneTrackingSummary[[#This Row],[EndDate]:[EndDate]]+1)</f>
        <v>0</v>
      </c>
      <c r="DL26" s="100">
        <f>DL25+Table_SiteMilestoneTrackingSummary[[#This Row],[SiteInOperations_BL]]</f>
        <v>0</v>
      </c>
      <c r="DM26" s="96">
        <f>COUNTIFS(Table_SiteMilestoneTracking[SiteInOperations_AC],"&gt;="&amp;Table_SiteMilestoneTrackingSummary[[#This Row],[StartDate]:[StartDate]],
Table_SiteMilestoneTracking[SiteInOperations_AC],"&lt;"&amp;Table_SiteMilestoneTrackingSummary[[#This Row],[EndDate]:[EndDate]]+1)</f>
        <v>0</v>
      </c>
      <c r="DN26" s="100">
        <f>DN25+Table_SiteMilestoneTrackingSummary[[#This Row],[SiteInOperations_AC]]</f>
        <v>0</v>
      </c>
      <c r="DO26" s="59">
        <f>Table_SiteMilestoneTrackingSummary[[#This Row],[c0_SiteDesignEV(SUM)]]+Table_SiteMilestoneTrackingSummary[[#This Row],[c1_SiteSurveyEV(SUM)]]+Table_SiteMilestoneTrackingSummary[[#This Row],[c2_SiteAcquisitionEV(SUM)]]+Table_SiteMilestoneTrackingSummary[[#This Row],[c2a_SiteCWReadinessEV(SUM)]]+Table_SiteMilestoneTrackingSummary[[#This Row],[c3_CivilWorksEV(SUM)]]+Table_SiteMilestoneTrackingSummary[[#This Row],[c4_PowerInstallEV(SUM)]]+Table_SiteMilestoneTrackingSummary[[#This Row],[c5_TxIntegrationEV(SUM)]]+Table_SiteMilestoneTrackingSummary[[#This Row],[c6_InstallationEV(SUM)]]+Table_SiteMilestoneTrackingSummary[[#This Row],[c7_IntegrationEV(SUM)]]+Table_SiteMilestoneTrackingSummary[[#This Row],[c8_AcceptanceEV(SUM)]]+Table_SiteMilestoneTrackingSummary[[#This Row],[c9_HandoverEV(SUM)]]</f>
        <v>3500</v>
      </c>
      <c r="DP26" s="59">
        <f>Table_SiteMilestoneTrackingSummary[[#This Row],[c0_SiteDesignCostBL(SUM)]]+Table_SiteMilestoneTrackingSummary[[#This Row],[c1_SiteSurveyCostBL(SUM)]]+Table_SiteMilestoneTrackingSummary[[#This Row],[c2_SiteAcquisitionCostBL(SUM)]]+Table_SiteMilestoneTrackingSummary[[#This Row],[c2a_SiteCWReadinessCostBL(SUM)]]+Table_SiteMilestoneTrackingSummary[[#This Row],[c3_CivilWorksCostBL(SUM)]]+Table_SiteMilestoneTrackingSummary[[#This Row],[c4_PowerInstallCostBL(SUM)]]+Table_SiteMilestoneTrackingSummary[[#This Row],[c5_TxIntegrationCostBL(SUM)]]+Table_SiteMilestoneTrackingSummary[[#This Row],[c6_InstallationCostBL(SUM)]]+Table_SiteMilestoneTrackingSummary[[#This Row],[c7_IntegrationCostBL(SUM)]]+Table_SiteMilestoneTrackingSummary[[#This Row],[c8_AcceptanceCostBL(SUM)]]+Table_SiteMilestoneTrackingSummary[[#This Row],[c9_HandoverCostBL(SUM)]]</f>
        <v>7000</v>
      </c>
      <c r="DQ26" s="59">
        <f>Table_SiteMilestoneTrackingSummary[[#This Row],[c0_SiteDesignCostAC(SUM)]]+Table_SiteMilestoneTrackingSummary[[#This Row],[c1_SiteSurveyCostAC(SUM)]]+Table_SiteMilestoneTrackingSummary[[#This Row],[c2_SiteAcquisitionCostAC(SUM)]]+Table_SiteMilestoneTrackingSummary[[#This Row],[c2a_SiteCWReadinessCostAC(SUM)]]+Table_SiteMilestoneTrackingSummary[[#This Row],[c3_CivilWorksCostAC(SUM)]]+Table_SiteMilestoneTrackingSummary[[#This Row],[c4_PowerInstallCostAC(SUM)]]+Table_SiteMilestoneTrackingSummary[[#This Row],[c5_TxIntegrationCostAC(SUM)]]+Table_SiteMilestoneTrackingSummary[[#This Row],[c6_InstallationCostAC(SUM)]]+Table_SiteMilestoneTrackingSummary[[#This Row],[c7_IntegrationCostAC(SUM)]]+Table_SiteMilestoneTrackingSummary[[#This Row],[c8_AcceptanceCostAC(SUM)]]+Table_SiteMilestoneTrackingSummary[[#This Row],[c9_HandoverCostAC(SUM)]]</f>
        <v>5525</v>
      </c>
      <c r="DR26" s="59">
        <f>Table_SiteMilestoneTrackingSummary[[#This Row],[AccumulatedEV]]-Table_SiteMilestoneTrackingSummary[[#This Row],[AccumulatedPV]]</f>
        <v>-3500</v>
      </c>
      <c r="DS26" s="59">
        <f>Table_SiteMilestoneTrackingSummary[[#This Row],[AccumulatedEV]]-Table_SiteMilestoneTrackingSummary[[#This Row],[AccumulatedAC]]</f>
        <v>-2025</v>
      </c>
      <c r="DT26" s="58">
        <f>IFERROR(Table_SiteMilestoneTrackingSummary[[#This Row],[AccumulatedEV]]/Table_SiteMilestoneTrackingSummary[[#This Row],[AccumulatedPV]],"/")</f>
        <v>0.5</v>
      </c>
      <c r="DU26" s="101">
        <f>IFERROR(Table_SiteMilestoneTrackingSummary[[#This Row],[AccumulatedEV]]/Table_SiteMilestoneTrackingSummary[[#This Row],[AccumulatedAC]],"/")</f>
        <v>0.63348416289592757</v>
      </c>
    </row>
    <row r="27" spans="1:125" x14ac:dyDescent="0.3">
      <c r="A27" s="79">
        <v>2020</v>
      </c>
      <c r="B27" s="79">
        <v>24</v>
      </c>
      <c r="C27" s="95">
        <f>DATE(Table_SiteMilestoneTrackingSummary[[#This Row],[Year]],1,-2)-WEEKDAY(DATE(Table_SiteMilestoneTrackingSummary[[#This Row],[Year]],1,3))+Table_SiteMilestoneTrackingSummary[[#This Row],[Week]]*7</f>
        <v>43990</v>
      </c>
      <c r="D27" s="95">
        <f>Table_SiteMilestoneTrackingSummary[[#This Row],[StartDate]]+6</f>
        <v>43996</v>
      </c>
      <c r="E27" s="100">
        <f>COUNTIFS(Table_SiteMilestoneTracking[SiteDesignStarted_BL],"&gt;="&amp;Table_SiteMilestoneTrackingSummary[[#This Row],[StartDate]:[StartDate]],Table_SiteMilestoneTracking[SiteDesignStarted_BL],"&lt;"&amp;Table_SiteMilestoneTrackingSummary[[#This Row],[EndDate]:[EndDate]]+1)</f>
        <v>10</v>
      </c>
      <c r="F27" s="100">
        <f>F26+Table_SiteMilestoneTrackingSummary[[#This Row],[SiteDesignStarted_BL]]</f>
        <v>26</v>
      </c>
      <c r="G27" s="100">
        <f>COUNTIFS(Table_SiteMilestoneTracking[SiteDesignStarted_AC],"&gt;="&amp;Table_SiteMilestoneTrackingSummary[[#This Row],[StartDate]:[StartDate]],Table_SiteMilestoneTracking[SiteDesignStarted_AC],"&lt;"&amp;Table_SiteMilestoneTrackingSummary[[#This Row],[EndDate]:[EndDate]]+1)</f>
        <v>10</v>
      </c>
      <c r="H27" s="100">
        <f>H26+Table_SiteMilestoneTrackingSummary[[#This Row],[SiteDesignStarted_AC]]</f>
        <v>20</v>
      </c>
      <c r="I27" s="100">
        <f>Table_SiteMilestoneTrackingSummary[[#This Row],[SiteDesignReady_AC]]*$I$2</f>
        <v>4500</v>
      </c>
      <c r="J27" s="100">
        <f>J26+Table_SiteMilestoneTrackingSummary[[#This Row],[c0_SiteDesignEV]]</f>
        <v>8000</v>
      </c>
      <c r="K27" s="97">
        <f>SUMIFS(Table_SiteMilestoneTracking[c0_SiteDesignCostBL],
Table_SiteMilestoneTracking[SiteDesignReady_BL],"&gt;="&amp;Table_SiteMilestoneTrackingSummary[[#This Row],[StartDate]:[StartDate]],
Table_SiteMilestoneTracking[SiteDesignReady_BL],"&lt;"&amp;Table_SiteMilestoneTrackingSummary[[#This Row],[EndDate]:[EndDate]]+1)</f>
        <v>4500</v>
      </c>
      <c r="L27" s="59">
        <f>L26+Table_SiteMilestoneTrackingSummary[[#This Row],[c0_SiteDesignCostBL]]</f>
        <v>8000</v>
      </c>
      <c r="M27" s="97">
        <f>SUMIFS(Table_SiteMilestoneTracking[c0_SiteDesignCostAC],
Table_SiteMilestoneTracking[SiteDesignReady_AC],"&gt;="&amp;Table_SiteMilestoneTrackingSummary[[#This Row],[StartDate]:[StartDate]],
Table_SiteMilestoneTracking[SiteDesignReady_AC],"&lt;"&amp;Table_SiteMilestoneTrackingSummary[[#This Row],[EndDate]:[EndDate]]+1)</f>
        <v>4440</v>
      </c>
      <c r="N27" s="59">
        <f>N26+Table_SiteMilestoneTrackingSummary[[#This Row],[c0_SiteDesignCostAC]]</f>
        <v>7840</v>
      </c>
      <c r="O27" s="96">
        <f>COUNTIFS(Table_SiteMilestoneTracking[SiteDesignReady_BL],"&gt;="&amp;Table_SiteMilestoneTrackingSummary[[#This Row],[StartDate]:[StartDate]],
Table_SiteMilestoneTracking[SiteDesignReady_BL],"&lt;"&amp;Table_SiteMilestoneTrackingSummary[[#This Row],[EndDate]:[EndDate]]+1)</f>
        <v>9</v>
      </c>
      <c r="P27" s="100">
        <f>P26+Table_SiteMilestoneTrackingSummary[[#This Row],[SiteDesignReady_BL]]</f>
        <v>16</v>
      </c>
      <c r="Q27" s="100">
        <f>COUNTIFS(Table_SiteMilestoneTracking[SiteDesignReady_AC],"&gt;="&amp;Table_SiteMilestoneTrackingSummary[[#This Row],[StartDate]:[StartDate]],Table_SiteMilestoneTracking[SiteDesignReady_AC],"&lt;"&amp;Table_SiteMilestoneTrackingSummary[[#This Row],[EndDate]:[EndDate]]+1)</f>
        <v>9</v>
      </c>
      <c r="R27" s="100">
        <f>R26+Table_SiteMilestoneTrackingSummary[[#This Row],[SiteDesignReady_AC]]</f>
        <v>16</v>
      </c>
      <c r="S27" s="100">
        <f>Table_SiteMilestoneTrackingSummary[[#This Row],[ReadyForCW_AC]]*$S$2</f>
        <v>500</v>
      </c>
      <c r="T27" s="100">
        <f>T26+Table_SiteMilestoneTrackingSummary[[#This Row],[c1_SiteSurveyEV]]</f>
        <v>500</v>
      </c>
      <c r="U27" s="96">
        <f>SUMIFS(Table_SiteMilestoneTracking[c1_SiteSurveyCostBL],
Table_SiteMilestoneTracking[SiteSurveyCompleted_BL],"&gt;="&amp;Table_SiteMilestoneTrackingSummary[[#This Row],[StartDate]:[StartDate]],
Table_SiteMilestoneTracking[SiteSurveyCompleted_BL],"&lt;"&amp;Table_SiteMilestoneTrackingSummary[[#This Row],[EndDate]:[EndDate]]+1)</f>
        <v>4500</v>
      </c>
      <c r="V27" s="100">
        <f>V26+Table_SiteMilestoneTrackingSummary[[#This Row],[c1_SiteSurveyCostBL]]</f>
        <v>8000</v>
      </c>
      <c r="W27" s="96">
        <f>SUMIFS(Table_SiteMilestoneTracking[c1_SiteSurveyCostAC],
Table_SiteMilestoneTracking[SiteSurveyCompleted_AC],"&gt;="&amp;Table_SiteMilestoneTrackingSummary[[#This Row],[StartDate]:[StartDate]],
Table_SiteMilestoneTracking[SiteSurveyCompleted_AC],"&lt;"&amp;Table_SiteMilestoneTrackingSummary[[#This Row],[EndDate]:[EndDate]]+1)</f>
        <v>5325</v>
      </c>
      <c r="X27" s="100">
        <f>X26+Table_SiteMilestoneTrackingSummary[[#This Row],[c1_SiteSurveyCostAC]]</f>
        <v>7450</v>
      </c>
      <c r="Y27" s="96">
        <f>COUNTIFS(Table_SiteMilestoneTracking[SiteSurveyCompleted_BL],"&gt;="&amp;Table_SiteMilestoneTrackingSummary[[#This Row],[StartDate]:[StartDate]],
Table_SiteMilestoneTracking[SiteSurveyCompleted_BL],"&lt;"&amp;Table_SiteMilestoneTrackingSummary[[#This Row],[EndDate]:[EndDate]]+1)</f>
        <v>9</v>
      </c>
      <c r="Z27" s="100">
        <f>Z26+Table_SiteMilestoneTrackingSummary[[#This Row],[SiteSurveyCompleted_BL]]</f>
        <v>16</v>
      </c>
      <c r="AA27" s="96">
        <f>COUNTIFS(Table_SiteMilestoneTracking[SiteSurveyCompleted_AC],"&gt;="&amp;Table_SiteMilestoneTrackingSummary[[#This Row],[StartDate]:[StartDate]],
Table_SiteMilestoneTracking[SiteSurveyCompleted_AC],"&lt;"&amp;Table_SiteMilestoneTrackingSummary[[#This Row],[EndDate]:[EndDate]]+1)</f>
        <v>9</v>
      </c>
      <c r="AB27" s="100">
        <f>AB26+Table_SiteMilestoneTrackingSummary[[#This Row],[SiteSurveyCompleted_AC]]</f>
        <v>14</v>
      </c>
      <c r="AC27" s="100">
        <f>$AC$2*Table_SiteMilestoneTrackingSummary[[#This Row],[SiteAcquired_AC]]</f>
        <v>600</v>
      </c>
      <c r="AD27" s="100">
        <f>AD26+Table_SiteMilestoneTrackingSummary[[#This Row],[c2_SiteAcquisitionEV]]</f>
        <v>600</v>
      </c>
      <c r="AE27" s="96">
        <f>SUMIFS(Table_SiteMilestoneTracking[c2_SiteAcquisitionCostBL],
Table_SiteMilestoneTracking[SiteAcquired_BL],"&gt;="&amp;Table_SiteMilestoneTrackingSummary[[#This Row],[StartDate]:[StartDate]],
Table_SiteMilestoneTracking[SiteAcquired_BL],"&lt;"&amp;Table_SiteMilestoneTrackingSummary[[#This Row],[EndDate]:[EndDate]]+1)</f>
        <v>4200</v>
      </c>
      <c r="AF27" s="100">
        <f>AF26+Table_SiteMilestoneTrackingSummary[[#This Row],[c2_SiteAcquisitionCostBL]]</f>
        <v>4200</v>
      </c>
      <c r="AG27" s="96">
        <f>SUMIFS(Table_SiteMilestoneTracking[c2_SiteAcquisitionCostAC],
Table_SiteMilestoneTracking[SiteAcquired_AC],"&gt;="&amp;Table_SiteMilestoneTrackingSummary[[#This Row],[StartDate]:[StartDate]],
Table_SiteMilestoneTracking[SiteAcquired_AC],"&lt;"&amp;Table_SiteMilestoneTrackingSummary[[#This Row],[EndDate]:[EndDate]]+1)</f>
        <v>420</v>
      </c>
      <c r="AH27" s="100">
        <f>AH26+Table_SiteMilestoneTrackingSummary[[#This Row],[c2_SiteAcquisitionCostAC]]</f>
        <v>420</v>
      </c>
      <c r="AI27" s="96">
        <f>COUNTIFS(Table_SiteMilestoneTracking[SiteAcquired_BL],"&gt;="&amp;Table_SiteMilestoneTrackingSummary[[#This Row],[StartDate]:[StartDate]],
Table_SiteMilestoneTracking[SiteAcquired_BL],"&lt;"&amp;Table_SiteMilestoneTrackingSummary[[#This Row],[EndDate]:[EndDate]]+1)</f>
        <v>7</v>
      </c>
      <c r="AJ27" s="100">
        <f>AJ26+Table_SiteMilestoneTrackingSummary[[#This Row],[SiteAcquired_BL]]</f>
        <v>7</v>
      </c>
      <c r="AK27" s="96">
        <f>COUNTIFS(Table_SiteMilestoneTracking[SiteAcquired_AC],"&gt;="&amp;Table_SiteMilestoneTrackingSummary[[#This Row],[StartDate]:[StartDate]],
Table_SiteMilestoneTracking[SiteAcquired_AC],"&lt;"&amp;Table_SiteMilestoneTrackingSummary[[#This Row],[EndDate]:[EndDate]]+1)</f>
        <v>1</v>
      </c>
      <c r="AL27" s="100">
        <f>AL26+Table_SiteMilestoneTrackingSummary[[#This Row],[SiteAcquired_AC]]</f>
        <v>1</v>
      </c>
      <c r="AM27" s="100">
        <f>Table_SiteMilestoneTrackingSummary[[#This Row],[ReadyForCW_AC]]*$AM$2</f>
        <v>150</v>
      </c>
      <c r="AN27" s="100">
        <f>AN26+Table_SiteMilestoneTrackingSummary[[#This Row],[c2a_SiteCWReadinessEV]]</f>
        <v>150</v>
      </c>
      <c r="AO27" s="96">
        <f>SUMIFS(Table_SiteMilestoneTracking[c2a_SiteCWReadinessCost_BL],
Table_SiteMilestoneTracking[SiteReadyForCW_BL],"&gt;="&amp;Table_SiteMilestoneTrackingSummary[[#This Row],[StartDate]:[StartDate]],
Table_SiteMilestoneTracking[SiteReadyForCW_BL],"&lt;"&amp;Table_SiteMilestoneTrackingSummary[[#This Row],[EndDate]:[EndDate]]+1)</f>
        <v>150</v>
      </c>
      <c r="AP27" s="100">
        <f>AP26+Table_SiteMilestoneTrackingSummary[[#This Row],[c2a_SiteCWReadinessCostBL]]</f>
        <v>150</v>
      </c>
      <c r="AQ27" s="96">
        <f>SUMIFS(Table_SiteMilestoneTracking[c2a_SiteCWReadinessCost_AC],
Table_SiteMilestoneTracking[SiteReadyForCW_AC],"&gt;="&amp;Table_SiteMilestoneTrackingSummary[[#This Row],[StartDate]:[StartDate]],
Table_SiteMilestoneTracking[SiteReadyForCW_AC],"&lt;"&amp;Table_SiteMilestoneTrackingSummary[[#This Row],[EndDate]:[EndDate]]+1)</f>
        <v>150</v>
      </c>
      <c r="AR27" s="100">
        <f>AR26+Table_SiteMilestoneTrackingSummary[[#This Row],[c2a_SiteCWReadinessCostAC]]</f>
        <v>150</v>
      </c>
      <c r="AS27" s="96">
        <f>COUNTIFS(Table_SiteMilestoneTracking[SiteReadyForCW_BL],"&gt;="&amp;Table_SiteMilestoneTrackingSummary[[#This Row],[StartDate]:[StartDate]],
Table_SiteMilestoneTracking[SiteReadyForCW_BL],"&lt;"&amp;Table_SiteMilestoneTrackingSummary[[#This Row],[EndDate]:[EndDate]]+1)</f>
        <v>1</v>
      </c>
      <c r="AT27" s="100">
        <f>AT26+Table_SiteMilestoneTrackingSummary[[#This Row],[ReadyForCW_BL]]</f>
        <v>1</v>
      </c>
      <c r="AU27" s="96">
        <f>COUNTIFS(Table_SiteMilestoneTracking[SiteReadyForCW_AC],"&gt;="&amp;Table_SiteMilestoneTrackingSummary[[#This Row],[StartDate]:[StartDate]],
Table_SiteMilestoneTracking[SiteReadyForCW_AC],"&lt;"&amp;Table_SiteMilestoneTrackingSummary[[#This Row],[EndDate]:[EndDate]]+1)</f>
        <v>1</v>
      </c>
      <c r="AV27" s="100">
        <f>AV26+Table_SiteMilestoneTrackingSummary[[#This Row],[ReadyForCW_AC]]</f>
        <v>1</v>
      </c>
      <c r="AW27" s="100">
        <f>$AW$2*Table_SiteMilestoneTrackingSummary[[#This Row],[ReadyForPower_AC]]</f>
        <v>0</v>
      </c>
      <c r="AX27" s="100">
        <f>AX26+Table_SiteMilestoneTrackingSummary[[#This Row],[c3_CivilWorksEV]]</f>
        <v>0</v>
      </c>
      <c r="AY27" s="96">
        <f>SUMIFS(Table_SiteMilestoneTracking[c3_CivilWorksCostBL],
Table_SiteMilestoneTracking[SiteReadyForPower_BL],"&gt;="&amp;Table_SiteMilestoneTrackingSummary[[#This Row],[StartDate]:[StartDate]],
Table_SiteMilestoneTracking[SiteReadyForPower_BL],"&lt;"&amp;Table_SiteMilestoneTrackingSummary[[#This Row],[EndDate]:[EndDate]]+1)</f>
        <v>0</v>
      </c>
      <c r="AZ27" s="100">
        <f>AZ26+Table_SiteMilestoneTrackingSummary[[#This Row],[c3_CivilWorksCostBL]]</f>
        <v>0</v>
      </c>
      <c r="BA27" s="96">
        <f>SUMIFS(Table_SiteMilestoneTracking[c3_CivilWorksCostAC],
Table_SiteMilestoneTracking[SiteReadyForPower_AC],"&gt;="&amp;Table_SiteMilestoneTrackingSummary[[#This Row],[StartDate]:[StartDate]],
Table_SiteMilestoneTracking[SiteReadyForPower_AC],"&lt;"&amp;Table_SiteMilestoneTrackingSummary[[#This Row],[EndDate]:[EndDate]]+1)</f>
        <v>0</v>
      </c>
      <c r="BB27" s="100">
        <f>BB26+Table_SiteMilestoneTrackingSummary[[#This Row],[c3_CivilWorksCostAC]]</f>
        <v>0</v>
      </c>
      <c r="BC27" s="96">
        <f>COUNTIFS(Table_SiteMilestoneTracking[SiteReadyForPower_BL],"&gt;="&amp;Table_SiteMilestoneTrackingSummary[[#This Row],[StartDate]:[StartDate]],
Table_SiteMilestoneTracking[SiteReadyForPower_BL],"&lt;"&amp;Table_SiteMilestoneTrackingSummary[[#This Row],[EndDate]:[EndDate]]+1)</f>
        <v>0</v>
      </c>
      <c r="BD27" s="100">
        <f>BD26+Table_SiteMilestoneTrackingSummary[[#This Row],[ReadyForPower_BL]]</f>
        <v>0</v>
      </c>
      <c r="BE27" s="96">
        <f>COUNTIFS(Table_SiteMilestoneTracking[SiteReadyForPower_AC],"&gt;="&amp;Table_SiteMilestoneTrackingSummary[[#This Row],[StartDate]:[StartDate]],
Table_SiteMilestoneTracking[SiteReadyForPower_AC],"&lt;"&amp;Table_SiteMilestoneTrackingSummary[[#This Row],[EndDate]:[EndDate]]+1)</f>
        <v>0</v>
      </c>
      <c r="BF27" s="100">
        <f>BF26+Table_SiteMilestoneTrackingSummary[[#This Row],[ReadyForPower_AC]]</f>
        <v>0</v>
      </c>
      <c r="BG27" s="100">
        <f>$BG$2*Table_SiteMilestoneTrackingSummary[[#This Row],[TXReady_AC]]</f>
        <v>0</v>
      </c>
      <c r="BH27" s="100">
        <f>BH26+Table_SiteMilestoneTrackingSummary[[#This Row],[c4_PowerInstallEV]]</f>
        <v>0</v>
      </c>
      <c r="BI27" s="96">
        <f>SUMIFS(Table_SiteMilestoneTracking[c4_PowerInstallCostBL],
Table_SiteMilestoneTracking[TXReady_BL],"&gt;="&amp;Table_SiteMilestoneTrackingSummary[[#This Row],[StartDate]:[StartDate]],
Table_SiteMilestoneTracking[TXReady_BL],"&lt;"&amp;Table_SiteMilestoneTrackingSummary[[#This Row],[EndDate]:[EndDate]]+1)</f>
        <v>0</v>
      </c>
      <c r="BJ27" s="100">
        <f>BJ26+Table_SiteMilestoneTrackingSummary[[#This Row],[c4_PowerInstallCostBL]]</f>
        <v>0</v>
      </c>
      <c r="BK27" s="96">
        <f>SUMIFS(Table_SiteMilestoneTracking[c4_PowerInstallCostAC],
Table_SiteMilestoneTracking[TXReady_AC],"&gt;="&amp;Table_SiteMilestoneTrackingSummary[[#This Row],[StartDate]:[StartDate]],
Table_SiteMilestoneTracking[TXReady_AC],"&lt;"&amp;Table_SiteMilestoneTrackingSummary[[#This Row],[EndDate]:[EndDate]]+1)</f>
        <v>0</v>
      </c>
      <c r="BL27" s="100">
        <f>BL26+Table_SiteMilestoneTrackingSummary[[#This Row],[c4_PowerInstallCostAC]]</f>
        <v>0</v>
      </c>
      <c r="BM27" s="96">
        <f>COUNTIFS(Table_SiteMilestoneTracking[TXReady_BL],"&gt;="&amp;Table_SiteMilestoneTrackingSummary[[#This Row],[StartDate]:[StartDate]],
Table_SiteMilestoneTracking[TXReady_BL],"&lt;"&amp;Table_SiteMilestoneTrackingSummary[[#This Row],[EndDate]:[EndDate]]+1)</f>
        <v>0</v>
      </c>
      <c r="BN27" s="100">
        <f>BN26+Table_SiteMilestoneTrackingSummary[[#This Row],[TXReady_BL]]</f>
        <v>0</v>
      </c>
      <c r="BO27" s="100">
        <f>COUNTIFS(Table_SiteMilestoneTracking[TXReady_AC],"&gt;="&amp;Table_SiteMilestoneTrackingSummary[[#This Row],[StartDate]:[StartDate]],Table_SiteMilestoneTracking[TXReady_AC],"&lt;"&amp;Table_SiteMilestoneTrackingSummary[[#This Row],[EndDate]:[EndDate]]+1)</f>
        <v>0</v>
      </c>
      <c r="BP27" s="100">
        <f>BP26+Table_SiteMilestoneTrackingSummary[[#This Row],[TXReady_AC]]</f>
        <v>0</v>
      </c>
      <c r="BQ27" s="100">
        <f>$BQ$2*Table_SiteMilestoneTrackingSummary[[#This Row],[ReadyForInstallation_AC]]</f>
        <v>0</v>
      </c>
      <c r="BR27" s="100">
        <f>BR26+Table_SiteMilestoneTrackingSummary[[#This Row],[c5_TxIntegrationEV]]</f>
        <v>0</v>
      </c>
      <c r="BS27" s="96">
        <f>SUMIFS(Table_SiteMilestoneTracking[c5_TxintegrationCostBL],
Table_SiteMilestoneTracking[SiteReadyForInstallation_BL],"&gt;="&amp;Table_SiteMilestoneTrackingSummary[[#This Row],[StartDate]:[StartDate]],
Table_SiteMilestoneTracking[SiteReadyForInstallation_BL],"&lt;"&amp;Table_SiteMilestoneTrackingSummary[[#This Row],[EndDate]:[EndDate]]+1)</f>
        <v>0</v>
      </c>
      <c r="BT27" s="100">
        <f>BT26+Table_SiteMilestoneTrackingSummary[[#This Row],[c5_TxIntegrationCostBL]]</f>
        <v>0</v>
      </c>
      <c r="BU27" s="96">
        <f>SUMIFS(Table_SiteMilestoneTracking[c5_TxintegrationCostAC],
Table_SiteMilestoneTracking[SiteReadyForInstallation_AC],"&gt;="&amp;Table_SiteMilestoneTrackingSummary[[#This Row],[StartDate]:[StartDate]],
Table_SiteMilestoneTracking[SiteReadyForInstallation_AC],"&lt;"&amp;Table_SiteMilestoneTrackingSummary[[#This Row],[EndDate]:[EndDate]]+1)</f>
        <v>0</v>
      </c>
      <c r="BV27" s="100">
        <f>BV26+Table_SiteMilestoneTrackingSummary[[#This Row],[c5_TxIntegrationCostAC]]</f>
        <v>0</v>
      </c>
      <c r="BW27" s="96">
        <f>COUNTIFS(Table_SiteMilestoneTracking[SiteReadyForInstallation_BL],"&gt;="&amp;Table_SiteMilestoneTrackingSummary[[#This Row],[StartDate]:[StartDate]],
Table_SiteMilestoneTracking[SiteReadyForInstallation_BL],"&lt;"&amp;Table_SiteMilestoneTrackingSummary[[#This Row],[EndDate]:[EndDate]]+1)</f>
        <v>0</v>
      </c>
      <c r="BX27" s="100">
        <f>BX26+Table_SiteMilestoneTrackingSummary[[#This Row],[ReadyForInstallation_BL]]</f>
        <v>0</v>
      </c>
      <c r="BY27" s="96">
        <f>COUNTIFS(Table_SiteMilestoneTracking[SiteReadyForInstallation_AC],"&gt;="&amp;Table_SiteMilestoneTrackingSummary[[#This Row],[StartDate]:[StartDate]],
Table_SiteMilestoneTracking[SiteReadyForInstallation_AC],"&lt;"&amp;Table_SiteMilestoneTrackingSummary[[#This Row],[EndDate]:[EndDate]]+1)</f>
        <v>0</v>
      </c>
      <c r="BZ27" s="100">
        <f>BZ26+Table_SiteMilestoneTrackingSummary[[#This Row],[ReadyForInstallation_AC]]</f>
        <v>0</v>
      </c>
      <c r="CA27" s="100">
        <f>$CA$2*Table_SiteMilestoneTrackingSummary[[#This Row],[ReadyForIntegration_AC]]</f>
        <v>0</v>
      </c>
      <c r="CB27" s="100">
        <f>CB26+Table_SiteMilestoneTrackingSummary[[#This Row],[c6_InstallationEV]]</f>
        <v>0</v>
      </c>
      <c r="CC27" s="96">
        <f>SUMIFS(Table_SiteMilestoneTracking[c6_InstallationCostBL],
Table_SiteMilestoneTracking[SiteReadyForIntegration_BL],"&gt;="&amp;Table_SiteMilestoneTrackingSummary[[#This Row],[StartDate]:[StartDate]],
Table_SiteMilestoneTracking[SiteReadyForIntegration_BL],"&lt;"&amp;Table_SiteMilestoneTrackingSummary[[#This Row],[EndDate]:[EndDate]]+1)</f>
        <v>0</v>
      </c>
      <c r="CD27" s="100">
        <f>CD26+Table_SiteMilestoneTrackingSummary[[#This Row],[c6_InstallationCostBL]]</f>
        <v>0</v>
      </c>
      <c r="CE27" s="96">
        <f>SUMIFS(Table_SiteMilestoneTracking[c6_InstallationCostAC],
Table_SiteMilestoneTracking[SiteReadyForIntegration_AC],"&gt;="&amp;Table_SiteMilestoneTrackingSummary[[#This Row],[StartDate]:[StartDate]],
Table_SiteMilestoneTracking[SiteReadyForIntegration_AC],"&lt;"&amp;Table_SiteMilestoneTrackingSummary[[#This Row],[EndDate]:[EndDate]]+1)</f>
        <v>0</v>
      </c>
      <c r="CF27" s="100">
        <f>CF26+Table_SiteMilestoneTrackingSummary[[#This Row],[c6_InstallationCostAC]]</f>
        <v>0</v>
      </c>
      <c r="CG27" s="96">
        <f>COUNTIFS(Table_SiteMilestoneTracking[SiteReadyForIntegration_BL],"&gt;="&amp;Table_SiteMilestoneTrackingSummary[[#This Row],[StartDate]:[StartDate]],
Table_SiteMilestoneTracking[SiteReadyForIntegration_BL],"&lt;"&amp;Table_SiteMilestoneTrackingSummary[[#This Row],[EndDate]:[EndDate]]+1)</f>
        <v>0</v>
      </c>
      <c r="CH27" s="100">
        <f>CH26+Table_SiteMilestoneTrackingSummary[[#This Row],[ReadyForIntegration_BL]]</f>
        <v>0</v>
      </c>
      <c r="CI27" s="96">
        <f>COUNTIFS(Table_SiteMilestoneTracking[SiteReadyForIntegration_AC],"&gt;="&amp;Table_SiteMilestoneTrackingSummary[[#This Row],[StartDate]:[StartDate]],
Table_SiteMilestoneTracking[SiteReadyForIntegration_AC],"&lt;"&amp;Table_SiteMilestoneTrackingSummary[[#This Row],[EndDate]:[EndDate]]+1)</f>
        <v>0</v>
      </c>
      <c r="CJ27" s="100">
        <f>CJ26+Table_SiteMilestoneTrackingSummary[[#This Row],[ReadyForIntegration_AC]]</f>
        <v>0</v>
      </c>
      <c r="CK27" s="100">
        <f>$CK$2*Table_SiteMilestoneTrackingSummary[[#This Row],[SiteOnAir_AC]]</f>
        <v>0</v>
      </c>
      <c r="CL27" s="100">
        <f>CL26+Table_SiteMilestoneTrackingSummary[[#This Row],[c7_IntegrationEV]]</f>
        <v>0</v>
      </c>
      <c r="CM27" s="96">
        <f>SUMIFS(Table_SiteMilestoneTracking[c7_IntegrationCostBL],
Table_SiteMilestoneTracking[SiteOnAir_BL],"&gt;="&amp;Table_SiteMilestoneTrackingSummary[[#This Row],[StartDate]:[StartDate]],
Table_SiteMilestoneTracking[SiteOnAir_BL],"&lt;"&amp;Table_SiteMilestoneTrackingSummary[[#This Row],[EndDate]:[EndDate]]+1)</f>
        <v>0</v>
      </c>
      <c r="CN27" s="100">
        <f>CN26+Table_SiteMilestoneTrackingSummary[[#This Row],[c7_IntegrationCostBL]]</f>
        <v>0</v>
      </c>
      <c r="CO27" s="96">
        <f>SUMIFS(Table_SiteMilestoneTracking[c7_IntegrationCostAC],
Table_SiteMilestoneTracking[SiteOnAir_AC],"&gt;="&amp;Table_SiteMilestoneTrackingSummary[[#This Row],[StartDate]:[StartDate]],
Table_SiteMilestoneTracking[SiteOnAir_AC],"&lt;"&amp;Table_SiteMilestoneTrackingSummary[[#This Row],[EndDate]:[EndDate]]+1)</f>
        <v>0</v>
      </c>
      <c r="CP27" s="100">
        <f>CP26+Table_SiteMilestoneTrackingSummary[[#This Row],[c7_IntegrationCostAC]]</f>
        <v>0</v>
      </c>
      <c r="CQ27" s="96">
        <f>COUNTIFS(Table_SiteMilestoneTracking[SiteOnAir_BL],"&gt;="&amp;Table_SiteMilestoneTrackingSummary[[#This Row],[StartDate]:[StartDate]],
Table_SiteMilestoneTracking[SiteOnAir_BL],"&lt;"&amp;Table_SiteMilestoneTrackingSummary[[#This Row],[EndDate]:[EndDate]]+1)</f>
        <v>0</v>
      </c>
      <c r="CR27" s="100">
        <f>CR26+Table_SiteMilestoneTrackingSummary[[#This Row],[SiteOnAir_BL]]</f>
        <v>0</v>
      </c>
      <c r="CS27" s="96">
        <f>COUNTIFS(Table_SiteMilestoneTracking[SiteOnAir_AC],"&gt;="&amp;Table_SiteMilestoneTrackingSummary[[#This Row],[StartDate]:[StartDate]],
Table_SiteMilestoneTracking[SiteOnAir_AC],"&lt;"&amp;Table_SiteMilestoneTrackingSummary[[#This Row],[EndDate]:[EndDate]]+1)</f>
        <v>0</v>
      </c>
      <c r="CT27" s="100">
        <f>CT26+Table_SiteMilestoneTrackingSummary[[#This Row],[SiteOnAir_AC]]</f>
        <v>0</v>
      </c>
      <c r="CU27" s="100">
        <f>$CU$2*Table_SiteMilestoneTrackingSummary[[#This Row],[SiteAccepted_AC]]</f>
        <v>0</v>
      </c>
      <c r="CV27" s="100">
        <f>CV26+Table_SiteMilestoneTrackingSummary[[#This Row],[c8_AcceptanceEV]]</f>
        <v>0</v>
      </c>
      <c r="CW27" s="96">
        <f>SUMIFS(Table_SiteMilestoneTracking[c8_AcceptanceCostBL],
Table_SiteMilestoneTracking[SiteAccepted_BL],"&gt;="&amp;Table_SiteMilestoneTrackingSummary[[#This Row],[StartDate]:[StartDate]],
Table_SiteMilestoneTracking[SiteAccepted_BL],"&lt;"&amp;Table_SiteMilestoneTrackingSummary[[#This Row],[EndDate]:[EndDate]]+1)</f>
        <v>0</v>
      </c>
      <c r="CX27" s="100">
        <f>CX26+Table_SiteMilestoneTrackingSummary[[#This Row],[c8_AcceptanceCostBL]]</f>
        <v>0</v>
      </c>
      <c r="CY27" s="96">
        <f>SUMIFS(Table_SiteMilestoneTracking[c8_AcceptanceCostAC],
Table_SiteMilestoneTracking[SiteAccepted_AC],"&gt;="&amp;Table_SiteMilestoneTrackingSummary[[#This Row],[StartDate]:[StartDate]],
Table_SiteMilestoneTracking[SiteAccepted_AC],"&lt;"&amp;Table_SiteMilestoneTrackingSummary[[#This Row],[EndDate]:[EndDate]]+1)</f>
        <v>0</v>
      </c>
      <c r="CZ27" s="100">
        <f>CZ26+Table_SiteMilestoneTrackingSummary[[#This Row],[c8_AcceptanceCostAC]]</f>
        <v>0</v>
      </c>
      <c r="DA27" s="96">
        <f>COUNTIFS(Table_SiteMilestoneTracking[SiteAccepted_BL],"&gt;="&amp;Table_SiteMilestoneTrackingSummary[[#This Row],[StartDate]:[StartDate]],
Table_SiteMilestoneTracking[SiteAccepted_BL],"&lt;"&amp;Table_SiteMilestoneTrackingSummary[[#This Row],[EndDate]:[EndDate]]+1)</f>
        <v>0</v>
      </c>
      <c r="DB27" s="100">
        <f>DB26+Table_SiteMilestoneTrackingSummary[[#This Row],[SiteAccepted_BL]]</f>
        <v>0</v>
      </c>
      <c r="DC27" s="96">
        <f>COUNTIFS(Table_SiteMilestoneTracking[SiteAccepted_AC],"&gt;="&amp;Table_SiteMilestoneTrackingSummary[[#This Row],[StartDate]:[StartDate]],
Table_SiteMilestoneTracking[SiteAccepted_AC],"&lt;"&amp;Table_SiteMilestoneTrackingSummary[[#This Row],[EndDate]:[EndDate]]+1)</f>
        <v>0</v>
      </c>
      <c r="DD27" s="100">
        <f>DD26+Table_SiteMilestoneTrackingSummary[[#This Row],[SiteAccepted_AC]]</f>
        <v>0</v>
      </c>
      <c r="DE27" s="100">
        <f>$DE$2*Table_SiteMilestoneTrackingSummary[[#This Row],[SiteInOperations_AC]]</f>
        <v>0</v>
      </c>
      <c r="DF27" s="100">
        <f>DF26+Table_SiteMilestoneTrackingSummary[[#This Row],[c9_HandoverEV]]</f>
        <v>0</v>
      </c>
      <c r="DG27" s="96">
        <f>SUMIFS(Table_SiteMilestoneTracking[c9_HandoverCostBL],
Table_SiteMilestoneTracking[SiteInOperations_BL],"&gt;="&amp;Table_SiteMilestoneTrackingSummary[[#This Row],[StartDate]:[StartDate]],
Table_SiteMilestoneTracking[SiteInOperations_BL],"&lt;"&amp;Table_SiteMilestoneTrackingSummary[[#This Row],[EndDate]:[EndDate]]+1)</f>
        <v>0</v>
      </c>
      <c r="DH27" s="100">
        <f>DH26+Table_SiteMilestoneTrackingSummary[[#This Row],[c9_HandoverCostBL2]]</f>
        <v>0</v>
      </c>
      <c r="DI27" s="96">
        <f>SUMIFS(Table_SiteMilestoneTracking[c9_HandoverCostAC],
Table_SiteMilestoneTracking[SiteInOperations_AC],"&gt;="&amp;Table_SiteMilestoneTrackingSummary[[#This Row],[StartDate]:[StartDate]],
Table_SiteMilestoneTracking[SiteInOperations_AC],"&lt;"&amp;Table_SiteMilestoneTrackingSummary[[#This Row],[EndDate]:[EndDate]]+1)</f>
        <v>0</v>
      </c>
      <c r="DJ27" s="100">
        <f>DJ26+Table_SiteMilestoneTrackingSummary[[#This Row],[c9_HandoverCostAC]]</f>
        <v>0</v>
      </c>
      <c r="DK27" s="96">
        <f>COUNTIFS(Table_SiteMilestoneTracking[SiteInOperations_BL],"&gt;="&amp;Table_SiteMilestoneTrackingSummary[[#This Row],[StartDate]:[StartDate]],
Table_SiteMilestoneTracking[SiteInOperations_BL],"&lt;"&amp;Table_SiteMilestoneTrackingSummary[[#This Row],[EndDate]:[EndDate]]+1)</f>
        <v>0</v>
      </c>
      <c r="DL27" s="100">
        <f>DL26+Table_SiteMilestoneTrackingSummary[[#This Row],[SiteInOperations_BL]]</f>
        <v>0</v>
      </c>
      <c r="DM27" s="96">
        <f>COUNTIFS(Table_SiteMilestoneTracking[SiteInOperations_AC],"&gt;="&amp;Table_SiteMilestoneTrackingSummary[[#This Row],[StartDate]:[StartDate]],
Table_SiteMilestoneTracking[SiteInOperations_AC],"&lt;"&amp;Table_SiteMilestoneTrackingSummary[[#This Row],[EndDate]:[EndDate]]+1)</f>
        <v>0</v>
      </c>
      <c r="DN27" s="100">
        <f>DN26+Table_SiteMilestoneTrackingSummary[[#This Row],[SiteInOperations_AC]]</f>
        <v>0</v>
      </c>
      <c r="DO27" s="59">
        <f>Table_SiteMilestoneTrackingSummary[[#This Row],[c0_SiteDesignEV(SUM)]]+Table_SiteMilestoneTrackingSummary[[#This Row],[c1_SiteSurveyEV(SUM)]]+Table_SiteMilestoneTrackingSummary[[#This Row],[c2_SiteAcquisitionEV(SUM)]]+Table_SiteMilestoneTrackingSummary[[#This Row],[c2a_SiteCWReadinessEV(SUM)]]+Table_SiteMilestoneTrackingSummary[[#This Row],[c3_CivilWorksEV(SUM)]]+Table_SiteMilestoneTrackingSummary[[#This Row],[c4_PowerInstallEV(SUM)]]+Table_SiteMilestoneTrackingSummary[[#This Row],[c5_TxIntegrationEV(SUM)]]+Table_SiteMilestoneTrackingSummary[[#This Row],[c6_InstallationEV(SUM)]]+Table_SiteMilestoneTrackingSummary[[#This Row],[c7_IntegrationEV(SUM)]]+Table_SiteMilestoneTrackingSummary[[#This Row],[c8_AcceptanceEV(SUM)]]+Table_SiteMilestoneTrackingSummary[[#This Row],[c9_HandoverEV(SUM)]]</f>
        <v>9250</v>
      </c>
      <c r="DP27" s="59">
        <f>Table_SiteMilestoneTrackingSummary[[#This Row],[c0_SiteDesignCostBL(SUM)]]+Table_SiteMilestoneTrackingSummary[[#This Row],[c1_SiteSurveyCostBL(SUM)]]+Table_SiteMilestoneTrackingSummary[[#This Row],[c2_SiteAcquisitionCostBL(SUM)]]+Table_SiteMilestoneTrackingSummary[[#This Row],[c2a_SiteCWReadinessCostBL(SUM)]]+Table_SiteMilestoneTrackingSummary[[#This Row],[c3_CivilWorksCostBL(SUM)]]+Table_SiteMilestoneTrackingSummary[[#This Row],[c4_PowerInstallCostBL(SUM)]]+Table_SiteMilestoneTrackingSummary[[#This Row],[c5_TxIntegrationCostBL(SUM)]]+Table_SiteMilestoneTrackingSummary[[#This Row],[c6_InstallationCostBL(SUM)]]+Table_SiteMilestoneTrackingSummary[[#This Row],[c7_IntegrationCostBL(SUM)]]+Table_SiteMilestoneTrackingSummary[[#This Row],[c8_AcceptanceCostBL(SUM)]]+Table_SiteMilestoneTrackingSummary[[#This Row],[c9_HandoverCostBL(SUM)]]</f>
        <v>20350</v>
      </c>
      <c r="DQ27" s="59">
        <f>Table_SiteMilestoneTrackingSummary[[#This Row],[c0_SiteDesignCostAC(SUM)]]+Table_SiteMilestoneTrackingSummary[[#This Row],[c1_SiteSurveyCostAC(SUM)]]+Table_SiteMilestoneTrackingSummary[[#This Row],[c2_SiteAcquisitionCostAC(SUM)]]+Table_SiteMilestoneTrackingSummary[[#This Row],[c2a_SiteCWReadinessCostAC(SUM)]]+Table_SiteMilestoneTrackingSummary[[#This Row],[c3_CivilWorksCostAC(SUM)]]+Table_SiteMilestoneTrackingSummary[[#This Row],[c4_PowerInstallCostAC(SUM)]]+Table_SiteMilestoneTrackingSummary[[#This Row],[c5_TxIntegrationCostAC(SUM)]]+Table_SiteMilestoneTrackingSummary[[#This Row],[c6_InstallationCostAC(SUM)]]+Table_SiteMilestoneTrackingSummary[[#This Row],[c7_IntegrationCostAC(SUM)]]+Table_SiteMilestoneTrackingSummary[[#This Row],[c8_AcceptanceCostAC(SUM)]]+Table_SiteMilestoneTrackingSummary[[#This Row],[c9_HandoverCostAC(SUM)]]</f>
        <v>15860</v>
      </c>
      <c r="DR27" s="59">
        <f>Table_SiteMilestoneTrackingSummary[[#This Row],[AccumulatedEV]]-Table_SiteMilestoneTrackingSummary[[#This Row],[AccumulatedPV]]</f>
        <v>-11100</v>
      </c>
      <c r="DS27" s="59">
        <f>Table_SiteMilestoneTrackingSummary[[#This Row],[AccumulatedEV]]-Table_SiteMilestoneTrackingSummary[[#This Row],[AccumulatedAC]]</f>
        <v>-6610</v>
      </c>
      <c r="DT27" s="58">
        <f>IFERROR(Table_SiteMilestoneTrackingSummary[[#This Row],[AccumulatedEV]]/Table_SiteMilestoneTrackingSummary[[#This Row],[AccumulatedPV]],"/")</f>
        <v>0.45454545454545453</v>
      </c>
      <c r="DU27" s="101">
        <f>IFERROR(Table_SiteMilestoneTrackingSummary[[#This Row],[AccumulatedEV]]/Table_SiteMilestoneTrackingSummary[[#This Row],[AccumulatedAC]],"/")</f>
        <v>0.58322824716267341</v>
      </c>
    </row>
    <row r="28" spans="1:125" x14ac:dyDescent="0.3">
      <c r="A28" s="79">
        <v>2020</v>
      </c>
      <c r="B28" s="79">
        <v>25</v>
      </c>
      <c r="C28" s="95">
        <f>DATE(Table_SiteMilestoneTrackingSummary[[#This Row],[Year]],1,-2)-WEEKDAY(DATE(Table_SiteMilestoneTrackingSummary[[#This Row],[Year]],1,3))+Table_SiteMilestoneTrackingSummary[[#This Row],[Week]]*7</f>
        <v>43997</v>
      </c>
      <c r="D28" s="95">
        <f>Table_SiteMilestoneTrackingSummary[[#This Row],[StartDate]]+6</f>
        <v>44003</v>
      </c>
      <c r="E28" s="100">
        <f>COUNTIFS(Table_SiteMilestoneTracking[SiteDesignStarted_BL],"&gt;="&amp;Table_SiteMilestoneTrackingSummary[[#This Row],[StartDate]:[StartDate]],Table_SiteMilestoneTracking[SiteDesignStarted_BL],"&lt;"&amp;Table_SiteMilestoneTrackingSummary[[#This Row],[EndDate]:[EndDate]]+1)</f>
        <v>12</v>
      </c>
      <c r="F28" s="100">
        <f>F27+Table_SiteMilestoneTrackingSummary[[#This Row],[SiteDesignStarted_BL]]</f>
        <v>38</v>
      </c>
      <c r="G28" s="100">
        <f>COUNTIFS(Table_SiteMilestoneTracking[SiteDesignStarted_AC],"&gt;="&amp;Table_SiteMilestoneTrackingSummary[[#This Row],[StartDate]:[StartDate]],Table_SiteMilestoneTracking[SiteDesignStarted_AC],"&lt;"&amp;Table_SiteMilestoneTrackingSummary[[#This Row],[EndDate]:[EndDate]]+1)</f>
        <v>18</v>
      </c>
      <c r="H28" s="100">
        <f>H27+Table_SiteMilestoneTrackingSummary[[#This Row],[SiteDesignStarted_AC]]</f>
        <v>38</v>
      </c>
      <c r="I28" s="100">
        <f>Table_SiteMilestoneTrackingSummary[[#This Row],[SiteDesignReady_AC]]*$I$2</f>
        <v>5500</v>
      </c>
      <c r="J28" s="100">
        <f>J27+Table_SiteMilestoneTrackingSummary[[#This Row],[c0_SiteDesignEV]]</f>
        <v>13500</v>
      </c>
      <c r="K28" s="97">
        <f>SUMIFS(Table_SiteMilestoneTracking[c0_SiteDesignCostBL],
Table_SiteMilestoneTracking[SiteDesignReady_BL],"&gt;="&amp;Table_SiteMilestoneTrackingSummary[[#This Row],[StartDate]:[StartDate]],
Table_SiteMilestoneTracking[SiteDesignReady_BL],"&lt;"&amp;Table_SiteMilestoneTrackingSummary[[#This Row],[EndDate]:[EndDate]]+1)</f>
        <v>11000</v>
      </c>
      <c r="L28" s="59">
        <f>L27+Table_SiteMilestoneTrackingSummary[[#This Row],[c0_SiteDesignCostBL]]</f>
        <v>19000</v>
      </c>
      <c r="M28" s="97">
        <f>SUMIFS(Table_SiteMilestoneTracking[c0_SiteDesignCostAC],
Table_SiteMilestoneTracking[SiteDesignReady_AC],"&gt;="&amp;Table_SiteMilestoneTrackingSummary[[#This Row],[StartDate]:[StartDate]],
Table_SiteMilestoneTracking[SiteDesignReady_AC],"&lt;"&amp;Table_SiteMilestoneTrackingSummary[[#This Row],[EndDate]:[EndDate]]+1)</f>
        <v>5280</v>
      </c>
      <c r="N28" s="59">
        <f>N27+Table_SiteMilestoneTrackingSummary[[#This Row],[c0_SiteDesignCostAC]]</f>
        <v>13120</v>
      </c>
      <c r="O28" s="96">
        <f>COUNTIFS(Table_SiteMilestoneTracking[SiteDesignReady_BL],"&gt;="&amp;Table_SiteMilestoneTrackingSummary[[#This Row],[StartDate]:[StartDate]],
Table_SiteMilestoneTracking[SiteDesignReady_BL],"&lt;"&amp;Table_SiteMilestoneTrackingSummary[[#This Row],[EndDate]:[EndDate]]+1)</f>
        <v>22</v>
      </c>
      <c r="P28" s="100">
        <f>P27+Table_SiteMilestoneTrackingSummary[[#This Row],[SiteDesignReady_BL]]</f>
        <v>38</v>
      </c>
      <c r="Q28" s="100">
        <f>COUNTIFS(Table_SiteMilestoneTracking[SiteDesignReady_AC],"&gt;="&amp;Table_SiteMilestoneTrackingSummary[[#This Row],[StartDate]:[StartDate]],Table_SiteMilestoneTracking[SiteDesignReady_AC],"&lt;"&amp;Table_SiteMilestoneTrackingSummary[[#This Row],[EndDate]:[EndDate]]+1)</f>
        <v>11</v>
      </c>
      <c r="R28" s="100">
        <f>R27+Table_SiteMilestoneTrackingSummary[[#This Row],[SiteDesignReady_AC]]</f>
        <v>27</v>
      </c>
      <c r="S28" s="100">
        <f>Table_SiteMilestoneTrackingSummary[[#This Row],[ReadyForCW_AC]]*$S$2</f>
        <v>2000</v>
      </c>
      <c r="T28" s="100">
        <f>T27+Table_SiteMilestoneTrackingSummary[[#This Row],[c1_SiteSurveyEV]]</f>
        <v>2500</v>
      </c>
      <c r="U28" s="96">
        <f>SUMIFS(Table_SiteMilestoneTracking[c1_SiteSurveyCostBL],
Table_SiteMilestoneTracking[SiteSurveyCompleted_BL],"&gt;="&amp;Table_SiteMilestoneTrackingSummary[[#This Row],[StartDate]:[StartDate]],
Table_SiteMilestoneTracking[SiteSurveyCompleted_BL],"&lt;"&amp;Table_SiteMilestoneTrackingSummary[[#This Row],[EndDate]:[EndDate]]+1)</f>
        <v>5000</v>
      </c>
      <c r="V28" s="100">
        <f>V27+Table_SiteMilestoneTrackingSummary[[#This Row],[c1_SiteSurveyCostBL]]</f>
        <v>13000</v>
      </c>
      <c r="W28" s="96">
        <f>SUMIFS(Table_SiteMilestoneTracking[c1_SiteSurveyCostAC],
Table_SiteMilestoneTracking[SiteSurveyCompleted_AC],"&gt;="&amp;Table_SiteMilestoneTrackingSummary[[#This Row],[StartDate]:[StartDate]],
Table_SiteMilestoneTracking[SiteSurveyCompleted_AC],"&lt;"&amp;Table_SiteMilestoneTrackingSummary[[#This Row],[EndDate]:[EndDate]]+1)</f>
        <v>7950</v>
      </c>
      <c r="X28" s="100">
        <f>X27+Table_SiteMilestoneTrackingSummary[[#This Row],[c1_SiteSurveyCostAC]]</f>
        <v>15400</v>
      </c>
      <c r="Y28" s="96">
        <f>COUNTIFS(Table_SiteMilestoneTracking[SiteSurveyCompleted_BL],"&gt;="&amp;Table_SiteMilestoneTrackingSummary[[#This Row],[StartDate]:[StartDate]],
Table_SiteMilestoneTracking[SiteSurveyCompleted_BL],"&lt;"&amp;Table_SiteMilestoneTrackingSummary[[#This Row],[EndDate]:[EndDate]]+1)</f>
        <v>10</v>
      </c>
      <c r="Z28" s="100">
        <f>Z27+Table_SiteMilestoneTrackingSummary[[#This Row],[SiteSurveyCompleted_BL]]</f>
        <v>26</v>
      </c>
      <c r="AA28" s="96">
        <f>COUNTIFS(Table_SiteMilestoneTracking[SiteSurveyCompleted_AC],"&gt;="&amp;Table_SiteMilestoneTrackingSummary[[#This Row],[StartDate]:[StartDate]],
Table_SiteMilestoneTracking[SiteSurveyCompleted_AC],"&lt;"&amp;Table_SiteMilestoneTrackingSummary[[#This Row],[EndDate]:[EndDate]]+1)</f>
        <v>12</v>
      </c>
      <c r="AB28" s="100">
        <f>AB27+Table_SiteMilestoneTrackingSummary[[#This Row],[SiteSurveyCompleted_AC]]</f>
        <v>26</v>
      </c>
      <c r="AC28" s="100">
        <f>$AC$2*Table_SiteMilestoneTrackingSummary[[#This Row],[SiteAcquired_AC]]</f>
        <v>3600</v>
      </c>
      <c r="AD28" s="100">
        <f>AD27+Table_SiteMilestoneTrackingSummary[[#This Row],[c2_SiteAcquisitionEV]]</f>
        <v>4200</v>
      </c>
      <c r="AE28" s="96">
        <f>SUMIFS(Table_SiteMilestoneTracking[c2_SiteAcquisitionCostBL],
Table_SiteMilestoneTracking[SiteAcquired_BL],"&gt;="&amp;Table_SiteMilestoneTrackingSummary[[#This Row],[StartDate]:[StartDate]],
Table_SiteMilestoneTracking[SiteAcquired_BL],"&lt;"&amp;Table_SiteMilestoneTrackingSummary[[#This Row],[EndDate]:[EndDate]]+1)</f>
        <v>5400</v>
      </c>
      <c r="AF28" s="100">
        <f>AF27+Table_SiteMilestoneTrackingSummary[[#This Row],[c2_SiteAcquisitionCostBL]]</f>
        <v>9600</v>
      </c>
      <c r="AG28" s="96">
        <f>SUMIFS(Table_SiteMilestoneTracking[c2_SiteAcquisitionCostAC],
Table_SiteMilestoneTracking[SiteAcquired_AC],"&gt;="&amp;Table_SiteMilestoneTrackingSummary[[#This Row],[StartDate]:[StartDate]],
Table_SiteMilestoneTracking[SiteAcquired_AC],"&lt;"&amp;Table_SiteMilestoneTrackingSummary[[#This Row],[EndDate]:[EndDate]]+1)</f>
        <v>3780</v>
      </c>
      <c r="AH28" s="100">
        <f>AH27+Table_SiteMilestoneTrackingSummary[[#This Row],[c2_SiteAcquisitionCostAC]]</f>
        <v>4200</v>
      </c>
      <c r="AI28" s="96">
        <f>COUNTIFS(Table_SiteMilestoneTracking[SiteAcquired_BL],"&gt;="&amp;Table_SiteMilestoneTrackingSummary[[#This Row],[StartDate]:[StartDate]],
Table_SiteMilestoneTracking[SiteAcquired_BL],"&lt;"&amp;Table_SiteMilestoneTrackingSummary[[#This Row],[EndDate]:[EndDate]]+1)</f>
        <v>9</v>
      </c>
      <c r="AJ28" s="100">
        <f>AJ27+Table_SiteMilestoneTrackingSummary[[#This Row],[SiteAcquired_BL]]</f>
        <v>16</v>
      </c>
      <c r="AK28" s="96">
        <f>COUNTIFS(Table_SiteMilestoneTracking[SiteAcquired_AC],"&gt;="&amp;Table_SiteMilestoneTrackingSummary[[#This Row],[StartDate]:[StartDate]],
Table_SiteMilestoneTracking[SiteAcquired_AC],"&lt;"&amp;Table_SiteMilestoneTrackingSummary[[#This Row],[EndDate]:[EndDate]]+1)</f>
        <v>6</v>
      </c>
      <c r="AL28" s="100">
        <f>AL27+Table_SiteMilestoneTrackingSummary[[#This Row],[SiteAcquired_AC]]</f>
        <v>7</v>
      </c>
      <c r="AM28" s="100">
        <f>Table_SiteMilestoneTrackingSummary[[#This Row],[ReadyForCW_AC]]*$AM$2</f>
        <v>600</v>
      </c>
      <c r="AN28" s="100">
        <f>AN27+Table_SiteMilestoneTrackingSummary[[#This Row],[c2a_SiteCWReadinessEV]]</f>
        <v>750</v>
      </c>
      <c r="AO28" s="96">
        <f>SUMIFS(Table_SiteMilestoneTracking[c2a_SiteCWReadinessCost_BL],
Table_SiteMilestoneTracking[SiteReadyForCW_BL],"&gt;="&amp;Table_SiteMilestoneTrackingSummary[[#This Row],[StartDate]:[StartDate]],
Table_SiteMilestoneTracking[SiteReadyForCW_BL],"&lt;"&amp;Table_SiteMilestoneTrackingSummary[[#This Row],[EndDate]:[EndDate]]+1)</f>
        <v>900</v>
      </c>
      <c r="AP28" s="100">
        <f>AP27+Table_SiteMilestoneTrackingSummary[[#This Row],[c2a_SiteCWReadinessCostBL]]</f>
        <v>1050</v>
      </c>
      <c r="AQ28" s="96">
        <f>SUMIFS(Table_SiteMilestoneTracking[c2a_SiteCWReadinessCost_AC],
Table_SiteMilestoneTracking[SiteReadyForCW_AC],"&gt;="&amp;Table_SiteMilestoneTrackingSummary[[#This Row],[StartDate]:[StartDate]],
Table_SiteMilestoneTracking[SiteReadyForCW_AC],"&lt;"&amp;Table_SiteMilestoneTrackingSummary[[#This Row],[EndDate]:[EndDate]]+1)</f>
        <v>615</v>
      </c>
      <c r="AR28" s="100">
        <f>AR27+Table_SiteMilestoneTrackingSummary[[#This Row],[c2a_SiteCWReadinessCostAC]]</f>
        <v>765</v>
      </c>
      <c r="AS28" s="96">
        <f>COUNTIFS(Table_SiteMilestoneTracking[SiteReadyForCW_BL],"&gt;="&amp;Table_SiteMilestoneTrackingSummary[[#This Row],[StartDate]:[StartDate]],
Table_SiteMilestoneTracking[SiteReadyForCW_BL],"&lt;"&amp;Table_SiteMilestoneTrackingSummary[[#This Row],[EndDate]:[EndDate]]+1)</f>
        <v>6</v>
      </c>
      <c r="AT28" s="100">
        <f>AT27+Table_SiteMilestoneTrackingSummary[[#This Row],[ReadyForCW_BL]]</f>
        <v>7</v>
      </c>
      <c r="AU28" s="96">
        <f>COUNTIFS(Table_SiteMilestoneTracking[SiteReadyForCW_AC],"&gt;="&amp;Table_SiteMilestoneTrackingSummary[[#This Row],[StartDate]:[StartDate]],
Table_SiteMilestoneTracking[SiteReadyForCW_AC],"&lt;"&amp;Table_SiteMilestoneTrackingSummary[[#This Row],[EndDate]:[EndDate]]+1)</f>
        <v>4</v>
      </c>
      <c r="AV28" s="100">
        <f>AV27+Table_SiteMilestoneTrackingSummary[[#This Row],[ReadyForCW_AC]]</f>
        <v>5</v>
      </c>
      <c r="AW28" s="100">
        <f>$AW$2*Table_SiteMilestoneTrackingSummary[[#This Row],[ReadyForPower_AC]]</f>
        <v>1500</v>
      </c>
      <c r="AX28" s="100">
        <f>AX27+Table_SiteMilestoneTrackingSummary[[#This Row],[c3_CivilWorksEV]]</f>
        <v>1500</v>
      </c>
      <c r="AY28" s="96">
        <f>SUMIFS(Table_SiteMilestoneTracking[c3_CivilWorksCostBL],
Table_SiteMilestoneTracking[SiteReadyForPower_BL],"&gt;="&amp;Table_SiteMilestoneTrackingSummary[[#This Row],[StartDate]:[StartDate]],
Table_SiteMilestoneTracking[SiteReadyForPower_BL],"&lt;"&amp;Table_SiteMilestoneTrackingSummary[[#This Row],[EndDate]:[EndDate]]+1)</f>
        <v>1500</v>
      </c>
      <c r="AZ28" s="100">
        <f>AZ27+Table_SiteMilestoneTrackingSummary[[#This Row],[c3_CivilWorksCostBL]]</f>
        <v>1500</v>
      </c>
      <c r="BA28" s="96">
        <f>SUMIFS(Table_SiteMilestoneTracking[c3_CivilWorksCostAC],
Table_SiteMilestoneTracking[SiteReadyForPower_AC],"&gt;="&amp;Table_SiteMilestoneTrackingSummary[[#This Row],[StartDate]:[StartDate]],
Table_SiteMilestoneTracking[SiteReadyForPower_AC],"&lt;"&amp;Table_SiteMilestoneTrackingSummary[[#This Row],[EndDate]:[EndDate]]+1)</f>
        <v>2250</v>
      </c>
      <c r="BB28" s="100">
        <f>BB27+Table_SiteMilestoneTrackingSummary[[#This Row],[c3_CivilWorksCostAC]]</f>
        <v>2250</v>
      </c>
      <c r="BC28" s="96">
        <f>COUNTIFS(Table_SiteMilestoneTracking[SiteReadyForPower_BL],"&gt;="&amp;Table_SiteMilestoneTrackingSummary[[#This Row],[StartDate]:[StartDate]],
Table_SiteMilestoneTracking[SiteReadyForPower_BL],"&lt;"&amp;Table_SiteMilestoneTrackingSummary[[#This Row],[EndDate]:[EndDate]]+1)</f>
        <v>1</v>
      </c>
      <c r="BD28" s="100">
        <f>BD27+Table_SiteMilestoneTrackingSummary[[#This Row],[ReadyForPower_BL]]</f>
        <v>1</v>
      </c>
      <c r="BE28" s="96">
        <f>COUNTIFS(Table_SiteMilestoneTracking[SiteReadyForPower_AC],"&gt;="&amp;Table_SiteMilestoneTrackingSummary[[#This Row],[StartDate]:[StartDate]],
Table_SiteMilestoneTracking[SiteReadyForPower_AC],"&lt;"&amp;Table_SiteMilestoneTrackingSummary[[#This Row],[EndDate]:[EndDate]]+1)</f>
        <v>1</v>
      </c>
      <c r="BF28" s="100">
        <f>BF27+Table_SiteMilestoneTrackingSummary[[#This Row],[ReadyForPower_AC]]</f>
        <v>1</v>
      </c>
      <c r="BG28" s="100">
        <f>$BG$2*Table_SiteMilestoneTrackingSummary[[#This Row],[TXReady_AC]]</f>
        <v>0</v>
      </c>
      <c r="BH28" s="100">
        <f>BH27+Table_SiteMilestoneTrackingSummary[[#This Row],[c4_PowerInstallEV]]</f>
        <v>0</v>
      </c>
      <c r="BI28" s="96">
        <f>SUMIFS(Table_SiteMilestoneTracking[c4_PowerInstallCostBL],
Table_SiteMilestoneTracking[TXReady_BL],"&gt;="&amp;Table_SiteMilestoneTrackingSummary[[#This Row],[StartDate]:[StartDate]],
Table_SiteMilestoneTracking[TXReady_BL],"&lt;"&amp;Table_SiteMilestoneTrackingSummary[[#This Row],[EndDate]:[EndDate]]+1)</f>
        <v>0</v>
      </c>
      <c r="BJ28" s="100">
        <f>BJ27+Table_SiteMilestoneTrackingSummary[[#This Row],[c4_PowerInstallCostBL]]</f>
        <v>0</v>
      </c>
      <c r="BK28" s="96">
        <f>SUMIFS(Table_SiteMilestoneTracking[c4_PowerInstallCostAC],
Table_SiteMilestoneTracking[TXReady_AC],"&gt;="&amp;Table_SiteMilestoneTrackingSummary[[#This Row],[StartDate]:[StartDate]],
Table_SiteMilestoneTracking[TXReady_AC],"&lt;"&amp;Table_SiteMilestoneTrackingSummary[[#This Row],[EndDate]:[EndDate]]+1)</f>
        <v>0</v>
      </c>
      <c r="BL28" s="100">
        <f>BL27+Table_SiteMilestoneTrackingSummary[[#This Row],[c4_PowerInstallCostAC]]</f>
        <v>0</v>
      </c>
      <c r="BM28" s="96">
        <f>COUNTIFS(Table_SiteMilestoneTracking[TXReady_BL],"&gt;="&amp;Table_SiteMilestoneTrackingSummary[[#This Row],[StartDate]:[StartDate]],
Table_SiteMilestoneTracking[TXReady_BL],"&lt;"&amp;Table_SiteMilestoneTrackingSummary[[#This Row],[EndDate]:[EndDate]]+1)</f>
        <v>0</v>
      </c>
      <c r="BN28" s="100">
        <f>BN27+Table_SiteMilestoneTrackingSummary[[#This Row],[TXReady_BL]]</f>
        <v>0</v>
      </c>
      <c r="BO28" s="100">
        <f>COUNTIFS(Table_SiteMilestoneTracking[TXReady_AC],"&gt;="&amp;Table_SiteMilestoneTrackingSummary[[#This Row],[StartDate]:[StartDate]],Table_SiteMilestoneTracking[TXReady_AC],"&lt;"&amp;Table_SiteMilestoneTrackingSummary[[#This Row],[EndDate]:[EndDate]]+1)</f>
        <v>0</v>
      </c>
      <c r="BP28" s="100">
        <f>BP27+Table_SiteMilestoneTrackingSummary[[#This Row],[TXReady_AC]]</f>
        <v>0</v>
      </c>
      <c r="BQ28" s="100">
        <f>$BQ$2*Table_SiteMilestoneTrackingSummary[[#This Row],[ReadyForInstallation_AC]]</f>
        <v>0</v>
      </c>
      <c r="BR28" s="100">
        <f>BR27+Table_SiteMilestoneTrackingSummary[[#This Row],[c5_TxIntegrationEV]]</f>
        <v>0</v>
      </c>
      <c r="BS28" s="96">
        <f>SUMIFS(Table_SiteMilestoneTracking[c5_TxintegrationCostBL],
Table_SiteMilestoneTracking[SiteReadyForInstallation_BL],"&gt;="&amp;Table_SiteMilestoneTrackingSummary[[#This Row],[StartDate]:[StartDate]],
Table_SiteMilestoneTracking[SiteReadyForInstallation_BL],"&lt;"&amp;Table_SiteMilestoneTrackingSummary[[#This Row],[EndDate]:[EndDate]]+1)</f>
        <v>0</v>
      </c>
      <c r="BT28" s="100">
        <f>BT27+Table_SiteMilestoneTrackingSummary[[#This Row],[c5_TxIntegrationCostBL]]</f>
        <v>0</v>
      </c>
      <c r="BU28" s="96">
        <f>SUMIFS(Table_SiteMilestoneTracking[c5_TxintegrationCostAC],
Table_SiteMilestoneTracking[SiteReadyForInstallation_AC],"&gt;="&amp;Table_SiteMilestoneTrackingSummary[[#This Row],[StartDate]:[StartDate]],
Table_SiteMilestoneTracking[SiteReadyForInstallation_AC],"&lt;"&amp;Table_SiteMilestoneTrackingSummary[[#This Row],[EndDate]:[EndDate]]+1)</f>
        <v>0</v>
      </c>
      <c r="BV28" s="100">
        <f>BV27+Table_SiteMilestoneTrackingSummary[[#This Row],[c5_TxIntegrationCostAC]]</f>
        <v>0</v>
      </c>
      <c r="BW28" s="96">
        <f>COUNTIFS(Table_SiteMilestoneTracking[SiteReadyForInstallation_BL],"&gt;="&amp;Table_SiteMilestoneTrackingSummary[[#This Row],[StartDate]:[StartDate]],
Table_SiteMilestoneTracking[SiteReadyForInstallation_BL],"&lt;"&amp;Table_SiteMilestoneTrackingSummary[[#This Row],[EndDate]:[EndDate]]+1)</f>
        <v>0</v>
      </c>
      <c r="BX28" s="100">
        <f>BX27+Table_SiteMilestoneTrackingSummary[[#This Row],[ReadyForInstallation_BL]]</f>
        <v>0</v>
      </c>
      <c r="BY28" s="96">
        <f>COUNTIFS(Table_SiteMilestoneTracking[SiteReadyForInstallation_AC],"&gt;="&amp;Table_SiteMilestoneTrackingSummary[[#This Row],[StartDate]:[StartDate]],
Table_SiteMilestoneTracking[SiteReadyForInstallation_AC],"&lt;"&amp;Table_SiteMilestoneTrackingSummary[[#This Row],[EndDate]:[EndDate]]+1)</f>
        <v>0</v>
      </c>
      <c r="BZ28" s="100">
        <f>BZ27+Table_SiteMilestoneTrackingSummary[[#This Row],[ReadyForInstallation_AC]]</f>
        <v>0</v>
      </c>
      <c r="CA28" s="100">
        <f>$CA$2*Table_SiteMilestoneTrackingSummary[[#This Row],[ReadyForIntegration_AC]]</f>
        <v>0</v>
      </c>
      <c r="CB28" s="100">
        <f>CB27+Table_SiteMilestoneTrackingSummary[[#This Row],[c6_InstallationEV]]</f>
        <v>0</v>
      </c>
      <c r="CC28" s="96">
        <f>SUMIFS(Table_SiteMilestoneTracking[c6_InstallationCostBL],
Table_SiteMilestoneTracking[SiteReadyForIntegration_BL],"&gt;="&amp;Table_SiteMilestoneTrackingSummary[[#This Row],[StartDate]:[StartDate]],
Table_SiteMilestoneTracking[SiteReadyForIntegration_BL],"&lt;"&amp;Table_SiteMilestoneTrackingSummary[[#This Row],[EndDate]:[EndDate]]+1)</f>
        <v>0</v>
      </c>
      <c r="CD28" s="100">
        <f>CD27+Table_SiteMilestoneTrackingSummary[[#This Row],[c6_InstallationCostBL]]</f>
        <v>0</v>
      </c>
      <c r="CE28" s="96">
        <f>SUMIFS(Table_SiteMilestoneTracking[c6_InstallationCostAC],
Table_SiteMilestoneTracking[SiteReadyForIntegration_AC],"&gt;="&amp;Table_SiteMilestoneTrackingSummary[[#This Row],[StartDate]:[StartDate]],
Table_SiteMilestoneTracking[SiteReadyForIntegration_AC],"&lt;"&amp;Table_SiteMilestoneTrackingSummary[[#This Row],[EndDate]:[EndDate]]+1)</f>
        <v>0</v>
      </c>
      <c r="CF28" s="100">
        <f>CF27+Table_SiteMilestoneTrackingSummary[[#This Row],[c6_InstallationCostAC]]</f>
        <v>0</v>
      </c>
      <c r="CG28" s="96">
        <f>COUNTIFS(Table_SiteMilestoneTracking[SiteReadyForIntegration_BL],"&gt;="&amp;Table_SiteMilestoneTrackingSummary[[#This Row],[StartDate]:[StartDate]],
Table_SiteMilestoneTracking[SiteReadyForIntegration_BL],"&lt;"&amp;Table_SiteMilestoneTrackingSummary[[#This Row],[EndDate]:[EndDate]]+1)</f>
        <v>0</v>
      </c>
      <c r="CH28" s="100">
        <f>CH27+Table_SiteMilestoneTrackingSummary[[#This Row],[ReadyForIntegration_BL]]</f>
        <v>0</v>
      </c>
      <c r="CI28" s="96">
        <f>COUNTIFS(Table_SiteMilestoneTracking[SiteReadyForIntegration_AC],"&gt;="&amp;Table_SiteMilestoneTrackingSummary[[#This Row],[StartDate]:[StartDate]],
Table_SiteMilestoneTracking[SiteReadyForIntegration_AC],"&lt;"&amp;Table_SiteMilestoneTrackingSummary[[#This Row],[EndDate]:[EndDate]]+1)</f>
        <v>0</v>
      </c>
      <c r="CJ28" s="100">
        <f>CJ27+Table_SiteMilestoneTrackingSummary[[#This Row],[ReadyForIntegration_AC]]</f>
        <v>0</v>
      </c>
      <c r="CK28" s="100">
        <f>$CK$2*Table_SiteMilestoneTrackingSummary[[#This Row],[SiteOnAir_AC]]</f>
        <v>0</v>
      </c>
      <c r="CL28" s="100">
        <f>CL27+Table_SiteMilestoneTrackingSummary[[#This Row],[c7_IntegrationEV]]</f>
        <v>0</v>
      </c>
      <c r="CM28" s="96">
        <f>SUMIFS(Table_SiteMilestoneTracking[c7_IntegrationCostBL],
Table_SiteMilestoneTracking[SiteOnAir_BL],"&gt;="&amp;Table_SiteMilestoneTrackingSummary[[#This Row],[StartDate]:[StartDate]],
Table_SiteMilestoneTracking[SiteOnAir_BL],"&lt;"&amp;Table_SiteMilestoneTrackingSummary[[#This Row],[EndDate]:[EndDate]]+1)</f>
        <v>0</v>
      </c>
      <c r="CN28" s="100">
        <f>CN27+Table_SiteMilestoneTrackingSummary[[#This Row],[c7_IntegrationCostBL]]</f>
        <v>0</v>
      </c>
      <c r="CO28" s="96">
        <f>SUMIFS(Table_SiteMilestoneTracking[c7_IntegrationCostAC],
Table_SiteMilestoneTracking[SiteOnAir_AC],"&gt;="&amp;Table_SiteMilestoneTrackingSummary[[#This Row],[StartDate]:[StartDate]],
Table_SiteMilestoneTracking[SiteOnAir_AC],"&lt;"&amp;Table_SiteMilestoneTrackingSummary[[#This Row],[EndDate]:[EndDate]]+1)</f>
        <v>0</v>
      </c>
      <c r="CP28" s="100">
        <f>CP27+Table_SiteMilestoneTrackingSummary[[#This Row],[c7_IntegrationCostAC]]</f>
        <v>0</v>
      </c>
      <c r="CQ28" s="96">
        <f>COUNTIFS(Table_SiteMilestoneTracking[SiteOnAir_BL],"&gt;="&amp;Table_SiteMilestoneTrackingSummary[[#This Row],[StartDate]:[StartDate]],
Table_SiteMilestoneTracking[SiteOnAir_BL],"&lt;"&amp;Table_SiteMilestoneTrackingSummary[[#This Row],[EndDate]:[EndDate]]+1)</f>
        <v>0</v>
      </c>
      <c r="CR28" s="100">
        <f>CR27+Table_SiteMilestoneTrackingSummary[[#This Row],[SiteOnAir_BL]]</f>
        <v>0</v>
      </c>
      <c r="CS28" s="96">
        <f>COUNTIFS(Table_SiteMilestoneTracking[SiteOnAir_AC],"&gt;="&amp;Table_SiteMilestoneTrackingSummary[[#This Row],[StartDate]:[StartDate]],
Table_SiteMilestoneTracking[SiteOnAir_AC],"&lt;"&amp;Table_SiteMilestoneTrackingSummary[[#This Row],[EndDate]:[EndDate]]+1)</f>
        <v>0</v>
      </c>
      <c r="CT28" s="100">
        <f>CT27+Table_SiteMilestoneTrackingSummary[[#This Row],[SiteOnAir_AC]]</f>
        <v>0</v>
      </c>
      <c r="CU28" s="100">
        <f>$CU$2*Table_SiteMilestoneTrackingSummary[[#This Row],[SiteAccepted_AC]]</f>
        <v>0</v>
      </c>
      <c r="CV28" s="100">
        <f>CV27+Table_SiteMilestoneTrackingSummary[[#This Row],[c8_AcceptanceEV]]</f>
        <v>0</v>
      </c>
      <c r="CW28" s="96">
        <f>SUMIFS(Table_SiteMilestoneTracking[c8_AcceptanceCostBL],
Table_SiteMilestoneTracking[SiteAccepted_BL],"&gt;="&amp;Table_SiteMilestoneTrackingSummary[[#This Row],[StartDate]:[StartDate]],
Table_SiteMilestoneTracking[SiteAccepted_BL],"&lt;"&amp;Table_SiteMilestoneTrackingSummary[[#This Row],[EndDate]:[EndDate]]+1)</f>
        <v>0</v>
      </c>
      <c r="CX28" s="100">
        <f>CX27+Table_SiteMilestoneTrackingSummary[[#This Row],[c8_AcceptanceCostBL]]</f>
        <v>0</v>
      </c>
      <c r="CY28" s="96">
        <f>SUMIFS(Table_SiteMilestoneTracking[c8_AcceptanceCostAC],
Table_SiteMilestoneTracking[SiteAccepted_AC],"&gt;="&amp;Table_SiteMilestoneTrackingSummary[[#This Row],[StartDate]:[StartDate]],
Table_SiteMilestoneTracking[SiteAccepted_AC],"&lt;"&amp;Table_SiteMilestoneTrackingSummary[[#This Row],[EndDate]:[EndDate]]+1)</f>
        <v>0</v>
      </c>
      <c r="CZ28" s="100">
        <f>CZ27+Table_SiteMilestoneTrackingSummary[[#This Row],[c8_AcceptanceCostAC]]</f>
        <v>0</v>
      </c>
      <c r="DA28" s="96">
        <f>COUNTIFS(Table_SiteMilestoneTracking[SiteAccepted_BL],"&gt;="&amp;Table_SiteMilestoneTrackingSummary[[#This Row],[StartDate]:[StartDate]],
Table_SiteMilestoneTracking[SiteAccepted_BL],"&lt;"&amp;Table_SiteMilestoneTrackingSummary[[#This Row],[EndDate]:[EndDate]]+1)</f>
        <v>0</v>
      </c>
      <c r="DB28" s="100">
        <f>DB27+Table_SiteMilestoneTrackingSummary[[#This Row],[SiteAccepted_BL]]</f>
        <v>0</v>
      </c>
      <c r="DC28" s="96">
        <f>COUNTIFS(Table_SiteMilestoneTracking[SiteAccepted_AC],"&gt;="&amp;Table_SiteMilestoneTrackingSummary[[#This Row],[StartDate]:[StartDate]],
Table_SiteMilestoneTracking[SiteAccepted_AC],"&lt;"&amp;Table_SiteMilestoneTrackingSummary[[#This Row],[EndDate]:[EndDate]]+1)</f>
        <v>0</v>
      </c>
      <c r="DD28" s="100">
        <f>DD27+Table_SiteMilestoneTrackingSummary[[#This Row],[SiteAccepted_AC]]</f>
        <v>0</v>
      </c>
      <c r="DE28" s="100">
        <f>$DE$2*Table_SiteMilestoneTrackingSummary[[#This Row],[SiteInOperations_AC]]</f>
        <v>0</v>
      </c>
      <c r="DF28" s="100">
        <f>DF27+Table_SiteMilestoneTrackingSummary[[#This Row],[c9_HandoverEV]]</f>
        <v>0</v>
      </c>
      <c r="DG28" s="96">
        <f>SUMIFS(Table_SiteMilestoneTracking[c9_HandoverCostBL],
Table_SiteMilestoneTracking[SiteInOperations_BL],"&gt;="&amp;Table_SiteMilestoneTrackingSummary[[#This Row],[StartDate]:[StartDate]],
Table_SiteMilestoneTracking[SiteInOperations_BL],"&lt;"&amp;Table_SiteMilestoneTrackingSummary[[#This Row],[EndDate]:[EndDate]]+1)</f>
        <v>0</v>
      </c>
      <c r="DH28" s="100">
        <f>DH27+Table_SiteMilestoneTrackingSummary[[#This Row],[c9_HandoverCostBL2]]</f>
        <v>0</v>
      </c>
      <c r="DI28" s="96">
        <f>SUMIFS(Table_SiteMilestoneTracking[c9_HandoverCostAC],
Table_SiteMilestoneTracking[SiteInOperations_AC],"&gt;="&amp;Table_SiteMilestoneTrackingSummary[[#This Row],[StartDate]:[StartDate]],
Table_SiteMilestoneTracking[SiteInOperations_AC],"&lt;"&amp;Table_SiteMilestoneTrackingSummary[[#This Row],[EndDate]:[EndDate]]+1)</f>
        <v>0</v>
      </c>
      <c r="DJ28" s="100">
        <f>DJ27+Table_SiteMilestoneTrackingSummary[[#This Row],[c9_HandoverCostAC]]</f>
        <v>0</v>
      </c>
      <c r="DK28" s="96">
        <f>COUNTIFS(Table_SiteMilestoneTracking[SiteInOperations_BL],"&gt;="&amp;Table_SiteMilestoneTrackingSummary[[#This Row],[StartDate]:[StartDate]],
Table_SiteMilestoneTracking[SiteInOperations_BL],"&lt;"&amp;Table_SiteMilestoneTrackingSummary[[#This Row],[EndDate]:[EndDate]]+1)</f>
        <v>0</v>
      </c>
      <c r="DL28" s="100">
        <f>DL27+Table_SiteMilestoneTrackingSummary[[#This Row],[SiteInOperations_BL]]</f>
        <v>0</v>
      </c>
      <c r="DM28" s="96">
        <f>COUNTIFS(Table_SiteMilestoneTracking[SiteInOperations_AC],"&gt;="&amp;Table_SiteMilestoneTrackingSummary[[#This Row],[StartDate]:[StartDate]],
Table_SiteMilestoneTracking[SiteInOperations_AC],"&lt;"&amp;Table_SiteMilestoneTrackingSummary[[#This Row],[EndDate]:[EndDate]]+1)</f>
        <v>0</v>
      </c>
      <c r="DN28" s="100">
        <f>DN27+Table_SiteMilestoneTrackingSummary[[#This Row],[SiteInOperations_AC]]</f>
        <v>0</v>
      </c>
      <c r="DO28" s="59">
        <f>Table_SiteMilestoneTrackingSummary[[#This Row],[c0_SiteDesignEV(SUM)]]+Table_SiteMilestoneTrackingSummary[[#This Row],[c1_SiteSurveyEV(SUM)]]+Table_SiteMilestoneTrackingSummary[[#This Row],[c2_SiteAcquisitionEV(SUM)]]+Table_SiteMilestoneTrackingSummary[[#This Row],[c2a_SiteCWReadinessEV(SUM)]]+Table_SiteMilestoneTrackingSummary[[#This Row],[c3_CivilWorksEV(SUM)]]+Table_SiteMilestoneTrackingSummary[[#This Row],[c4_PowerInstallEV(SUM)]]+Table_SiteMilestoneTrackingSummary[[#This Row],[c5_TxIntegrationEV(SUM)]]+Table_SiteMilestoneTrackingSummary[[#This Row],[c6_InstallationEV(SUM)]]+Table_SiteMilestoneTrackingSummary[[#This Row],[c7_IntegrationEV(SUM)]]+Table_SiteMilestoneTrackingSummary[[#This Row],[c8_AcceptanceEV(SUM)]]+Table_SiteMilestoneTrackingSummary[[#This Row],[c9_HandoverEV(SUM)]]</f>
        <v>22450</v>
      </c>
      <c r="DP28" s="59">
        <f>Table_SiteMilestoneTrackingSummary[[#This Row],[c0_SiteDesignCostBL(SUM)]]+Table_SiteMilestoneTrackingSummary[[#This Row],[c1_SiteSurveyCostBL(SUM)]]+Table_SiteMilestoneTrackingSummary[[#This Row],[c2_SiteAcquisitionCostBL(SUM)]]+Table_SiteMilestoneTrackingSummary[[#This Row],[c2a_SiteCWReadinessCostBL(SUM)]]+Table_SiteMilestoneTrackingSummary[[#This Row],[c3_CivilWorksCostBL(SUM)]]+Table_SiteMilestoneTrackingSummary[[#This Row],[c4_PowerInstallCostBL(SUM)]]+Table_SiteMilestoneTrackingSummary[[#This Row],[c5_TxIntegrationCostBL(SUM)]]+Table_SiteMilestoneTrackingSummary[[#This Row],[c6_InstallationCostBL(SUM)]]+Table_SiteMilestoneTrackingSummary[[#This Row],[c7_IntegrationCostBL(SUM)]]+Table_SiteMilestoneTrackingSummary[[#This Row],[c8_AcceptanceCostBL(SUM)]]+Table_SiteMilestoneTrackingSummary[[#This Row],[c9_HandoverCostBL(SUM)]]</f>
        <v>44150</v>
      </c>
      <c r="DQ28" s="59">
        <f>Table_SiteMilestoneTrackingSummary[[#This Row],[c0_SiteDesignCostAC(SUM)]]+Table_SiteMilestoneTrackingSummary[[#This Row],[c1_SiteSurveyCostAC(SUM)]]+Table_SiteMilestoneTrackingSummary[[#This Row],[c2_SiteAcquisitionCostAC(SUM)]]+Table_SiteMilestoneTrackingSummary[[#This Row],[c2a_SiteCWReadinessCostAC(SUM)]]+Table_SiteMilestoneTrackingSummary[[#This Row],[c3_CivilWorksCostAC(SUM)]]+Table_SiteMilestoneTrackingSummary[[#This Row],[c4_PowerInstallCostAC(SUM)]]+Table_SiteMilestoneTrackingSummary[[#This Row],[c5_TxIntegrationCostAC(SUM)]]+Table_SiteMilestoneTrackingSummary[[#This Row],[c6_InstallationCostAC(SUM)]]+Table_SiteMilestoneTrackingSummary[[#This Row],[c7_IntegrationCostAC(SUM)]]+Table_SiteMilestoneTrackingSummary[[#This Row],[c8_AcceptanceCostAC(SUM)]]+Table_SiteMilestoneTrackingSummary[[#This Row],[c9_HandoverCostAC(SUM)]]</f>
        <v>35735</v>
      </c>
      <c r="DR28" s="59">
        <f>Table_SiteMilestoneTrackingSummary[[#This Row],[AccumulatedEV]]-Table_SiteMilestoneTrackingSummary[[#This Row],[AccumulatedPV]]</f>
        <v>-21700</v>
      </c>
      <c r="DS28" s="59">
        <f>Table_SiteMilestoneTrackingSummary[[#This Row],[AccumulatedEV]]-Table_SiteMilestoneTrackingSummary[[#This Row],[AccumulatedAC]]</f>
        <v>-13285</v>
      </c>
      <c r="DT28" s="58">
        <f>IFERROR(Table_SiteMilestoneTrackingSummary[[#This Row],[AccumulatedEV]]/Table_SiteMilestoneTrackingSummary[[#This Row],[AccumulatedPV]],"/")</f>
        <v>0.50849377123442807</v>
      </c>
      <c r="DU28" s="101">
        <f>IFERROR(Table_SiteMilestoneTrackingSummary[[#This Row],[AccumulatedEV]]/Table_SiteMilestoneTrackingSummary[[#This Row],[AccumulatedAC]],"/")</f>
        <v>0.62823562333846372</v>
      </c>
    </row>
    <row r="29" spans="1:125" x14ac:dyDescent="0.3">
      <c r="A29" s="79">
        <v>2020</v>
      </c>
      <c r="B29" s="79">
        <v>26</v>
      </c>
      <c r="C29" s="95">
        <f>DATE(Table_SiteMilestoneTrackingSummary[[#This Row],[Year]],1,-2)-WEEKDAY(DATE(Table_SiteMilestoneTrackingSummary[[#This Row],[Year]],1,3))+Table_SiteMilestoneTrackingSummary[[#This Row],[Week]]*7</f>
        <v>44004</v>
      </c>
      <c r="D29" s="95">
        <f>Table_SiteMilestoneTrackingSummary[[#This Row],[StartDate]]+6</f>
        <v>44010</v>
      </c>
      <c r="E29" s="100">
        <f>COUNTIFS(Table_SiteMilestoneTracking[SiteDesignStarted_BL],"&gt;="&amp;Table_SiteMilestoneTrackingSummary[[#This Row],[StartDate]:[StartDate]],Table_SiteMilestoneTracking[SiteDesignStarted_BL],"&lt;"&amp;Table_SiteMilestoneTrackingSummary[[#This Row],[EndDate]:[EndDate]]+1)</f>
        <v>13</v>
      </c>
      <c r="F29" s="100">
        <f>F28+Table_SiteMilestoneTrackingSummary[[#This Row],[SiteDesignStarted_BL]]</f>
        <v>51</v>
      </c>
      <c r="G29" s="100">
        <f>COUNTIFS(Table_SiteMilestoneTracking[SiteDesignStarted_AC],"&gt;="&amp;Table_SiteMilestoneTrackingSummary[[#This Row],[StartDate]:[StartDate]],Table_SiteMilestoneTracking[SiteDesignStarted_AC],"&lt;"&amp;Table_SiteMilestoneTrackingSummary[[#This Row],[EndDate]:[EndDate]]+1)</f>
        <v>13</v>
      </c>
      <c r="H29" s="100">
        <f>H28+Table_SiteMilestoneTrackingSummary[[#This Row],[SiteDesignStarted_AC]]</f>
        <v>51</v>
      </c>
      <c r="I29" s="100">
        <f>Table_SiteMilestoneTrackingSummary[[#This Row],[SiteDesignReady_AC]]*$I$2</f>
        <v>6500</v>
      </c>
      <c r="J29" s="100">
        <f>J28+Table_SiteMilestoneTrackingSummary[[#This Row],[c0_SiteDesignEV]]</f>
        <v>20000</v>
      </c>
      <c r="K29" s="97">
        <f>SUMIFS(Table_SiteMilestoneTracking[c0_SiteDesignCostBL],
Table_SiteMilestoneTracking[SiteDesignReady_BL],"&gt;="&amp;Table_SiteMilestoneTrackingSummary[[#This Row],[StartDate]:[StartDate]],
Table_SiteMilestoneTracking[SiteDesignReady_BL],"&lt;"&amp;Table_SiteMilestoneTrackingSummary[[#This Row],[EndDate]:[EndDate]]+1)</f>
        <v>6500</v>
      </c>
      <c r="L29" s="59">
        <f>L28+Table_SiteMilestoneTrackingSummary[[#This Row],[c0_SiteDesignCostBL]]</f>
        <v>25500</v>
      </c>
      <c r="M29" s="97">
        <f>SUMIFS(Table_SiteMilestoneTracking[c0_SiteDesignCostAC],
Table_SiteMilestoneTracking[SiteDesignReady_AC],"&gt;="&amp;Table_SiteMilestoneTrackingSummary[[#This Row],[StartDate]:[StartDate]],
Table_SiteMilestoneTracking[SiteDesignReady_AC],"&lt;"&amp;Table_SiteMilestoneTrackingSummary[[#This Row],[EndDate]:[EndDate]]+1)</f>
        <v>6220</v>
      </c>
      <c r="N29" s="59">
        <f>N28+Table_SiteMilestoneTrackingSummary[[#This Row],[c0_SiteDesignCostAC]]</f>
        <v>19340</v>
      </c>
      <c r="O29" s="96">
        <f>COUNTIFS(Table_SiteMilestoneTracking[SiteDesignReady_BL],"&gt;="&amp;Table_SiteMilestoneTrackingSummary[[#This Row],[StartDate]:[StartDate]],
Table_SiteMilestoneTracking[SiteDesignReady_BL],"&lt;"&amp;Table_SiteMilestoneTrackingSummary[[#This Row],[EndDate]:[EndDate]]+1)</f>
        <v>13</v>
      </c>
      <c r="P29" s="100">
        <f>P28+Table_SiteMilestoneTrackingSummary[[#This Row],[SiteDesignReady_BL]]</f>
        <v>51</v>
      </c>
      <c r="Q29" s="100">
        <f>COUNTIFS(Table_SiteMilestoneTracking[SiteDesignReady_AC],"&gt;="&amp;Table_SiteMilestoneTrackingSummary[[#This Row],[StartDate]:[StartDate]],Table_SiteMilestoneTracking[SiteDesignReady_AC],"&lt;"&amp;Table_SiteMilestoneTrackingSummary[[#This Row],[EndDate]:[EndDate]]+1)</f>
        <v>13</v>
      </c>
      <c r="R29" s="100">
        <f>R28+Table_SiteMilestoneTrackingSummary[[#This Row],[SiteDesignReady_AC]]</f>
        <v>40</v>
      </c>
      <c r="S29" s="100">
        <f>Table_SiteMilestoneTrackingSummary[[#This Row],[ReadyForCW_AC]]*$S$2</f>
        <v>5000</v>
      </c>
      <c r="T29" s="100">
        <f>T28+Table_SiteMilestoneTrackingSummary[[#This Row],[c1_SiteSurveyEV]]</f>
        <v>7500</v>
      </c>
      <c r="U29" s="96">
        <f>SUMIFS(Table_SiteMilestoneTracking[c1_SiteSurveyCostBL],
Table_SiteMilestoneTracking[SiteSurveyCompleted_BL],"&gt;="&amp;Table_SiteMilestoneTrackingSummary[[#This Row],[StartDate]:[StartDate]],
Table_SiteMilestoneTracking[SiteSurveyCompleted_BL],"&lt;"&amp;Table_SiteMilestoneTrackingSummary[[#This Row],[EndDate]:[EndDate]]+1)</f>
        <v>6000</v>
      </c>
      <c r="V29" s="100">
        <f>V28+Table_SiteMilestoneTrackingSummary[[#This Row],[c1_SiteSurveyCostBL]]</f>
        <v>19000</v>
      </c>
      <c r="W29" s="96">
        <f>SUMIFS(Table_SiteMilestoneTracking[c1_SiteSurveyCostAC],
Table_SiteMilestoneTracking[SiteSurveyCompleted_AC],"&gt;="&amp;Table_SiteMilestoneTrackingSummary[[#This Row],[StartDate]:[StartDate]],
Table_SiteMilestoneTracking[SiteSurveyCompleted_AC],"&lt;"&amp;Table_SiteMilestoneTrackingSummary[[#This Row],[EndDate]:[EndDate]]+1)</f>
        <v>6375</v>
      </c>
      <c r="X29" s="100">
        <f>X28+Table_SiteMilestoneTrackingSummary[[#This Row],[c1_SiteSurveyCostAC]]</f>
        <v>21775</v>
      </c>
      <c r="Y29" s="96">
        <f>COUNTIFS(Table_SiteMilestoneTracking[SiteSurveyCompleted_BL],"&gt;="&amp;Table_SiteMilestoneTrackingSummary[[#This Row],[StartDate]:[StartDate]],
Table_SiteMilestoneTracking[SiteSurveyCompleted_BL],"&lt;"&amp;Table_SiteMilestoneTrackingSummary[[#This Row],[EndDate]:[EndDate]]+1)</f>
        <v>12</v>
      </c>
      <c r="Z29" s="100">
        <f>Z28+Table_SiteMilestoneTrackingSummary[[#This Row],[SiteSurveyCompleted_BL]]</f>
        <v>38</v>
      </c>
      <c r="AA29" s="96">
        <f>COUNTIFS(Table_SiteMilestoneTracking[SiteSurveyCompleted_AC],"&gt;="&amp;Table_SiteMilestoneTrackingSummary[[#This Row],[StartDate]:[StartDate]],
Table_SiteMilestoneTracking[SiteSurveyCompleted_AC],"&lt;"&amp;Table_SiteMilestoneTrackingSummary[[#This Row],[EndDate]:[EndDate]]+1)</f>
        <v>11</v>
      </c>
      <c r="AB29" s="100">
        <f>AB28+Table_SiteMilestoneTrackingSummary[[#This Row],[SiteSurveyCompleted_AC]]</f>
        <v>37</v>
      </c>
      <c r="AC29" s="100">
        <f>$AC$2*Table_SiteMilestoneTrackingSummary[[#This Row],[SiteAcquired_AC]]</f>
        <v>5400</v>
      </c>
      <c r="AD29" s="100">
        <f>AD28+Table_SiteMilestoneTrackingSummary[[#This Row],[c2_SiteAcquisitionEV]]</f>
        <v>9600</v>
      </c>
      <c r="AE29" s="96">
        <f>SUMIFS(Table_SiteMilestoneTracking[c2_SiteAcquisitionCostBL],
Table_SiteMilestoneTracking[SiteAcquired_BL],"&gt;="&amp;Table_SiteMilestoneTrackingSummary[[#This Row],[StartDate]:[StartDate]],
Table_SiteMilestoneTracking[SiteAcquired_BL],"&lt;"&amp;Table_SiteMilestoneTrackingSummary[[#This Row],[EndDate]:[EndDate]]+1)</f>
        <v>6000</v>
      </c>
      <c r="AF29" s="100">
        <f>AF28+Table_SiteMilestoneTrackingSummary[[#This Row],[c2_SiteAcquisitionCostBL]]</f>
        <v>15600</v>
      </c>
      <c r="AG29" s="96">
        <f>SUMIFS(Table_SiteMilestoneTracking[c2_SiteAcquisitionCostAC],
Table_SiteMilestoneTracking[SiteAcquired_AC],"&gt;="&amp;Table_SiteMilestoneTrackingSummary[[#This Row],[StartDate]:[StartDate]],
Table_SiteMilestoneTracking[SiteAcquired_AC],"&lt;"&amp;Table_SiteMilestoneTrackingSummary[[#This Row],[EndDate]:[EndDate]]+1)</f>
        <v>5400</v>
      </c>
      <c r="AH29" s="100">
        <f>AH28+Table_SiteMilestoneTrackingSummary[[#This Row],[c2_SiteAcquisitionCostAC]]</f>
        <v>9600</v>
      </c>
      <c r="AI29" s="96">
        <f>COUNTIFS(Table_SiteMilestoneTracking[SiteAcquired_BL],"&gt;="&amp;Table_SiteMilestoneTrackingSummary[[#This Row],[StartDate]:[StartDate]],
Table_SiteMilestoneTracking[SiteAcquired_BL],"&lt;"&amp;Table_SiteMilestoneTrackingSummary[[#This Row],[EndDate]:[EndDate]]+1)</f>
        <v>10</v>
      </c>
      <c r="AJ29" s="100">
        <f>AJ28+Table_SiteMilestoneTrackingSummary[[#This Row],[SiteAcquired_BL]]</f>
        <v>26</v>
      </c>
      <c r="AK29" s="96">
        <f>COUNTIFS(Table_SiteMilestoneTracking[SiteAcquired_AC],"&gt;="&amp;Table_SiteMilestoneTrackingSummary[[#This Row],[StartDate]:[StartDate]],
Table_SiteMilestoneTracking[SiteAcquired_AC],"&lt;"&amp;Table_SiteMilestoneTrackingSummary[[#This Row],[EndDate]:[EndDate]]+1)</f>
        <v>9</v>
      </c>
      <c r="AL29" s="100">
        <f>AL28+Table_SiteMilestoneTrackingSummary[[#This Row],[SiteAcquired_AC]]</f>
        <v>16</v>
      </c>
      <c r="AM29" s="100">
        <f>Table_SiteMilestoneTrackingSummary[[#This Row],[ReadyForCW_AC]]*$AM$2</f>
        <v>1500</v>
      </c>
      <c r="AN29" s="100">
        <f>AN28+Table_SiteMilestoneTrackingSummary[[#This Row],[c2a_SiteCWReadinessEV]]</f>
        <v>2250</v>
      </c>
      <c r="AO29" s="96">
        <f>SUMIFS(Table_SiteMilestoneTracking[c2a_SiteCWReadinessCost_BL],
Table_SiteMilestoneTracking[SiteReadyForCW_BL],"&gt;="&amp;Table_SiteMilestoneTrackingSummary[[#This Row],[StartDate]:[StartDate]],
Table_SiteMilestoneTracking[SiteReadyForCW_BL],"&lt;"&amp;Table_SiteMilestoneTrackingSummary[[#This Row],[EndDate]:[EndDate]]+1)</f>
        <v>1350</v>
      </c>
      <c r="AP29" s="100">
        <f>AP28+Table_SiteMilestoneTrackingSummary[[#This Row],[c2a_SiteCWReadinessCostBL]]</f>
        <v>2400</v>
      </c>
      <c r="AQ29" s="96">
        <f>SUMIFS(Table_SiteMilestoneTracking[c2a_SiteCWReadinessCost_AC],
Table_SiteMilestoneTracking[SiteReadyForCW_AC],"&gt;="&amp;Table_SiteMilestoneTrackingSummary[[#This Row],[StartDate]:[StartDate]],
Table_SiteMilestoneTracking[SiteReadyForCW_AC],"&lt;"&amp;Table_SiteMilestoneTrackingSummary[[#This Row],[EndDate]:[EndDate]]+1)</f>
        <v>1515</v>
      </c>
      <c r="AR29" s="100">
        <f>AR28+Table_SiteMilestoneTrackingSummary[[#This Row],[c2a_SiteCWReadinessCostAC]]</f>
        <v>2280</v>
      </c>
      <c r="AS29" s="96">
        <f>COUNTIFS(Table_SiteMilestoneTracking[SiteReadyForCW_BL],"&gt;="&amp;Table_SiteMilestoneTrackingSummary[[#This Row],[StartDate]:[StartDate]],
Table_SiteMilestoneTracking[SiteReadyForCW_BL],"&lt;"&amp;Table_SiteMilestoneTrackingSummary[[#This Row],[EndDate]:[EndDate]]+1)</f>
        <v>9</v>
      </c>
      <c r="AT29" s="100">
        <f>AT28+Table_SiteMilestoneTrackingSummary[[#This Row],[ReadyForCW_BL]]</f>
        <v>16</v>
      </c>
      <c r="AU29" s="96">
        <f>COUNTIFS(Table_SiteMilestoneTracking[SiteReadyForCW_AC],"&gt;="&amp;Table_SiteMilestoneTrackingSummary[[#This Row],[StartDate]:[StartDate]],
Table_SiteMilestoneTracking[SiteReadyForCW_AC],"&lt;"&amp;Table_SiteMilestoneTrackingSummary[[#This Row],[EndDate]:[EndDate]]+1)</f>
        <v>10</v>
      </c>
      <c r="AV29" s="100">
        <f>AV28+Table_SiteMilestoneTrackingSummary[[#This Row],[ReadyForCW_AC]]</f>
        <v>15</v>
      </c>
      <c r="AW29" s="100">
        <f>$AW$2*Table_SiteMilestoneTrackingSummary[[#This Row],[ReadyForPower_AC]]</f>
        <v>7500</v>
      </c>
      <c r="AX29" s="100">
        <f>AX28+Table_SiteMilestoneTrackingSummary[[#This Row],[c3_CivilWorksEV]]</f>
        <v>9000</v>
      </c>
      <c r="AY29" s="96">
        <f>SUMIFS(Table_SiteMilestoneTracking[c3_CivilWorksCostBL],
Table_SiteMilestoneTracking[SiteReadyForPower_BL],"&gt;="&amp;Table_SiteMilestoneTrackingSummary[[#This Row],[StartDate]:[StartDate]],
Table_SiteMilestoneTracking[SiteReadyForPower_BL],"&lt;"&amp;Table_SiteMilestoneTrackingSummary[[#This Row],[EndDate]:[EndDate]]+1)</f>
        <v>9000</v>
      </c>
      <c r="AZ29" s="100">
        <f>AZ28+Table_SiteMilestoneTrackingSummary[[#This Row],[c3_CivilWorksCostBL]]</f>
        <v>10500</v>
      </c>
      <c r="BA29" s="96">
        <f>SUMIFS(Table_SiteMilestoneTracking[c3_CivilWorksCostAC],
Table_SiteMilestoneTracking[SiteReadyForPower_AC],"&gt;="&amp;Table_SiteMilestoneTrackingSummary[[#This Row],[StartDate]:[StartDate]],
Table_SiteMilestoneTracking[SiteReadyForPower_AC],"&lt;"&amp;Table_SiteMilestoneTrackingSummary[[#This Row],[EndDate]:[EndDate]]+1)</f>
        <v>9750</v>
      </c>
      <c r="BB29" s="100">
        <f>BB28+Table_SiteMilestoneTrackingSummary[[#This Row],[c3_CivilWorksCostAC]]</f>
        <v>12000</v>
      </c>
      <c r="BC29" s="96">
        <f>COUNTIFS(Table_SiteMilestoneTracking[SiteReadyForPower_BL],"&gt;="&amp;Table_SiteMilestoneTrackingSummary[[#This Row],[StartDate]:[StartDate]],
Table_SiteMilestoneTracking[SiteReadyForPower_BL],"&lt;"&amp;Table_SiteMilestoneTrackingSummary[[#This Row],[EndDate]:[EndDate]]+1)</f>
        <v>6</v>
      </c>
      <c r="BD29" s="100">
        <f>BD28+Table_SiteMilestoneTrackingSummary[[#This Row],[ReadyForPower_BL]]</f>
        <v>7</v>
      </c>
      <c r="BE29" s="96">
        <f>COUNTIFS(Table_SiteMilestoneTracking[SiteReadyForPower_AC],"&gt;="&amp;Table_SiteMilestoneTrackingSummary[[#This Row],[StartDate]:[StartDate]],
Table_SiteMilestoneTracking[SiteReadyForPower_AC],"&lt;"&amp;Table_SiteMilestoneTrackingSummary[[#This Row],[EndDate]:[EndDate]]+1)</f>
        <v>5</v>
      </c>
      <c r="BF29" s="100">
        <f>BF28+Table_SiteMilestoneTrackingSummary[[#This Row],[ReadyForPower_AC]]</f>
        <v>6</v>
      </c>
      <c r="BG29" s="100">
        <f>$BG$2*Table_SiteMilestoneTrackingSummary[[#This Row],[TXReady_AC]]</f>
        <v>500</v>
      </c>
      <c r="BH29" s="100">
        <f>BH28+Table_SiteMilestoneTrackingSummary[[#This Row],[c4_PowerInstallEV]]</f>
        <v>500</v>
      </c>
      <c r="BI29" s="96">
        <f>SUMIFS(Table_SiteMilestoneTracking[c4_PowerInstallCostBL],
Table_SiteMilestoneTracking[TXReady_BL],"&gt;="&amp;Table_SiteMilestoneTrackingSummary[[#This Row],[StartDate]:[StartDate]],
Table_SiteMilestoneTracking[TXReady_BL],"&lt;"&amp;Table_SiteMilestoneTrackingSummary[[#This Row],[EndDate]:[EndDate]]+1)</f>
        <v>500</v>
      </c>
      <c r="BJ29" s="100">
        <f>BJ28+Table_SiteMilestoneTrackingSummary[[#This Row],[c4_PowerInstallCostBL]]</f>
        <v>500</v>
      </c>
      <c r="BK29" s="96">
        <f>SUMIFS(Table_SiteMilestoneTracking[c4_PowerInstallCostAC],
Table_SiteMilestoneTracking[TXReady_AC],"&gt;="&amp;Table_SiteMilestoneTrackingSummary[[#This Row],[StartDate]:[StartDate]],
Table_SiteMilestoneTracking[TXReady_AC],"&lt;"&amp;Table_SiteMilestoneTrackingSummary[[#This Row],[EndDate]:[EndDate]]+1)</f>
        <v>650</v>
      </c>
      <c r="BL29" s="100">
        <f>BL28+Table_SiteMilestoneTrackingSummary[[#This Row],[c4_PowerInstallCostAC]]</f>
        <v>650</v>
      </c>
      <c r="BM29" s="96">
        <f>COUNTIFS(Table_SiteMilestoneTracking[TXReady_BL],"&gt;="&amp;Table_SiteMilestoneTrackingSummary[[#This Row],[StartDate]:[StartDate]],
Table_SiteMilestoneTracking[TXReady_BL],"&lt;"&amp;Table_SiteMilestoneTrackingSummary[[#This Row],[EndDate]:[EndDate]]+1)</f>
        <v>1</v>
      </c>
      <c r="BN29" s="100">
        <f>BN28+Table_SiteMilestoneTrackingSummary[[#This Row],[TXReady_BL]]</f>
        <v>1</v>
      </c>
      <c r="BO29" s="100">
        <f>COUNTIFS(Table_SiteMilestoneTracking[TXReady_AC],"&gt;="&amp;Table_SiteMilestoneTrackingSummary[[#This Row],[StartDate]:[StartDate]],Table_SiteMilestoneTracking[TXReady_AC],"&lt;"&amp;Table_SiteMilestoneTrackingSummary[[#This Row],[EndDate]:[EndDate]]+1)</f>
        <v>1</v>
      </c>
      <c r="BP29" s="100">
        <f>BP28+Table_SiteMilestoneTrackingSummary[[#This Row],[TXReady_AC]]</f>
        <v>1</v>
      </c>
      <c r="BQ29" s="100">
        <f>$BQ$2*Table_SiteMilestoneTrackingSummary[[#This Row],[ReadyForInstallation_AC]]</f>
        <v>0</v>
      </c>
      <c r="BR29" s="100">
        <f>BR28+Table_SiteMilestoneTrackingSummary[[#This Row],[c5_TxIntegrationEV]]</f>
        <v>0</v>
      </c>
      <c r="BS29" s="96">
        <f>SUMIFS(Table_SiteMilestoneTracking[c5_TxintegrationCostBL],
Table_SiteMilestoneTracking[SiteReadyForInstallation_BL],"&gt;="&amp;Table_SiteMilestoneTrackingSummary[[#This Row],[StartDate]:[StartDate]],
Table_SiteMilestoneTracking[SiteReadyForInstallation_BL],"&lt;"&amp;Table_SiteMilestoneTrackingSummary[[#This Row],[EndDate]:[EndDate]]+1)</f>
        <v>0</v>
      </c>
      <c r="BT29" s="100">
        <f>BT28+Table_SiteMilestoneTrackingSummary[[#This Row],[c5_TxIntegrationCostBL]]</f>
        <v>0</v>
      </c>
      <c r="BU29" s="96">
        <f>SUMIFS(Table_SiteMilestoneTracking[c5_TxintegrationCostAC],
Table_SiteMilestoneTracking[SiteReadyForInstallation_AC],"&gt;="&amp;Table_SiteMilestoneTrackingSummary[[#This Row],[StartDate]:[StartDate]],
Table_SiteMilestoneTracking[SiteReadyForInstallation_AC],"&lt;"&amp;Table_SiteMilestoneTrackingSummary[[#This Row],[EndDate]:[EndDate]]+1)</f>
        <v>0</v>
      </c>
      <c r="BV29" s="100">
        <f>BV28+Table_SiteMilestoneTrackingSummary[[#This Row],[c5_TxIntegrationCostAC]]</f>
        <v>0</v>
      </c>
      <c r="BW29" s="96">
        <f>COUNTIFS(Table_SiteMilestoneTracking[SiteReadyForInstallation_BL],"&gt;="&amp;Table_SiteMilestoneTrackingSummary[[#This Row],[StartDate]:[StartDate]],
Table_SiteMilestoneTracking[SiteReadyForInstallation_BL],"&lt;"&amp;Table_SiteMilestoneTrackingSummary[[#This Row],[EndDate]:[EndDate]]+1)</f>
        <v>0</v>
      </c>
      <c r="BX29" s="100">
        <f>BX28+Table_SiteMilestoneTrackingSummary[[#This Row],[ReadyForInstallation_BL]]</f>
        <v>0</v>
      </c>
      <c r="BY29" s="96">
        <f>COUNTIFS(Table_SiteMilestoneTracking[SiteReadyForInstallation_AC],"&gt;="&amp;Table_SiteMilestoneTrackingSummary[[#This Row],[StartDate]:[StartDate]],
Table_SiteMilestoneTracking[SiteReadyForInstallation_AC],"&lt;"&amp;Table_SiteMilestoneTrackingSummary[[#This Row],[EndDate]:[EndDate]]+1)</f>
        <v>0</v>
      </c>
      <c r="BZ29" s="100">
        <f>BZ28+Table_SiteMilestoneTrackingSummary[[#This Row],[ReadyForInstallation_AC]]</f>
        <v>0</v>
      </c>
      <c r="CA29" s="100">
        <f>$CA$2*Table_SiteMilestoneTrackingSummary[[#This Row],[ReadyForIntegration_AC]]</f>
        <v>0</v>
      </c>
      <c r="CB29" s="100">
        <f>CB28+Table_SiteMilestoneTrackingSummary[[#This Row],[c6_InstallationEV]]</f>
        <v>0</v>
      </c>
      <c r="CC29" s="96">
        <f>SUMIFS(Table_SiteMilestoneTracking[c6_InstallationCostBL],
Table_SiteMilestoneTracking[SiteReadyForIntegration_BL],"&gt;="&amp;Table_SiteMilestoneTrackingSummary[[#This Row],[StartDate]:[StartDate]],
Table_SiteMilestoneTracking[SiteReadyForIntegration_BL],"&lt;"&amp;Table_SiteMilestoneTrackingSummary[[#This Row],[EndDate]:[EndDate]]+1)</f>
        <v>0</v>
      </c>
      <c r="CD29" s="100">
        <f>CD28+Table_SiteMilestoneTrackingSummary[[#This Row],[c6_InstallationCostBL]]</f>
        <v>0</v>
      </c>
      <c r="CE29" s="96">
        <f>SUMIFS(Table_SiteMilestoneTracking[c6_InstallationCostAC],
Table_SiteMilestoneTracking[SiteReadyForIntegration_AC],"&gt;="&amp;Table_SiteMilestoneTrackingSummary[[#This Row],[StartDate]:[StartDate]],
Table_SiteMilestoneTracking[SiteReadyForIntegration_AC],"&lt;"&amp;Table_SiteMilestoneTrackingSummary[[#This Row],[EndDate]:[EndDate]]+1)</f>
        <v>0</v>
      </c>
      <c r="CF29" s="100">
        <f>CF28+Table_SiteMilestoneTrackingSummary[[#This Row],[c6_InstallationCostAC]]</f>
        <v>0</v>
      </c>
      <c r="CG29" s="96">
        <f>COUNTIFS(Table_SiteMilestoneTracking[SiteReadyForIntegration_BL],"&gt;="&amp;Table_SiteMilestoneTrackingSummary[[#This Row],[StartDate]:[StartDate]],
Table_SiteMilestoneTracking[SiteReadyForIntegration_BL],"&lt;"&amp;Table_SiteMilestoneTrackingSummary[[#This Row],[EndDate]:[EndDate]]+1)</f>
        <v>0</v>
      </c>
      <c r="CH29" s="100">
        <f>CH28+Table_SiteMilestoneTrackingSummary[[#This Row],[ReadyForIntegration_BL]]</f>
        <v>0</v>
      </c>
      <c r="CI29" s="96">
        <f>COUNTIFS(Table_SiteMilestoneTracking[SiteReadyForIntegration_AC],"&gt;="&amp;Table_SiteMilestoneTrackingSummary[[#This Row],[StartDate]:[StartDate]],
Table_SiteMilestoneTracking[SiteReadyForIntegration_AC],"&lt;"&amp;Table_SiteMilestoneTrackingSummary[[#This Row],[EndDate]:[EndDate]]+1)</f>
        <v>0</v>
      </c>
      <c r="CJ29" s="100">
        <f>CJ28+Table_SiteMilestoneTrackingSummary[[#This Row],[ReadyForIntegration_AC]]</f>
        <v>0</v>
      </c>
      <c r="CK29" s="100">
        <f>$CK$2*Table_SiteMilestoneTrackingSummary[[#This Row],[SiteOnAir_AC]]</f>
        <v>0</v>
      </c>
      <c r="CL29" s="100">
        <f>CL28+Table_SiteMilestoneTrackingSummary[[#This Row],[c7_IntegrationEV]]</f>
        <v>0</v>
      </c>
      <c r="CM29" s="96">
        <f>SUMIFS(Table_SiteMilestoneTracking[c7_IntegrationCostBL],
Table_SiteMilestoneTracking[SiteOnAir_BL],"&gt;="&amp;Table_SiteMilestoneTrackingSummary[[#This Row],[StartDate]:[StartDate]],
Table_SiteMilestoneTracking[SiteOnAir_BL],"&lt;"&amp;Table_SiteMilestoneTrackingSummary[[#This Row],[EndDate]:[EndDate]]+1)</f>
        <v>0</v>
      </c>
      <c r="CN29" s="100">
        <f>CN28+Table_SiteMilestoneTrackingSummary[[#This Row],[c7_IntegrationCostBL]]</f>
        <v>0</v>
      </c>
      <c r="CO29" s="96">
        <f>SUMIFS(Table_SiteMilestoneTracking[c7_IntegrationCostAC],
Table_SiteMilestoneTracking[SiteOnAir_AC],"&gt;="&amp;Table_SiteMilestoneTrackingSummary[[#This Row],[StartDate]:[StartDate]],
Table_SiteMilestoneTracking[SiteOnAir_AC],"&lt;"&amp;Table_SiteMilestoneTrackingSummary[[#This Row],[EndDate]:[EndDate]]+1)</f>
        <v>0</v>
      </c>
      <c r="CP29" s="100">
        <f>CP28+Table_SiteMilestoneTrackingSummary[[#This Row],[c7_IntegrationCostAC]]</f>
        <v>0</v>
      </c>
      <c r="CQ29" s="96">
        <f>COUNTIFS(Table_SiteMilestoneTracking[SiteOnAir_BL],"&gt;="&amp;Table_SiteMilestoneTrackingSummary[[#This Row],[StartDate]:[StartDate]],
Table_SiteMilestoneTracking[SiteOnAir_BL],"&lt;"&amp;Table_SiteMilestoneTrackingSummary[[#This Row],[EndDate]:[EndDate]]+1)</f>
        <v>0</v>
      </c>
      <c r="CR29" s="100">
        <f>CR28+Table_SiteMilestoneTrackingSummary[[#This Row],[SiteOnAir_BL]]</f>
        <v>0</v>
      </c>
      <c r="CS29" s="96">
        <f>COUNTIFS(Table_SiteMilestoneTracking[SiteOnAir_AC],"&gt;="&amp;Table_SiteMilestoneTrackingSummary[[#This Row],[StartDate]:[StartDate]],
Table_SiteMilestoneTracking[SiteOnAir_AC],"&lt;"&amp;Table_SiteMilestoneTrackingSummary[[#This Row],[EndDate]:[EndDate]]+1)</f>
        <v>0</v>
      </c>
      <c r="CT29" s="100">
        <f>CT28+Table_SiteMilestoneTrackingSummary[[#This Row],[SiteOnAir_AC]]</f>
        <v>0</v>
      </c>
      <c r="CU29" s="100">
        <f>$CU$2*Table_SiteMilestoneTrackingSummary[[#This Row],[SiteAccepted_AC]]</f>
        <v>0</v>
      </c>
      <c r="CV29" s="100">
        <f>CV28+Table_SiteMilestoneTrackingSummary[[#This Row],[c8_AcceptanceEV]]</f>
        <v>0</v>
      </c>
      <c r="CW29" s="96">
        <f>SUMIFS(Table_SiteMilestoneTracking[c8_AcceptanceCostBL],
Table_SiteMilestoneTracking[SiteAccepted_BL],"&gt;="&amp;Table_SiteMilestoneTrackingSummary[[#This Row],[StartDate]:[StartDate]],
Table_SiteMilestoneTracking[SiteAccepted_BL],"&lt;"&amp;Table_SiteMilestoneTrackingSummary[[#This Row],[EndDate]:[EndDate]]+1)</f>
        <v>0</v>
      </c>
      <c r="CX29" s="100">
        <f>CX28+Table_SiteMilestoneTrackingSummary[[#This Row],[c8_AcceptanceCostBL]]</f>
        <v>0</v>
      </c>
      <c r="CY29" s="96">
        <f>SUMIFS(Table_SiteMilestoneTracking[c8_AcceptanceCostAC],
Table_SiteMilestoneTracking[SiteAccepted_AC],"&gt;="&amp;Table_SiteMilestoneTrackingSummary[[#This Row],[StartDate]:[StartDate]],
Table_SiteMilestoneTracking[SiteAccepted_AC],"&lt;"&amp;Table_SiteMilestoneTrackingSummary[[#This Row],[EndDate]:[EndDate]]+1)</f>
        <v>0</v>
      </c>
      <c r="CZ29" s="100">
        <f>CZ28+Table_SiteMilestoneTrackingSummary[[#This Row],[c8_AcceptanceCostAC]]</f>
        <v>0</v>
      </c>
      <c r="DA29" s="96">
        <f>COUNTIFS(Table_SiteMilestoneTracking[SiteAccepted_BL],"&gt;="&amp;Table_SiteMilestoneTrackingSummary[[#This Row],[StartDate]:[StartDate]],
Table_SiteMilestoneTracking[SiteAccepted_BL],"&lt;"&amp;Table_SiteMilestoneTrackingSummary[[#This Row],[EndDate]:[EndDate]]+1)</f>
        <v>0</v>
      </c>
      <c r="DB29" s="100">
        <f>DB28+Table_SiteMilestoneTrackingSummary[[#This Row],[SiteAccepted_BL]]</f>
        <v>0</v>
      </c>
      <c r="DC29" s="96">
        <f>COUNTIFS(Table_SiteMilestoneTracking[SiteAccepted_AC],"&gt;="&amp;Table_SiteMilestoneTrackingSummary[[#This Row],[StartDate]:[StartDate]],
Table_SiteMilestoneTracking[SiteAccepted_AC],"&lt;"&amp;Table_SiteMilestoneTrackingSummary[[#This Row],[EndDate]:[EndDate]]+1)</f>
        <v>0</v>
      </c>
      <c r="DD29" s="100">
        <f>DD28+Table_SiteMilestoneTrackingSummary[[#This Row],[SiteAccepted_AC]]</f>
        <v>0</v>
      </c>
      <c r="DE29" s="100">
        <f>$DE$2*Table_SiteMilestoneTrackingSummary[[#This Row],[SiteInOperations_AC]]</f>
        <v>0</v>
      </c>
      <c r="DF29" s="100">
        <f>DF28+Table_SiteMilestoneTrackingSummary[[#This Row],[c9_HandoverEV]]</f>
        <v>0</v>
      </c>
      <c r="DG29" s="96">
        <f>SUMIFS(Table_SiteMilestoneTracking[c9_HandoverCostBL],
Table_SiteMilestoneTracking[SiteInOperations_BL],"&gt;="&amp;Table_SiteMilestoneTrackingSummary[[#This Row],[StartDate]:[StartDate]],
Table_SiteMilestoneTracking[SiteInOperations_BL],"&lt;"&amp;Table_SiteMilestoneTrackingSummary[[#This Row],[EndDate]:[EndDate]]+1)</f>
        <v>0</v>
      </c>
      <c r="DH29" s="100">
        <f>DH28+Table_SiteMilestoneTrackingSummary[[#This Row],[c9_HandoverCostBL2]]</f>
        <v>0</v>
      </c>
      <c r="DI29" s="96">
        <f>SUMIFS(Table_SiteMilestoneTracking[c9_HandoverCostAC],
Table_SiteMilestoneTracking[SiteInOperations_AC],"&gt;="&amp;Table_SiteMilestoneTrackingSummary[[#This Row],[StartDate]:[StartDate]],
Table_SiteMilestoneTracking[SiteInOperations_AC],"&lt;"&amp;Table_SiteMilestoneTrackingSummary[[#This Row],[EndDate]:[EndDate]]+1)</f>
        <v>0</v>
      </c>
      <c r="DJ29" s="100">
        <f>DJ28+Table_SiteMilestoneTrackingSummary[[#This Row],[c9_HandoverCostAC]]</f>
        <v>0</v>
      </c>
      <c r="DK29" s="96">
        <f>COUNTIFS(Table_SiteMilestoneTracking[SiteInOperations_BL],"&gt;="&amp;Table_SiteMilestoneTrackingSummary[[#This Row],[StartDate]:[StartDate]],
Table_SiteMilestoneTracking[SiteInOperations_BL],"&lt;"&amp;Table_SiteMilestoneTrackingSummary[[#This Row],[EndDate]:[EndDate]]+1)</f>
        <v>0</v>
      </c>
      <c r="DL29" s="100">
        <f>DL28+Table_SiteMilestoneTrackingSummary[[#This Row],[SiteInOperations_BL]]</f>
        <v>0</v>
      </c>
      <c r="DM29" s="96">
        <f>COUNTIFS(Table_SiteMilestoneTracking[SiteInOperations_AC],"&gt;="&amp;Table_SiteMilestoneTrackingSummary[[#This Row],[StartDate]:[StartDate]],
Table_SiteMilestoneTracking[SiteInOperations_AC],"&lt;"&amp;Table_SiteMilestoneTrackingSummary[[#This Row],[EndDate]:[EndDate]]+1)</f>
        <v>0</v>
      </c>
      <c r="DN29" s="100">
        <f>DN28+Table_SiteMilestoneTrackingSummary[[#This Row],[SiteInOperations_AC]]</f>
        <v>0</v>
      </c>
      <c r="DO29" s="59">
        <f>Table_SiteMilestoneTrackingSummary[[#This Row],[c0_SiteDesignEV(SUM)]]+Table_SiteMilestoneTrackingSummary[[#This Row],[c1_SiteSurveyEV(SUM)]]+Table_SiteMilestoneTrackingSummary[[#This Row],[c2_SiteAcquisitionEV(SUM)]]+Table_SiteMilestoneTrackingSummary[[#This Row],[c2a_SiteCWReadinessEV(SUM)]]+Table_SiteMilestoneTrackingSummary[[#This Row],[c3_CivilWorksEV(SUM)]]+Table_SiteMilestoneTrackingSummary[[#This Row],[c4_PowerInstallEV(SUM)]]+Table_SiteMilestoneTrackingSummary[[#This Row],[c5_TxIntegrationEV(SUM)]]+Table_SiteMilestoneTrackingSummary[[#This Row],[c6_InstallationEV(SUM)]]+Table_SiteMilestoneTrackingSummary[[#This Row],[c7_IntegrationEV(SUM)]]+Table_SiteMilestoneTrackingSummary[[#This Row],[c8_AcceptanceEV(SUM)]]+Table_SiteMilestoneTrackingSummary[[#This Row],[c9_HandoverEV(SUM)]]</f>
        <v>48850</v>
      </c>
      <c r="DP29" s="59">
        <f>Table_SiteMilestoneTrackingSummary[[#This Row],[c0_SiteDesignCostBL(SUM)]]+Table_SiteMilestoneTrackingSummary[[#This Row],[c1_SiteSurveyCostBL(SUM)]]+Table_SiteMilestoneTrackingSummary[[#This Row],[c2_SiteAcquisitionCostBL(SUM)]]+Table_SiteMilestoneTrackingSummary[[#This Row],[c2a_SiteCWReadinessCostBL(SUM)]]+Table_SiteMilestoneTrackingSummary[[#This Row],[c3_CivilWorksCostBL(SUM)]]+Table_SiteMilestoneTrackingSummary[[#This Row],[c4_PowerInstallCostBL(SUM)]]+Table_SiteMilestoneTrackingSummary[[#This Row],[c5_TxIntegrationCostBL(SUM)]]+Table_SiteMilestoneTrackingSummary[[#This Row],[c6_InstallationCostBL(SUM)]]+Table_SiteMilestoneTrackingSummary[[#This Row],[c7_IntegrationCostBL(SUM)]]+Table_SiteMilestoneTrackingSummary[[#This Row],[c8_AcceptanceCostBL(SUM)]]+Table_SiteMilestoneTrackingSummary[[#This Row],[c9_HandoverCostBL(SUM)]]</f>
        <v>73500</v>
      </c>
      <c r="DQ29" s="59">
        <f>Table_SiteMilestoneTrackingSummary[[#This Row],[c0_SiteDesignCostAC(SUM)]]+Table_SiteMilestoneTrackingSummary[[#This Row],[c1_SiteSurveyCostAC(SUM)]]+Table_SiteMilestoneTrackingSummary[[#This Row],[c2_SiteAcquisitionCostAC(SUM)]]+Table_SiteMilestoneTrackingSummary[[#This Row],[c2a_SiteCWReadinessCostAC(SUM)]]+Table_SiteMilestoneTrackingSummary[[#This Row],[c3_CivilWorksCostAC(SUM)]]+Table_SiteMilestoneTrackingSummary[[#This Row],[c4_PowerInstallCostAC(SUM)]]+Table_SiteMilestoneTrackingSummary[[#This Row],[c5_TxIntegrationCostAC(SUM)]]+Table_SiteMilestoneTrackingSummary[[#This Row],[c6_InstallationCostAC(SUM)]]+Table_SiteMilestoneTrackingSummary[[#This Row],[c7_IntegrationCostAC(SUM)]]+Table_SiteMilestoneTrackingSummary[[#This Row],[c8_AcceptanceCostAC(SUM)]]+Table_SiteMilestoneTrackingSummary[[#This Row],[c9_HandoverCostAC(SUM)]]</f>
        <v>65645</v>
      </c>
      <c r="DR29" s="59">
        <f>Table_SiteMilestoneTrackingSummary[[#This Row],[AccumulatedEV]]-Table_SiteMilestoneTrackingSummary[[#This Row],[AccumulatedPV]]</f>
        <v>-24650</v>
      </c>
      <c r="DS29" s="59">
        <f>Table_SiteMilestoneTrackingSummary[[#This Row],[AccumulatedEV]]-Table_SiteMilestoneTrackingSummary[[#This Row],[AccumulatedAC]]</f>
        <v>-16795</v>
      </c>
      <c r="DT29" s="58">
        <f>IFERROR(Table_SiteMilestoneTrackingSummary[[#This Row],[AccumulatedEV]]/Table_SiteMilestoneTrackingSummary[[#This Row],[AccumulatedPV]],"/")</f>
        <v>0.6646258503401361</v>
      </c>
      <c r="DU29" s="101">
        <f>IFERROR(Table_SiteMilestoneTrackingSummary[[#This Row],[AccumulatedEV]]/Table_SiteMilestoneTrackingSummary[[#This Row],[AccumulatedAC]],"/")</f>
        <v>0.74415416254093991</v>
      </c>
    </row>
    <row r="30" spans="1:125" x14ac:dyDescent="0.3">
      <c r="A30" s="79">
        <v>2020</v>
      </c>
      <c r="B30" s="79">
        <v>27</v>
      </c>
      <c r="C30" s="95">
        <f>DATE(Table_SiteMilestoneTrackingSummary[[#This Row],[Year]],1,-2)-WEEKDAY(DATE(Table_SiteMilestoneTrackingSummary[[#This Row],[Year]],1,3))+Table_SiteMilestoneTrackingSummary[[#This Row],[Week]]*7</f>
        <v>44011</v>
      </c>
      <c r="D30" s="95">
        <f>Table_SiteMilestoneTrackingSummary[[#This Row],[StartDate]]+6</f>
        <v>44017</v>
      </c>
      <c r="E30" s="100">
        <f>COUNTIFS(Table_SiteMilestoneTracking[SiteDesignStarted_BL],"&gt;="&amp;Table_SiteMilestoneTrackingSummary[[#This Row],[StartDate]:[StartDate]],Table_SiteMilestoneTracking[SiteDesignStarted_BL],"&lt;"&amp;Table_SiteMilestoneTrackingSummary[[#This Row],[EndDate]:[EndDate]]+1)</f>
        <v>16</v>
      </c>
      <c r="F30" s="100">
        <f>F29+Table_SiteMilestoneTrackingSummary[[#This Row],[SiteDesignStarted_BL]]</f>
        <v>67</v>
      </c>
      <c r="G30" s="100">
        <f>COUNTIFS(Table_SiteMilestoneTracking[SiteDesignStarted_AC],"&gt;="&amp;Table_SiteMilestoneTrackingSummary[[#This Row],[StartDate]:[StartDate]],Table_SiteMilestoneTracking[SiteDesignStarted_AC],"&lt;"&amp;Table_SiteMilestoneTrackingSummary[[#This Row],[EndDate]:[EndDate]]+1)</f>
        <v>16</v>
      </c>
      <c r="H30" s="100">
        <f>H29+Table_SiteMilestoneTrackingSummary[[#This Row],[SiteDesignStarted_AC]]</f>
        <v>67</v>
      </c>
      <c r="I30" s="100">
        <f>Table_SiteMilestoneTrackingSummary[[#This Row],[SiteDesignReady_AC]]*$I$2</f>
        <v>13000</v>
      </c>
      <c r="J30" s="100">
        <f>J29+Table_SiteMilestoneTrackingSummary[[#This Row],[c0_SiteDesignEV]]</f>
        <v>33000</v>
      </c>
      <c r="K30" s="97">
        <f>SUMIFS(Table_SiteMilestoneTracking[c0_SiteDesignCostBL],
Table_SiteMilestoneTracking[SiteDesignReady_BL],"&gt;="&amp;Table_SiteMilestoneTrackingSummary[[#This Row],[StartDate]:[StartDate]],
Table_SiteMilestoneTracking[SiteDesignReady_BL],"&lt;"&amp;Table_SiteMilestoneTrackingSummary[[#This Row],[EndDate]:[EndDate]]+1)</f>
        <v>8000</v>
      </c>
      <c r="L30" s="59">
        <f>L29+Table_SiteMilestoneTrackingSummary[[#This Row],[c0_SiteDesignCostBL]]</f>
        <v>33500</v>
      </c>
      <c r="M30" s="97">
        <f>SUMIFS(Table_SiteMilestoneTracking[c0_SiteDesignCostAC],
Table_SiteMilestoneTracking[SiteDesignReady_AC],"&gt;="&amp;Table_SiteMilestoneTrackingSummary[[#This Row],[StartDate]:[StartDate]],
Table_SiteMilestoneTracking[SiteDesignReady_AC],"&lt;"&amp;Table_SiteMilestoneTrackingSummary[[#This Row],[EndDate]:[EndDate]]+1)</f>
        <v>12640</v>
      </c>
      <c r="N30" s="59">
        <f>N29+Table_SiteMilestoneTrackingSummary[[#This Row],[c0_SiteDesignCostAC]]</f>
        <v>31980</v>
      </c>
      <c r="O30" s="96">
        <f>COUNTIFS(Table_SiteMilestoneTracking[SiteDesignReady_BL],"&gt;="&amp;Table_SiteMilestoneTrackingSummary[[#This Row],[StartDate]:[StartDate]],
Table_SiteMilestoneTracking[SiteDesignReady_BL],"&lt;"&amp;Table_SiteMilestoneTrackingSummary[[#This Row],[EndDate]:[EndDate]]+1)</f>
        <v>16</v>
      </c>
      <c r="P30" s="100">
        <f>P29+Table_SiteMilestoneTrackingSummary[[#This Row],[SiteDesignReady_BL]]</f>
        <v>67</v>
      </c>
      <c r="Q30" s="100">
        <f>COUNTIFS(Table_SiteMilestoneTracking[SiteDesignReady_AC],"&gt;="&amp;Table_SiteMilestoneTrackingSummary[[#This Row],[StartDate]:[StartDate]],Table_SiteMilestoneTracking[SiteDesignReady_AC],"&lt;"&amp;Table_SiteMilestoneTrackingSummary[[#This Row],[EndDate]:[EndDate]]+1)</f>
        <v>26</v>
      </c>
      <c r="R30" s="100">
        <f>R29+Table_SiteMilestoneTrackingSummary[[#This Row],[SiteDesignReady_AC]]</f>
        <v>66</v>
      </c>
      <c r="S30" s="100">
        <f>Table_SiteMilestoneTrackingSummary[[#This Row],[ReadyForCW_AC]]*$S$2</f>
        <v>5000</v>
      </c>
      <c r="T30" s="100">
        <f>T29+Table_SiteMilestoneTrackingSummary[[#This Row],[c1_SiteSurveyEV]]</f>
        <v>12500</v>
      </c>
      <c r="U30" s="96">
        <f>SUMIFS(Table_SiteMilestoneTracking[c1_SiteSurveyCostBL],
Table_SiteMilestoneTracking[SiteSurveyCompleted_BL],"&gt;="&amp;Table_SiteMilestoneTrackingSummary[[#This Row],[StartDate]:[StartDate]],
Table_SiteMilestoneTracking[SiteSurveyCompleted_BL],"&lt;"&amp;Table_SiteMilestoneTrackingSummary[[#This Row],[EndDate]:[EndDate]]+1)</f>
        <v>14500</v>
      </c>
      <c r="V30" s="100">
        <f>V29+Table_SiteMilestoneTrackingSummary[[#This Row],[c1_SiteSurveyCostBL]]</f>
        <v>33500</v>
      </c>
      <c r="W30" s="96">
        <f>SUMIFS(Table_SiteMilestoneTracking[c1_SiteSurveyCostAC],
Table_SiteMilestoneTracking[SiteSurveyCompleted_AC],"&gt;="&amp;Table_SiteMilestoneTrackingSummary[[#This Row],[StartDate]:[StartDate]],
Table_SiteMilestoneTracking[SiteSurveyCompleted_AC],"&lt;"&amp;Table_SiteMilestoneTrackingSummary[[#This Row],[EndDate]:[EndDate]]+1)</f>
        <v>14600</v>
      </c>
      <c r="X30" s="100">
        <f>X29+Table_SiteMilestoneTrackingSummary[[#This Row],[c1_SiteSurveyCostAC]]</f>
        <v>36375</v>
      </c>
      <c r="Y30" s="96">
        <f>COUNTIFS(Table_SiteMilestoneTracking[SiteSurveyCompleted_BL],"&gt;="&amp;Table_SiteMilestoneTrackingSummary[[#This Row],[StartDate]:[StartDate]],
Table_SiteMilestoneTracking[SiteSurveyCompleted_BL],"&lt;"&amp;Table_SiteMilestoneTrackingSummary[[#This Row],[EndDate]:[EndDate]]+1)</f>
        <v>29</v>
      </c>
      <c r="Z30" s="100">
        <f>Z29+Table_SiteMilestoneTrackingSummary[[#This Row],[SiteSurveyCompleted_BL]]</f>
        <v>67</v>
      </c>
      <c r="AA30" s="96">
        <f>COUNTIFS(Table_SiteMilestoneTracking[SiteSurveyCompleted_AC],"&gt;="&amp;Table_SiteMilestoneTrackingSummary[[#This Row],[StartDate]:[StartDate]],
Table_SiteMilestoneTracking[SiteSurveyCompleted_AC],"&lt;"&amp;Table_SiteMilestoneTrackingSummary[[#This Row],[EndDate]:[EndDate]]+1)</f>
        <v>24</v>
      </c>
      <c r="AB30" s="100">
        <f>AB29+Table_SiteMilestoneTrackingSummary[[#This Row],[SiteSurveyCompleted_AC]]</f>
        <v>61</v>
      </c>
      <c r="AC30" s="100">
        <f>$AC$2*Table_SiteMilestoneTrackingSummary[[#This Row],[SiteAcquired_AC]]</f>
        <v>6600</v>
      </c>
      <c r="AD30" s="100">
        <f>AD29+Table_SiteMilestoneTrackingSummary[[#This Row],[c2_SiteAcquisitionEV]]</f>
        <v>16200</v>
      </c>
      <c r="AE30" s="96">
        <f>SUMIFS(Table_SiteMilestoneTracking[c2_SiteAcquisitionCostBL],
Table_SiteMilestoneTracking[SiteAcquired_BL],"&gt;="&amp;Table_SiteMilestoneTrackingSummary[[#This Row],[StartDate]:[StartDate]],
Table_SiteMilestoneTracking[SiteAcquired_BL],"&lt;"&amp;Table_SiteMilestoneTrackingSummary[[#This Row],[EndDate]:[EndDate]]+1)</f>
        <v>7200</v>
      </c>
      <c r="AF30" s="100">
        <f>AF29+Table_SiteMilestoneTrackingSummary[[#This Row],[c2_SiteAcquisitionCostBL]]</f>
        <v>22800</v>
      </c>
      <c r="AG30" s="96">
        <f>SUMIFS(Table_SiteMilestoneTracking[c2_SiteAcquisitionCostAC],
Table_SiteMilestoneTracking[SiteAcquired_AC],"&gt;="&amp;Table_SiteMilestoneTrackingSummary[[#This Row],[StartDate]:[StartDate]],
Table_SiteMilestoneTracking[SiteAcquired_AC],"&lt;"&amp;Table_SiteMilestoneTrackingSummary[[#This Row],[EndDate]:[EndDate]]+1)</f>
        <v>7500</v>
      </c>
      <c r="AH30" s="100">
        <f>AH29+Table_SiteMilestoneTrackingSummary[[#This Row],[c2_SiteAcquisitionCostAC]]</f>
        <v>17100</v>
      </c>
      <c r="AI30" s="96">
        <f>COUNTIFS(Table_SiteMilestoneTracking[SiteAcquired_BL],"&gt;="&amp;Table_SiteMilestoneTrackingSummary[[#This Row],[StartDate]:[StartDate]],
Table_SiteMilestoneTracking[SiteAcquired_BL],"&lt;"&amp;Table_SiteMilestoneTrackingSummary[[#This Row],[EndDate]:[EndDate]]+1)</f>
        <v>12</v>
      </c>
      <c r="AJ30" s="100">
        <f>AJ29+Table_SiteMilestoneTrackingSummary[[#This Row],[SiteAcquired_BL]]</f>
        <v>38</v>
      </c>
      <c r="AK30" s="96">
        <f>COUNTIFS(Table_SiteMilestoneTracking[SiteAcquired_AC],"&gt;="&amp;Table_SiteMilestoneTrackingSummary[[#This Row],[StartDate]:[StartDate]],
Table_SiteMilestoneTracking[SiteAcquired_AC],"&lt;"&amp;Table_SiteMilestoneTrackingSummary[[#This Row],[EndDate]:[EndDate]]+1)</f>
        <v>11</v>
      </c>
      <c r="AL30" s="100">
        <f>AL29+Table_SiteMilestoneTrackingSummary[[#This Row],[SiteAcquired_AC]]</f>
        <v>27</v>
      </c>
      <c r="AM30" s="100">
        <f>Table_SiteMilestoneTrackingSummary[[#This Row],[ReadyForCW_AC]]*$AM$2</f>
        <v>1500</v>
      </c>
      <c r="AN30" s="100">
        <f>AN29+Table_SiteMilestoneTrackingSummary[[#This Row],[c2a_SiteCWReadinessEV]]</f>
        <v>3750</v>
      </c>
      <c r="AO30" s="96">
        <f>SUMIFS(Table_SiteMilestoneTracking[c2a_SiteCWReadinessCost_BL],
Table_SiteMilestoneTracking[SiteReadyForCW_BL],"&gt;="&amp;Table_SiteMilestoneTrackingSummary[[#This Row],[StartDate]:[StartDate]],
Table_SiteMilestoneTracking[SiteReadyForCW_BL],"&lt;"&amp;Table_SiteMilestoneTrackingSummary[[#This Row],[EndDate]:[EndDate]]+1)</f>
        <v>1500</v>
      </c>
      <c r="AP30" s="100">
        <f>AP29+Table_SiteMilestoneTrackingSummary[[#This Row],[c2a_SiteCWReadinessCostBL]]</f>
        <v>3900</v>
      </c>
      <c r="AQ30" s="96">
        <f>SUMIFS(Table_SiteMilestoneTracking[c2a_SiteCWReadinessCost_AC],
Table_SiteMilestoneTracking[SiteReadyForCW_AC],"&gt;="&amp;Table_SiteMilestoneTrackingSummary[[#This Row],[StartDate]:[StartDate]],
Table_SiteMilestoneTracking[SiteReadyForCW_AC],"&lt;"&amp;Table_SiteMilestoneTrackingSummary[[#This Row],[EndDate]:[EndDate]]+1)</f>
        <v>1470</v>
      </c>
      <c r="AR30" s="100">
        <f>AR29+Table_SiteMilestoneTrackingSummary[[#This Row],[c2a_SiteCWReadinessCostAC]]</f>
        <v>3750</v>
      </c>
      <c r="AS30" s="96">
        <f>COUNTIFS(Table_SiteMilestoneTracking[SiteReadyForCW_BL],"&gt;="&amp;Table_SiteMilestoneTrackingSummary[[#This Row],[StartDate]:[StartDate]],
Table_SiteMilestoneTracking[SiteReadyForCW_BL],"&lt;"&amp;Table_SiteMilestoneTrackingSummary[[#This Row],[EndDate]:[EndDate]]+1)</f>
        <v>10</v>
      </c>
      <c r="AT30" s="100">
        <f>AT29+Table_SiteMilestoneTrackingSummary[[#This Row],[ReadyForCW_BL]]</f>
        <v>26</v>
      </c>
      <c r="AU30" s="96">
        <f>COUNTIFS(Table_SiteMilestoneTracking[SiteReadyForCW_AC],"&gt;="&amp;Table_SiteMilestoneTrackingSummary[[#This Row],[StartDate]:[StartDate]],
Table_SiteMilestoneTracking[SiteReadyForCW_AC],"&lt;"&amp;Table_SiteMilestoneTrackingSummary[[#This Row],[EndDate]:[EndDate]]+1)</f>
        <v>10</v>
      </c>
      <c r="AV30" s="100">
        <f>AV29+Table_SiteMilestoneTrackingSummary[[#This Row],[ReadyForCW_AC]]</f>
        <v>25</v>
      </c>
      <c r="AW30" s="100">
        <f>$AW$2*Table_SiteMilestoneTrackingSummary[[#This Row],[ReadyForPower_AC]]</f>
        <v>6000</v>
      </c>
      <c r="AX30" s="100">
        <f>AX29+Table_SiteMilestoneTrackingSummary[[#This Row],[c3_CivilWorksEV]]</f>
        <v>15000</v>
      </c>
      <c r="AY30" s="96">
        <f>SUMIFS(Table_SiteMilestoneTracking[c3_CivilWorksCostBL],
Table_SiteMilestoneTracking[SiteReadyForPower_BL],"&gt;="&amp;Table_SiteMilestoneTrackingSummary[[#This Row],[StartDate]:[StartDate]],
Table_SiteMilestoneTracking[SiteReadyForPower_BL],"&lt;"&amp;Table_SiteMilestoneTrackingSummary[[#This Row],[EndDate]:[EndDate]]+1)</f>
        <v>13500</v>
      </c>
      <c r="AZ30" s="100">
        <f>AZ29+Table_SiteMilestoneTrackingSummary[[#This Row],[c3_CivilWorksCostBL]]</f>
        <v>24000</v>
      </c>
      <c r="BA30" s="96">
        <f>SUMIFS(Table_SiteMilestoneTracking[c3_CivilWorksCostAC],
Table_SiteMilestoneTracking[SiteReadyForPower_AC],"&gt;="&amp;Table_SiteMilestoneTrackingSummary[[#This Row],[StartDate]:[StartDate]],
Table_SiteMilestoneTracking[SiteReadyForPower_AC],"&lt;"&amp;Table_SiteMilestoneTrackingSummary[[#This Row],[EndDate]:[EndDate]]+1)</f>
        <v>7800</v>
      </c>
      <c r="BB30" s="100">
        <f>BB29+Table_SiteMilestoneTrackingSummary[[#This Row],[c3_CivilWorksCostAC]]</f>
        <v>19800</v>
      </c>
      <c r="BC30" s="96">
        <f>COUNTIFS(Table_SiteMilestoneTracking[SiteReadyForPower_BL],"&gt;="&amp;Table_SiteMilestoneTrackingSummary[[#This Row],[StartDate]:[StartDate]],
Table_SiteMilestoneTracking[SiteReadyForPower_BL],"&lt;"&amp;Table_SiteMilestoneTrackingSummary[[#This Row],[EndDate]:[EndDate]]+1)</f>
        <v>9</v>
      </c>
      <c r="BD30" s="100">
        <f>BD29+Table_SiteMilestoneTrackingSummary[[#This Row],[ReadyForPower_BL]]</f>
        <v>16</v>
      </c>
      <c r="BE30" s="96">
        <f>COUNTIFS(Table_SiteMilestoneTracking[SiteReadyForPower_AC],"&gt;="&amp;Table_SiteMilestoneTrackingSummary[[#This Row],[StartDate]:[StartDate]],
Table_SiteMilestoneTracking[SiteReadyForPower_AC],"&lt;"&amp;Table_SiteMilestoneTrackingSummary[[#This Row],[EndDate]:[EndDate]]+1)</f>
        <v>4</v>
      </c>
      <c r="BF30" s="100">
        <f>BF29+Table_SiteMilestoneTrackingSummary[[#This Row],[ReadyForPower_AC]]</f>
        <v>10</v>
      </c>
      <c r="BG30" s="100">
        <f>$BG$2*Table_SiteMilestoneTrackingSummary[[#This Row],[TXReady_AC]]</f>
        <v>1500</v>
      </c>
      <c r="BH30" s="100">
        <f>BH29+Table_SiteMilestoneTrackingSummary[[#This Row],[c4_PowerInstallEV]]</f>
        <v>2000</v>
      </c>
      <c r="BI30" s="96">
        <f>SUMIFS(Table_SiteMilestoneTracking[c4_PowerInstallCostBL],
Table_SiteMilestoneTracking[TXReady_BL],"&gt;="&amp;Table_SiteMilestoneTrackingSummary[[#This Row],[StartDate]:[StartDate]],
Table_SiteMilestoneTracking[TXReady_BL],"&lt;"&amp;Table_SiteMilestoneTrackingSummary[[#This Row],[EndDate]:[EndDate]]+1)</f>
        <v>3000</v>
      </c>
      <c r="BJ30" s="100">
        <f>BJ29+Table_SiteMilestoneTrackingSummary[[#This Row],[c4_PowerInstallCostBL]]</f>
        <v>3500</v>
      </c>
      <c r="BK30" s="96">
        <f>SUMIFS(Table_SiteMilestoneTracking[c4_PowerInstallCostAC],
Table_SiteMilestoneTracking[TXReady_AC],"&gt;="&amp;Table_SiteMilestoneTrackingSummary[[#This Row],[StartDate]:[StartDate]],
Table_SiteMilestoneTracking[TXReady_AC],"&lt;"&amp;Table_SiteMilestoneTrackingSummary[[#This Row],[EndDate]:[EndDate]]+1)</f>
        <v>1450</v>
      </c>
      <c r="BL30" s="100">
        <f>BL29+Table_SiteMilestoneTrackingSummary[[#This Row],[c4_PowerInstallCostAC]]</f>
        <v>2100</v>
      </c>
      <c r="BM30" s="96">
        <f>COUNTIFS(Table_SiteMilestoneTracking[TXReady_BL],"&gt;="&amp;Table_SiteMilestoneTrackingSummary[[#This Row],[StartDate]:[StartDate]],
Table_SiteMilestoneTracking[TXReady_BL],"&lt;"&amp;Table_SiteMilestoneTrackingSummary[[#This Row],[EndDate]:[EndDate]]+1)</f>
        <v>6</v>
      </c>
      <c r="BN30" s="100">
        <f>BN29+Table_SiteMilestoneTrackingSummary[[#This Row],[TXReady_BL]]</f>
        <v>7</v>
      </c>
      <c r="BO30" s="100">
        <f>COUNTIFS(Table_SiteMilestoneTracking[TXReady_AC],"&gt;="&amp;Table_SiteMilestoneTrackingSummary[[#This Row],[StartDate]:[StartDate]],Table_SiteMilestoneTracking[TXReady_AC],"&lt;"&amp;Table_SiteMilestoneTrackingSummary[[#This Row],[EndDate]:[EndDate]]+1)</f>
        <v>3</v>
      </c>
      <c r="BP30" s="100">
        <f>BP29+Table_SiteMilestoneTrackingSummary[[#This Row],[TXReady_AC]]</f>
        <v>4</v>
      </c>
      <c r="BQ30" s="100">
        <f>$BQ$2*Table_SiteMilestoneTrackingSummary[[#This Row],[ReadyForInstallation_AC]]</f>
        <v>500</v>
      </c>
      <c r="BR30" s="100">
        <f>BR29+Table_SiteMilestoneTrackingSummary[[#This Row],[c5_TxIntegrationEV]]</f>
        <v>500</v>
      </c>
      <c r="BS30" s="96">
        <f>SUMIFS(Table_SiteMilestoneTracking[c5_TxintegrationCostBL],
Table_SiteMilestoneTracking[SiteReadyForInstallation_BL],"&gt;="&amp;Table_SiteMilestoneTrackingSummary[[#This Row],[StartDate]:[StartDate]],
Table_SiteMilestoneTracking[SiteReadyForInstallation_BL],"&lt;"&amp;Table_SiteMilestoneTrackingSummary[[#This Row],[EndDate]:[EndDate]]+1)</f>
        <v>500</v>
      </c>
      <c r="BT30" s="100">
        <f>BT29+Table_SiteMilestoneTrackingSummary[[#This Row],[c5_TxIntegrationCostBL]]</f>
        <v>500</v>
      </c>
      <c r="BU30" s="96">
        <f>SUMIFS(Table_SiteMilestoneTracking[c5_TxintegrationCostAC],
Table_SiteMilestoneTracking[SiteReadyForInstallation_AC],"&gt;="&amp;Table_SiteMilestoneTrackingSummary[[#This Row],[StartDate]:[StartDate]],
Table_SiteMilestoneTracking[SiteReadyForInstallation_AC],"&lt;"&amp;Table_SiteMilestoneTrackingSummary[[#This Row],[EndDate]:[EndDate]]+1)</f>
        <v>650</v>
      </c>
      <c r="BV30" s="100">
        <f>BV29+Table_SiteMilestoneTrackingSummary[[#This Row],[c5_TxIntegrationCostAC]]</f>
        <v>650</v>
      </c>
      <c r="BW30" s="96">
        <f>COUNTIFS(Table_SiteMilestoneTracking[SiteReadyForInstallation_BL],"&gt;="&amp;Table_SiteMilestoneTrackingSummary[[#This Row],[StartDate]:[StartDate]],
Table_SiteMilestoneTracking[SiteReadyForInstallation_BL],"&lt;"&amp;Table_SiteMilestoneTrackingSummary[[#This Row],[EndDate]:[EndDate]]+1)</f>
        <v>1</v>
      </c>
      <c r="BX30" s="100">
        <f>BX29+Table_SiteMilestoneTrackingSummary[[#This Row],[ReadyForInstallation_BL]]</f>
        <v>1</v>
      </c>
      <c r="BY30" s="96">
        <f>COUNTIFS(Table_SiteMilestoneTracking[SiteReadyForInstallation_AC],"&gt;="&amp;Table_SiteMilestoneTrackingSummary[[#This Row],[StartDate]:[StartDate]],
Table_SiteMilestoneTracking[SiteReadyForInstallation_AC],"&lt;"&amp;Table_SiteMilestoneTrackingSummary[[#This Row],[EndDate]:[EndDate]]+1)</f>
        <v>1</v>
      </c>
      <c r="BZ30" s="100">
        <f>BZ29+Table_SiteMilestoneTrackingSummary[[#This Row],[ReadyForInstallation_AC]]</f>
        <v>1</v>
      </c>
      <c r="CA30" s="100">
        <f>$CA$2*Table_SiteMilestoneTrackingSummary[[#This Row],[ReadyForIntegration_AC]]</f>
        <v>0</v>
      </c>
      <c r="CB30" s="100">
        <f>CB29+Table_SiteMilestoneTrackingSummary[[#This Row],[c6_InstallationEV]]</f>
        <v>0</v>
      </c>
      <c r="CC30" s="96">
        <f>SUMIFS(Table_SiteMilestoneTracking[c6_InstallationCostBL],
Table_SiteMilestoneTracking[SiteReadyForIntegration_BL],"&gt;="&amp;Table_SiteMilestoneTrackingSummary[[#This Row],[StartDate]:[StartDate]],
Table_SiteMilestoneTracking[SiteReadyForIntegration_BL],"&lt;"&amp;Table_SiteMilestoneTrackingSummary[[#This Row],[EndDate]:[EndDate]]+1)</f>
        <v>2500</v>
      </c>
      <c r="CD30" s="100">
        <f>CD29+Table_SiteMilestoneTrackingSummary[[#This Row],[c6_InstallationCostBL]]</f>
        <v>2500</v>
      </c>
      <c r="CE30" s="96">
        <f>SUMIFS(Table_SiteMilestoneTracking[c6_InstallationCostAC],
Table_SiteMilestoneTracking[SiteReadyForIntegration_AC],"&gt;="&amp;Table_SiteMilestoneTrackingSummary[[#This Row],[StartDate]:[StartDate]],
Table_SiteMilestoneTracking[SiteReadyForIntegration_AC],"&lt;"&amp;Table_SiteMilestoneTrackingSummary[[#This Row],[EndDate]:[EndDate]]+1)</f>
        <v>0</v>
      </c>
      <c r="CF30" s="100">
        <f>CF29+Table_SiteMilestoneTrackingSummary[[#This Row],[c6_InstallationCostAC]]</f>
        <v>0</v>
      </c>
      <c r="CG30" s="96">
        <f>COUNTIFS(Table_SiteMilestoneTracking[SiteReadyForIntegration_BL],"&gt;="&amp;Table_SiteMilestoneTrackingSummary[[#This Row],[StartDate]:[StartDate]],
Table_SiteMilestoneTracking[SiteReadyForIntegration_BL],"&lt;"&amp;Table_SiteMilestoneTrackingSummary[[#This Row],[EndDate]:[EndDate]]+1)</f>
        <v>1</v>
      </c>
      <c r="CH30" s="100">
        <f>CH29+Table_SiteMilestoneTrackingSummary[[#This Row],[ReadyForIntegration_BL]]</f>
        <v>1</v>
      </c>
      <c r="CI30" s="96">
        <f>COUNTIFS(Table_SiteMilestoneTracking[SiteReadyForIntegration_AC],"&gt;="&amp;Table_SiteMilestoneTrackingSummary[[#This Row],[StartDate]:[StartDate]],
Table_SiteMilestoneTracking[SiteReadyForIntegration_AC],"&lt;"&amp;Table_SiteMilestoneTrackingSummary[[#This Row],[EndDate]:[EndDate]]+1)</f>
        <v>0</v>
      </c>
      <c r="CJ30" s="100">
        <f>CJ29+Table_SiteMilestoneTrackingSummary[[#This Row],[ReadyForIntegration_AC]]</f>
        <v>0</v>
      </c>
      <c r="CK30" s="100">
        <f>$CK$2*Table_SiteMilestoneTrackingSummary[[#This Row],[SiteOnAir_AC]]</f>
        <v>0</v>
      </c>
      <c r="CL30" s="100">
        <f>CL29+Table_SiteMilestoneTrackingSummary[[#This Row],[c7_IntegrationEV]]</f>
        <v>0</v>
      </c>
      <c r="CM30" s="96">
        <f>SUMIFS(Table_SiteMilestoneTracking[c7_IntegrationCostBL],
Table_SiteMilestoneTracking[SiteOnAir_BL],"&gt;="&amp;Table_SiteMilestoneTrackingSummary[[#This Row],[StartDate]:[StartDate]],
Table_SiteMilestoneTracking[SiteOnAir_BL],"&lt;"&amp;Table_SiteMilestoneTrackingSummary[[#This Row],[EndDate]:[EndDate]]+1)</f>
        <v>0</v>
      </c>
      <c r="CN30" s="100">
        <f>CN29+Table_SiteMilestoneTrackingSummary[[#This Row],[c7_IntegrationCostBL]]</f>
        <v>0</v>
      </c>
      <c r="CO30" s="96">
        <f>SUMIFS(Table_SiteMilestoneTracking[c7_IntegrationCostAC],
Table_SiteMilestoneTracking[SiteOnAir_AC],"&gt;="&amp;Table_SiteMilestoneTrackingSummary[[#This Row],[StartDate]:[StartDate]],
Table_SiteMilestoneTracking[SiteOnAir_AC],"&lt;"&amp;Table_SiteMilestoneTrackingSummary[[#This Row],[EndDate]:[EndDate]]+1)</f>
        <v>0</v>
      </c>
      <c r="CP30" s="100">
        <f>CP29+Table_SiteMilestoneTrackingSummary[[#This Row],[c7_IntegrationCostAC]]</f>
        <v>0</v>
      </c>
      <c r="CQ30" s="96">
        <f>COUNTIFS(Table_SiteMilestoneTracking[SiteOnAir_BL],"&gt;="&amp;Table_SiteMilestoneTrackingSummary[[#This Row],[StartDate]:[StartDate]],
Table_SiteMilestoneTracking[SiteOnAir_BL],"&lt;"&amp;Table_SiteMilestoneTrackingSummary[[#This Row],[EndDate]:[EndDate]]+1)</f>
        <v>0</v>
      </c>
      <c r="CR30" s="100">
        <f>CR29+Table_SiteMilestoneTrackingSummary[[#This Row],[SiteOnAir_BL]]</f>
        <v>0</v>
      </c>
      <c r="CS30" s="96">
        <f>COUNTIFS(Table_SiteMilestoneTracking[SiteOnAir_AC],"&gt;="&amp;Table_SiteMilestoneTrackingSummary[[#This Row],[StartDate]:[StartDate]],
Table_SiteMilestoneTracking[SiteOnAir_AC],"&lt;"&amp;Table_SiteMilestoneTrackingSummary[[#This Row],[EndDate]:[EndDate]]+1)</f>
        <v>0</v>
      </c>
      <c r="CT30" s="100">
        <f>CT29+Table_SiteMilestoneTrackingSummary[[#This Row],[SiteOnAir_AC]]</f>
        <v>0</v>
      </c>
      <c r="CU30" s="100">
        <f>$CU$2*Table_SiteMilestoneTrackingSummary[[#This Row],[SiteAccepted_AC]]</f>
        <v>0</v>
      </c>
      <c r="CV30" s="100">
        <f>CV29+Table_SiteMilestoneTrackingSummary[[#This Row],[c8_AcceptanceEV]]</f>
        <v>0</v>
      </c>
      <c r="CW30" s="96">
        <f>SUMIFS(Table_SiteMilestoneTracking[c8_AcceptanceCostBL],
Table_SiteMilestoneTracking[SiteAccepted_BL],"&gt;="&amp;Table_SiteMilestoneTrackingSummary[[#This Row],[StartDate]:[StartDate]],
Table_SiteMilestoneTracking[SiteAccepted_BL],"&lt;"&amp;Table_SiteMilestoneTrackingSummary[[#This Row],[EndDate]:[EndDate]]+1)</f>
        <v>0</v>
      </c>
      <c r="CX30" s="100">
        <f>CX29+Table_SiteMilestoneTrackingSummary[[#This Row],[c8_AcceptanceCostBL]]</f>
        <v>0</v>
      </c>
      <c r="CY30" s="96">
        <f>SUMIFS(Table_SiteMilestoneTracking[c8_AcceptanceCostAC],
Table_SiteMilestoneTracking[SiteAccepted_AC],"&gt;="&amp;Table_SiteMilestoneTrackingSummary[[#This Row],[StartDate]:[StartDate]],
Table_SiteMilestoneTracking[SiteAccepted_AC],"&lt;"&amp;Table_SiteMilestoneTrackingSummary[[#This Row],[EndDate]:[EndDate]]+1)</f>
        <v>0</v>
      </c>
      <c r="CZ30" s="100">
        <f>CZ29+Table_SiteMilestoneTrackingSummary[[#This Row],[c8_AcceptanceCostAC]]</f>
        <v>0</v>
      </c>
      <c r="DA30" s="96">
        <f>COUNTIFS(Table_SiteMilestoneTracking[SiteAccepted_BL],"&gt;="&amp;Table_SiteMilestoneTrackingSummary[[#This Row],[StartDate]:[StartDate]],
Table_SiteMilestoneTracking[SiteAccepted_BL],"&lt;"&amp;Table_SiteMilestoneTrackingSummary[[#This Row],[EndDate]:[EndDate]]+1)</f>
        <v>0</v>
      </c>
      <c r="DB30" s="100">
        <f>DB29+Table_SiteMilestoneTrackingSummary[[#This Row],[SiteAccepted_BL]]</f>
        <v>0</v>
      </c>
      <c r="DC30" s="96">
        <f>COUNTIFS(Table_SiteMilestoneTracking[SiteAccepted_AC],"&gt;="&amp;Table_SiteMilestoneTrackingSummary[[#This Row],[StartDate]:[StartDate]],
Table_SiteMilestoneTracking[SiteAccepted_AC],"&lt;"&amp;Table_SiteMilestoneTrackingSummary[[#This Row],[EndDate]:[EndDate]]+1)</f>
        <v>0</v>
      </c>
      <c r="DD30" s="100">
        <f>DD29+Table_SiteMilestoneTrackingSummary[[#This Row],[SiteAccepted_AC]]</f>
        <v>0</v>
      </c>
      <c r="DE30" s="100">
        <f>$DE$2*Table_SiteMilestoneTrackingSummary[[#This Row],[SiteInOperations_AC]]</f>
        <v>0</v>
      </c>
      <c r="DF30" s="100">
        <f>DF29+Table_SiteMilestoneTrackingSummary[[#This Row],[c9_HandoverEV]]</f>
        <v>0</v>
      </c>
      <c r="DG30" s="96">
        <f>SUMIFS(Table_SiteMilestoneTracking[c9_HandoverCostBL],
Table_SiteMilestoneTracking[SiteInOperations_BL],"&gt;="&amp;Table_SiteMilestoneTrackingSummary[[#This Row],[StartDate]:[StartDate]],
Table_SiteMilestoneTracking[SiteInOperations_BL],"&lt;"&amp;Table_SiteMilestoneTrackingSummary[[#This Row],[EndDate]:[EndDate]]+1)</f>
        <v>0</v>
      </c>
      <c r="DH30" s="100">
        <f>DH29+Table_SiteMilestoneTrackingSummary[[#This Row],[c9_HandoverCostBL2]]</f>
        <v>0</v>
      </c>
      <c r="DI30" s="96">
        <f>SUMIFS(Table_SiteMilestoneTracking[c9_HandoverCostAC],
Table_SiteMilestoneTracking[SiteInOperations_AC],"&gt;="&amp;Table_SiteMilestoneTrackingSummary[[#This Row],[StartDate]:[StartDate]],
Table_SiteMilestoneTracking[SiteInOperations_AC],"&lt;"&amp;Table_SiteMilestoneTrackingSummary[[#This Row],[EndDate]:[EndDate]]+1)</f>
        <v>0</v>
      </c>
      <c r="DJ30" s="100">
        <f>DJ29+Table_SiteMilestoneTrackingSummary[[#This Row],[c9_HandoverCostAC]]</f>
        <v>0</v>
      </c>
      <c r="DK30" s="96">
        <f>COUNTIFS(Table_SiteMilestoneTracking[SiteInOperations_BL],"&gt;="&amp;Table_SiteMilestoneTrackingSummary[[#This Row],[StartDate]:[StartDate]],
Table_SiteMilestoneTracking[SiteInOperations_BL],"&lt;"&amp;Table_SiteMilestoneTrackingSummary[[#This Row],[EndDate]:[EndDate]]+1)</f>
        <v>0</v>
      </c>
      <c r="DL30" s="100">
        <f>DL29+Table_SiteMilestoneTrackingSummary[[#This Row],[SiteInOperations_BL]]</f>
        <v>0</v>
      </c>
      <c r="DM30" s="96">
        <f>COUNTIFS(Table_SiteMilestoneTracking[SiteInOperations_AC],"&gt;="&amp;Table_SiteMilestoneTrackingSummary[[#This Row],[StartDate]:[StartDate]],
Table_SiteMilestoneTracking[SiteInOperations_AC],"&lt;"&amp;Table_SiteMilestoneTrackingSummary[[#This Row],[EndDate]:[EndDate]]+1)</f>
        <v>0</v>
      </c>
      <c r="DN30" s="100">
        <f>DN29+Table_SiteMilestoneTrackingSummary[[#This Row],[SiteInOperations_AC]]</f>
        <v>0</v>
      </c>
      <c r="DO30" s="59">
        <f>Table_SiteMilestoneTrackingSummary[[#This Row],[c0_SiteDesignEV(SUM)]]+Table_SiteMilestoneTrackingSummary[[#This Row],[c1_SiteSurveyEV(SUM)]]+Table_SiteMilestoneTrackingSummary[[#This Row],[c2_SiteAcquisitionEV(SUM)]]+Table_SiteMilestoneTrackingSummary[[#This Row],[c2a_SiteCWReadinessEV(SUM)]]+Table_SiteMilestoneTrackingSummary[[#This Row],[c3_CivilWorksEV(SUM)]]+Table_SiteMilestoneTrackingSummary[[#This Row],[c4_PowerInstallEV(SUM)]]+Table_SiteMilestoneTrackingSummary[[#This Row],[c5_TxIntegrationEV(SUM)]]+Table_SiteMilestoneTrackingSummary[[#This Row],[c6_InstallationEV(SUM)]]+Table_SiteMilestoneTrackingSummary[[#This Row],[c7_IntegrationEV(SUM)]]+Table_SiteMilestoneTrackingSummary[[#This Row],[c8_AcceptanceEV(SUM)]]+Table_SiteMilestoneTrackingSummary[[#This Row],[c9_HandoverEV(SUM)]]</f>
        <v>82950</v>
      </c>
      <c r="DP30" s="59">
        <f>Table_SiteMilestoneTrackingSummary[[#This Row],[c0_SiteDesignCostBL(SUM)]]+Table_SiteMilestoneTrackingSummary[[#This Row],[c1_SiteSurveyCostBL(SUM)]]+Table_SiteMilestoneTrackingSummary[[#This Row],[c2_SiteAcquisitionCostBL(SUM)]]+Table_SiteMilestoneTrackingSummary[[#This Row],[c2a_SiteCWReadinessCostBL(SUM)]]+Table_SiteMilestoneTrackingSummary[[#This Row],[c3_CivilWorksCostBL(SUM)]]+Table_SiteMilestoneTrackingSummary[[#This Row],[c4_PowerInstallCostBL(SUM)]]+Table_SiteMilestoneTrackingSummary[[#This Row],[c5_TxIntegrationCostBL(SUM)]]+Table_SiteMilestoneTrackingSummary[[#This Row],[c6_InstallationCostBL(SUM)]]+Table_SiteMilestoneTrackingSummary[[#This Row],[c7_IntegrationCostBL(SUM)]]+Table_SiteMilestoneTrackingSummary[[#This Row],[c8_AcceptanceCostBL(SUM)]]+Table_SiteMilestoneTrackingSummary[[#This Row],[c9_HandoverCostBL(SUM)]]</f>
        <v>124200</v>
      </c>
      <c r="DQ30" s="59">
        <f>Table_SiteMilestoneTrackingSummary[[#This Row],[c0_SiteDesignCostAC(SUM)]]+Table_SiteMilestoneTrackingSummary[[#This Row],[c1_SiteSurveyCostAC(SUM)]]+Table_SiteMilestoneTrackingSummary[[#This Row],[c2_SiteAcquisitionCostAC(SUM)]]+Table_SiteMilestoneTrackingSummary[[#This Row],[c2a_SiteCWReadinessCostAC(SUM)]]+Table_SiteMilestoneTrackingSummary[[#This Row],[c3_CivilWorksCostAC(SUM)]]+Table_SiteMilestoneTrackingSummary[[#This Row],[c4_PowerInstallCostAC(SUM)]]+Table_SiteMilestoneTrackingSummary[[#This Row],[c5_TxIntegrationCostAC(SUM)]]+Table_SiteMilestoneTrackingSummary[[#This Row],[c6_InstallationCostAC(SUM)]]+Table_SiteMilestoneTrackingSummary[[#This Row],[c7_IntegrationCostAC(SUM)]]+Table_SiteMilestoneTrackingSummary[[#This Row],[c8_AcceptanceCostAC(SUM)]]+Table_SiteMilestoneTrackingSummary[[#This Row],[c9_HandoverCostAC(SUM)]]</f>
        <v>111755</v>
      </c>
      <c r="DR30" s="59">
        <f>Table_SiteMilestoneTrackingSummary[[#This Row],[AccumulatedEV]]-Table_SiteMilestoneTrackingSummary[[#This Row],[AccumulatedPV]]</f>
        <v>-41250</v>
      </c>
      <c r="DS30" s="59">
        <f>Table_SiteMilestoneTrackingSummary[[#This Row],[AccumulatedEV]]-Table_SiteMilestoneTrackingSummary[[#This Row],[AccumulatedAC]]</f>
        <v>-28805</v>
      </c>
      <c r="DT30" s="58">
        <f>IFERROR(Table_SiteMilestoneTrackingSummary[[#This Row],[AccumulatedEV]]/Table_SiteMilestoneTrackingSummary[[#This Row],[AccumulatedPV]],"/")</f>
        <v>0.66787439613526567</v>
      </c>
      <c r="DU30" s="101">
        <f>IFERROR(Table_SiteMilestoneTrackingSummary[[#This Row],[AccumulatedEV]]/Table_SiteMilestoneTrackingSummary[[#This Row],[AccumulatedAC]],"/")</f>
        <v>0.74224866896335739</v>
      </c>
    </row>
    <row r="31" spans="1:125" x14ac:dyDescent="0.3">
      <c r="A31" s="79">
        <v>2020</v>
      </c>
      <c r="B31" s="79">
        <v>28</v>
      </c>
      <c r="C31" s="95">
        <f>DATE(Table_SiteMilestoneTrackingSummary[[#This Row],[Year]],1,-2)-WEEKDAY(DATE(Table_SiteMilestoneTrackingSummary[[#This Row],[Year]],1,3))+Table_SiteMilestoneTrackingSummary[[#This Row],[Week]]*7</f>
        <v>44018</v>
      </c>
      <c r="D31" s="95">
        <f>Table_SiteMilestoneTrackingSummary[[#This Row],[StartDate]]+6</f>
        <v>44024</v>
      </c>
      <c r="E31" s="100">
        <f>COUNTIFS(Table_SiteMilestoneTracking[SiteDesignStarted_BL],"&gt;="&amp;Table_SiteMilestoneTrackingSummary[[#This Row],[StartDate]:[StartDate]],Table_SiteMilestoneTracking[SiteDesignStarted_BL],"&lt;"&amp;Table_SiteMilestoneTrackingSummary[[#This Row],[EndDate]:[EndDate]]+1)</f>
        <v>20</v>
      </c>
      <c r="F31" s="100">
        <f>F30+Table_SiteMilestoneTrackingSummary[[#This Row],[SiteDesignStarted_BL]]</f>
        <v>87</v>
      </c>
      <c r="G31" s="100">
        <f>COUNTIFS(Table_SiteMilestoneTracking[SiteDesignStarted_AC],"&gt;="&amp;Table_SiteMilestoneTrackingSummary[[#This Row],[StartDate]:[StartDate]],Table_SiteMilestoneTracking[SiteDesignStarted_AC],"&lt;"&amp;Table_SiteMilestoneTrackingSummary[[#This Row],[EndDate]:[EndDate]]+1)</f>
        <v>19</v>
      </c>
      <c r="H31" s="100">
        <f>H30+Table_SiteMilestoneTrackingSummary[[#This Row],[SiteDesignStarted_AC]]</f>
        <v>86</v>
      </c>
      <c r="I31" s="100">
        <f>Table_SiteMilestoneTrackingSummary[[#This Row],[SiteDesignReady_AC]]*$I$2</f>
        <v>9500</v>
      </c>
      <c r="J31" s="100">
        <f>J30+Table_SiteMilestoneTrackingSummary[[#This Row],[c0_SiteDesignEV]]</f>
        <v>42500</v>
      </c>
      <c r="K31" s="97">
        <f>SUMIFS(Table_SiteMilestoneTracking[c0_SiteDesignCostBL],
Table_SiteMilestoneTracking[SiteDesignReady_BL],"&gt;="&amp;Table_SiteMilestoneTrackingSummary[[#This Row],[StartDate]:[StartDate]],
Table_SiteMilestoneTracking[SiteDesignReady_BL],"&lt;"&amp;Table_SiteMilestoneTrackingSummary[[#This Row],[EndDate]:[EndDate]]+1)</f>
        <v>9500</v>
      </c>
      <c r="L31" s="59">
        <f>L30+Table_SiteMilestoneTrackingSummary[[#This Row],[c0_SiteDesignCostBL]]</f>
        <v>43000</v>
      </c>
      <c r="M31" s="97">
        <f>SUMIFS(Table_SiteMilestoneTracking[c0_SiteDesignCostAC],
Table_SiteMilestoneTracking[SiteDesignReady_AC],"&gt;="&amp;Table_SiteMilestoneTrackingSummary[[#This Row],[StartDate]:[StartDate]],
Table_SiteMilestoneTracking[SiteDesignReady_AC],"&lt;"&amp;Table_SiteMilestoneTrackingSummary[[#This Row],[EndDate]:[EndDate]]+1)</f>
        <v>8740</v>
      </c>
      <c r="N31" s="59">
        <f>N30+Table_SiteMilestoneTrackingSummary[[#This Row],[c0_SiteDesignCostAC]]</f>
        <v>40720</v>
      </c>
      <c r="O31" s="96">
        <f>COUNTIFS(Table_SiteMilestoneTracking[SiteDesignReady_BL],"&gt;="&amp;Table_SiteMilestoneTrackingSummary[[#This Row],[StartDate]:[StartDate]],
Table_SiteMilestoneTracking[SiteDesignReady_BL],"&lt;"&amp;Table_SiteMilestoneTrackingSummary[[#This Row],[EndDate]:[EndDate]]+1)</f>
        <v>19</v>
      </c>
      <c r="P31" s="100">
        <f>P30+Table_SiteMilestoneTrackingSummary[[#This Row],[SiteDesignReady_BL]]</f>
        <v>86</v>
      </c>
      <c r="Q31" s="100">
        <f>COUNTIFS(Table_SiteMilestoneTracking[SiteDesignReady_AC],"&gt;="&amp;Table_SiteMilestoneTrackingSummary[[#This Row],[StartDate]:[StartDate]],Table_SiteMilestoneTracking[SiteDesignReady_AC],"&lt;"&amp;Table_SiteMilestoneTrackingSummary[[#This Row],[EndDate]:[EndDate]]+1)</f>
        <v>19</v>
      </c>
      <c r="R31" s="100">
        <f>R30+Table_SiteMilestoneTrackingSummary[[#This Row],[SiteDesignReady_AC]]</f>
        <v>85</v>
      </c>
      <c r="S31" s="100">
        <f>Table_SiteMilestoneTrackingSummary[[#This Row],[ReadyForCW_AC]]*$S$2</f>
        <v>6500</v>
      </c>
      <c r="T31" s="100">
        <f>T30+Table_SiteMilestoneTrackingSummary[[#This Row],[c1_SiteSurveyEV]]</f>
        <v>19000</v>
      </c>
      <c r="U31" s="96">
        <f>SUMIFS(Table_SiteMilestoneTracking[c1_SiteSurveyCostBL],
Table_SiteMilestoneTracking[SiteSurveyCompleted_BL],"&gt;="&amp;Table_SiteMilestoneTrackingSummary[[#This Row],[StartDate]:[StartDate]],
Table_SiteMilestoneTracking[SiteSurveyCompleted_BL],"&lt;"&amp;Table_SiteMilestoneTrackingSummary[[#This Row],[EndDate]:[EndDate]]+1)</f>
        <v>9500</v>
      </c>
      <c r="V31" s="100">
        <f>V30+Table_SiteMilestoneTrackingSummary[[#This Row],[c1_SiteSurveyCostBL]]</f>
        <v>43000</v>
      </c>
      <c r="W31" s="96">
        <f>SUMIFS(Table_SiteMilestoneTracking[c1_SiteSurveyCostAC],
Table_SiteMilestoneTracking[SiteSurveyCompleted_AC],"&gt;="&amp;Table_SiteMilestoneTrackingSummary[[#This Row],[StartDate]:[StartDate]],
Table_SiteMilestoneTracking[SiteSurveyCompleted_AC],"&lt;"&amp;Table_SiteMilestoneTrackingSummary[[#This Row],[EndDate]:[EndDate]]+1)</f>
        <v>10550</v>
      </c>
      <c r="X31" s="100">
        <f>X30+Table_SiteMilestoneTrackingSummary[[#This Row],[c1_SiteSurveyCostAC]]</f>
        <v>46925</v>
      </c>
      <c r="Y31" s="96">
        <f>COUNTIFS(Table_SiteMilestoneTracking[SiteSurveyCompleted_BL],"&gt;="&amp;Table_SiteMilestoneTrackingSummary[[#This Row],[StartDate]:[StartDate]],
Table_SiteMilestoneTracking[SiteSurveyCompleted_BL],"&lt;"&amp;Table_SiteMilestoneTrackingSummary[[#This Row],[EndDate]:[EndDate]]+1)</f>
        <v>19</v>
      </c>
      <c r="Z31" s="100">
        <f>Z30+Table_SiteMilestoneTrackingSummary[[#This Row],[SiteSurveyCompleted_BL]]</f>
        <v>86</v>
      </c>
      <c r="AA31" s="96">
        <f>COUNTIFS(Table_SiteMilestoneTracking[SiteSurveyCompleted_AC],"&gt;="&amp;Table_SiteMilestoneTrackingSummary[[#This Row],[StartDate]:[StartDate]],
Table_SiteMilestoneTracking[SiteSurveyCompleted_AC],"&lt;"&amp;Table_SiteMilestoneTrackingSummary[[#This Row],[EndDate]:[EndDate]]+1)</f>
        <v>18</v>
      </c>
      <c r="AB31" s="100">
        <f>AB30+Table_SiteMilestoneTrackingSummary[[#This Row],[SiteSurveyCompleted_AC]]</f>
        <v>79</v>
      </c>
      <c r="AC31" s="100">
        <f>$AC$2*Table_SiteMilestoneTrackingSummary[[#This Row],[SiteAcquired_AC]]</f>
        <v>8400</v>
      </c>
      <c r="AD31" s="100">
        <f>AD30+Table_SiteMilestoneTrackingSummary[[#This Row],[c2_SiteAcquisitionEV]]</f>
        <v>24600</v>
      </c>
      <c r="AE31" s="96">
        <f>SUMIFS(Table_SiteMilestoneTracking[c2_SiteAcquisitionCostBL],
Table_SiteMilestoneTracking[SiteAcquired_BL],"&gt;="&amp;Table_SiteMilestoneTrackingSummary[[#This Row],[StartDate]:[StartDate]],
Table_SiteMilestoneTracking[SiteAcquired_BL],"&lt;"&amp;Table_SiteMilestoneTrackingSummary[[#This Row],[EndDate]:[EndDate]]+1)</f>
        <v>7800</v>
      </c>
      <c r="AF31" s="100">
        <f>AF30+Table_SiteMilestoneTrackingSummary[[#This Row],[c2_SiteAcquisitionCostBL]]</f>
        <v>30600</v>
      </c>
      <c r="AG31" s="96">
        <f>SUMIFS(Table_SiteMilestoneTracking[c2_SiteAcquisitionCostAC],
Table_SiteMilestoneTracking[SiteAcquired_AC],"&gt;="&amp;Table_SiteMilestoneTrackingSummary[[#This Row],[StartDate]:[StartDate]],
Table_SiteMilestoneTracking[SiteAcquired_AC],"&lt;"&amp;Table_SiteMilestoneTrackingSummary[[#This Row],[EndDate]:[EndDate]]+1)</f>
        <v>8580</v>
      </c>
      <c r="AH31" s="100">
        <f>AH30+Table_SiteMilestoneTrackingSummary[[#This Row],[c2_SiteAcquisitionCostAC]]</f>
        <v>25680</v>
      </c>
      <c r="AI31" s="96">
        <f>COUNTIFS(Table_SiteMilestoneTracking[SiteAcquired_BL],"&gt;="&amp;Table_SiteMilestoneTrackingSummary[[#This Row],[StartDate]:[StartDate]],
Table_SiteMilestoneTracking[SiteAcquired_BL],"&lt;"&amp;Table_SiteMilestoneTrackingSummary[[#This Row],[EndDate]:[EndDate]]+1)</f>
        <v>13</v>
      </c>
      <c r="AJ31" s="100">
        <f>AJ30+Table_SiteMilestoneTrackingSummary[[#This Row],[SiteAcquired_BL]]</f>
        <v>51</v>
      </c>
      <c r="AK31" s="96">
        <f>COUNTIFS(Table_SiteMilestoneTracking[SiteAcquired_AC],"&gt;="&amp;Table_SiteMilestoneTrackingSummary[[#This Row],[StartDate]:[StartDate]],
Table_SiteMilestoneTracking[SiteAcquired_AC],"&lt;"&amp;Table_SiteMilestoneTrackingSummary[[#This Row],[EndDate]:[EndDate]]+1)</f>
        <v>14</v>
      </c>
      <c r="AL31" s="100">
        <f>AL30+Table_SiteMilestoneTrackingSummary[[#This Row],[SiteAcquired_AC]]</f>
        <v>41</v>
      </c>
      <c r="AM31" s="100">
        <f>Table_SiteMilestoneTrackingSummary[[#This Row],[ReadyForCW_AC]]*$AM$2</f>
        <v>1950</v>
      </c>
      <c r="AN31" s="100">
        <f>AN30+Table_SiteMilestoneTrackingSummary[[#This Row],[c2a_SiteCWReadinessEV]]</f>
        <v>5700</v>
      </c>
      <c r="AO31" s="96">
        <f>SUMIFS(Table_SiteMilestoneTracking[c2a_SiteCWReadinessCost_BL],
Table_SiteMilestoneTracking[SiteReadyForCW_BL],"&gt;="&amp;Table_SiteMilestoneTrackingSummary[[#This Row],[StartDate]:[StartDate]],
Table_SiteMilestoneTracking[SiteReadyForCW_BL],"&lt;"&amp;Table_SiteMilestoneTrackingSummary[[#This Row],[EndDate]:[EndDate]]+1)</f>
        <v>1800</v>
      </c>
      <c r="AP31" s="100">
        <f>AP30+Table_SiteMilestoneTrackingSummary[[#This Row],[c2a_SiteCWReadinessCostBL]]</f>
        <v>5700</v>
      </c>
      <c r="AQ31" s="96">
        <f>SUMIFS(Table_SiteMilestoneTracking[c2a_SiteCWReadinessCost_AC],
Table_SiteMilestoneTracking[SiteReadyForCW_AC],"&gt;="&amp;Table_SiteMilestoneTrackingSummary[[#This Row],[StartDate]:[StartDate]],
Table_SiteMilestoneTracking[SiteReadyForCW_AC],"&lt;"&amp;Table_SiteMilestoneTrackingSummary[[#This Row],[EndDate]:[EndDate]]+1)</f>
        <v>1920</v>
      </c>
      <c r="AR31" s="100">
        <f>AR30+Table_SiteMilestoneTrackingSummary[[#This Row],[c2a_SiteCWReadinessCostAC]]</f>
        <v>5670</v>
      </c>
      <c r="AS31" s="96">
        <f>COUNTIFS(Table_SiteMilestoneTracking[SiteReadyForCW_BL],"&gt;="&amp;Table_SiteMilestoneTrackingSummary[[#This Row],[StartDate]:[StartDate]],
Table_SiteMilestoneTracking[SiteReadyForCW_BL],"&lt;"&amp;Table_SiteMilestoneTrackingSummary[[#This Row],[EndDate]:[EndDate]]+1)</f>
        <v>12</v>
      </c>
      <c r="AT31" s="100">
        <f>AT30+Table_SiteMilestoneTrackingSummary[[#This Row],[ReadyForCW_BL]]</f>
        <v>38</v>
      </c>
      <c r="AU31" s="96">
        <f>COUNTIFS(Table_SiteMilestoneTracking[SiteReadyForCW_AC],"&gt;="&amp;Table_SiteMilestoneTrackingSummary[[#This Row],[StartDate]:[StartDate]],
Table_SiteMilestoneTracking[SiteReadyForCW_AC],"&lt;"&amp;Table_SiteMilestoneTrackingSummary[[#This Row],[EndDate]:[EndDate]]+1)</f>
        <v>13</v>
      </c>
      <c r="AV31" s="100">
        <f>AV30+Table_SiteMilestoneTrackingSummary[[#This Row],[ReadyForCW_AC]]</f>
        <v>38</v>
      </c>
      <c r="AW31" s="100">
        <f>$AW$2*Table_SiteMilestoneTrackingSummary[[#This Row],[ReadyForPower_AC]]</f>
        <v>18000</v>
      </c>
      <c r="AX31" s="100">
        <f>AX30+Table_SiteMilestoneTrackingSummary[[#This Row],[c3_CivilWorksEV]]</f>
        <v>33000</v>
      </c>
      <c r="AY31" s="96">
        <f>SUMIFS(Table_SiteMilestoneTracking[c3_CivilWorksCostBL],
Table_SiteMilestoneTracking[SiteReadyForPower_BL],"&gt;="&amp;Table_SiteMilestoneTrackingSummary[[#This Row],[StartDate]:[StartDate]],
Table_SiteMilestoneTracking[SiteReadyForPower_BL],"&lt;"&amp;Table_SiteMilestoneTrackingSummary[[#This Row],[EndDate]:[EndDate]]+1)</f>
        <v>15000</v>
      </c>
      <c r="AZ31" s="100">
        <f>AZ30+Table_SiteMilestoneTrackingSummary[[#This Row],[c3_CivilWorksCostBL]]</f>
        <v>39000</v>
      </c>
      <c r="BA31" s="96">
        <f>SUMIFS(Table_SiteMilestoneTracking[c3_CivilWorksCostAC],
Table_SiteMilestoneTracking[SiteReadyForPower_AC],"&gt;="&amp;Table_SiteMilestoneTrackingSummary[[#This Row],[StartDate]:[StartDate]],
Table_SiteMilestoneTracking[SiteReadyForPower_AC],"&lt;"&amp;Table_SiteMilestoneTrackingSummary[[#This Row],[EndDate]:[EndDate]]+1)</f>
        <v>17250</v>
      </c>
      <c r="BB31" s="100">
        <f>BB30+Table_SiteMilestoneTrackingSummary[[#This Row],[c3_CivilWorksCostAC]]</f>
        <v>37050</v>
      </c>
      <c r="BC31" s="96">
        <f>COUNTIFS(Table_SiteMilestoneTracking[SiteReadyForPower_BL],"&gt;="&amp;Table_SiteMilestoneTrackingSummary[[#This Row],[StartDate]:[StartDate]],
Table_SiteMilestoneTracking[SiteReadyForPower_BL],"&lt;"&amp;Table_SiteMilestoneTrackingSummary[[#This Row],[EndDate]:[EndDate]]+1)</f>
        <v>10</v>
      </c>
      <c r="BD31" s="100">
        <f>BD30+Table_SiteMilestoneTrackingSummary[[#This Row],[ReadyForPower_BL]]</f>
        <v>26</v>
      </c>
      <c r="BE31" s="96">
        <f>COUNTIFS(Table_SiteMilestoneTracking[SiteReadyForPower_AC],"&gt;="&amp;Table_SiteMilestoneTrackingSummary[[#This Row],[StartDate]:[StartDate]],
Table_SiteMilestoneTracking[SiteReadyForPower_AC],"&lt;"&amp;Table_SiteMilestoneTrackingSummary[[#This Row],[EndDate]:[EndDate]]+1)</f>
        <v>12</v>
      </c>
      <c r="BF31" s="100">
        <f>BF30+Table_SiteMilestoneTrackingSummary[[#This Row],[ReadyForPower_AC]]</f>
        <v>22</v>
      </c>
      <c r="BG31" s="100">
        <f>$BG$2*Table_SiteMilestoneTrackingSummary[[#This Row],[TXReady_AC]]</f>
        <v>5500</v>
      </c>
      <c r="BH31" s="100">
        <f>BH30+Table_SiteMilestoneTrackingSummary[[#This Row],[c4_PowerInstallEV]]</f>
        <v>7500</v>
      </c>
      <c r="BI31" s="96">
        <f>SUMIFS(Table_SiteMilestoneTracking[c4_PowerInstallCostBL],
Table_SiteMilestoneTracking[TXReady_BL],"&gt;="&amp;Table_SiteMilestoneTrackingSummary[[#This Row],[StartDate]:[StartDate]],
Table_SiteMilestoneTracking[TXReady_BL],"&lt;"&amp;Table_SiteMilestoneTrackingSummary[[#This Row],[EndDate]:[EndDate]]+1)</f>
        <v>4500</v>
      </c>
      <c r="BJ31" s="100">
        <f>BJ30+Table_SiteMilestoneTrackingSummary[[#This Row],[c4_PowerInstallCostBL]]</f>
        <v>8000</v>
      </c>
      <c r="BK31" s="96">
        <f>SUMIFS(Table_SiteMilestoneTracking[c4_PowerInstallCostAC],
Table_SiteMilestoneTracking[TXReady_AC],"&gt;="&amp;Table_SiteMilestoneTrackingSummary[[#This Row],[StartDate]:[StartDate]],
Table_SiteMilestoneTracking[TXReady_AC],"&lt;"&amp;Table_SiteMilestoneTrackingSummary[[#This Row],[EndDate]:[EndDate]]+1)</f>
        <v>5150</v>
      </c>
      <c r="BL31" s="100">
        <f>BL30+Table_SiteMilestoneTrackingSummary[[#This Row],[c4_PowerInstallCostAC]]</f>
        <v>7250</v>
      </c>
      <c r="BM31" s="96">
        <f>COUNTIFS(Table_SiteMilestoneTracking[TXReady_BL],"&gt;="&amp;Table_SiteMilestoneTrackingSummary[[#This Row],[StartDate]:[StartDate]],
Table_SiteMilestoneTracking[TXReady_BL],"&lt;"&amp;Table_SiteMilestoneTrackingSummary[[#This Row],[EndDate]:[EndDate]]+1)</f>
        <v>9</v>
      </c>
      <c r="BN31" s="100">
        <f>BN30+Table_SiteMilestoneTrackingSummary[[#This Row],[TXReady_BL]]</f>
        <v>16</v>
      </c>
      <c r="BO31" s="100">
        <f>COUNTIFS(Table_SiteMilestoneTracking[TXReady_AC],"&gt;="&amp;Table_SiteMilestoneTrackingSummary[[#This Row],[StartDate]:[StartDate]],Table_SiteMilestoneTracking[TXReady_AC],"&lt;"&amp;Table_SiteMilestoneTrackingSummary[[#This Row],[EndDate]:[EndDate]]+1)</f>
        <v>11</v>
      </c>
      <c r="BP31" s="100">
        <f>BP30+Table_SiteMilestoneTrackingSummary[[#This Row],[TXReady_AC]]</f>
        <v>15</v>
      </c>
      <c r="BQ31" s="100">
        <f>$BQ$2*Table_SiteMilestoneTrackingSummary[[#This Row],[ReadyForInstallation_AC]]</f>
        <v>2000</v>
      </c>
      <c r="BR31" s="100">
        <f>BR30+Table_SiteMilestoneTrackingSummary[[#This Row],[c5_TxIntegrationEV]]</f>
        <v>2500</v>
      </c>
      <c r="BS31" s="96">
        <f>SUMIFS(Table_SiteMilestoneTracking[c5_TxintegrationCostBL],
Table_SiteMilestoneTracking[SiteReadyForInstallation_BL],"&gt;="&amp;Table_SiteMilestoneTrackingSummary[[#This Row],[StartDate]:[StartDate]],
Table_SiteMilestoneTracking[SiteReadyForInstallation_BL],"&lt;"&amp;Table_SiteMilestoneTrackingSummary[[#This Row],[EndDate]:[EndDate]]+1)</f>
        <v>3000</v>
      </c>
      <c r="BT31" s="100">
        <f>BT30+Table_SiteMilestoneTrackingSummary[[#This Row],[c5_TxIntegrationCostBL]]</f>
        <v>3500</v>
      </c>
      <c r="BU31" s="96">
        <f>SUMIFS(Table_SiteMilestoneTracking[c5_TxintegrationCostAC],
Table_SiteMilestoneTracking[SiteReadyForInstallation_AC],"&gt;="&amp;Table_SiteMilestoneTrackingSummary[[#This Row],[StartDate]:[StartDate]],
Table_SiteMilestoneTracking[SiteReadyForInstallation_AC],"&lt;"&amp;Table_SiteMilestoneTrackingSummary[[#This Row],[EndDate]:[EndDate]]+1)</f>
        <v>2150</v>
      </c>
      <c r="BV31" s="100">
        <f>BV30+Table_SiteMilestoneTrackingSummary[[#This Row],[c5_TxIntegrationCostAC]]</f>
        <v>2800</v>
      </c>
      <c r="BW31" s="96">
        <f>COUNTIFS(Table_SiteMilestoneTracking[SiteReadyForInstallation_BL],"&gt;="&amp;Table_SiteMilestoneTrackingSummary[[#This Row],[StartDate]:[StartDate]],
Table_SiteMilestoneTracking[SiteReadyForInstallation_BL],"&lt;"&amp;Table_SiteMilestoneTrackingSummary[[#This Row],[EndDate]:[EndDate]]+1)</f>
        <v>6</v>
      </c>
      <c r="BX31" s="100">
        <f>BX30+Table_SiteMilestoneTrackingSummary[[#This Row],[ReadyForInstallation_BL]]</f>
        <v>7</v>
      </c>
      <c r="BY31" s="96">
        <f>COUNTIFS(Table_SiteMilestoneTracking[SiteReadyForInstallation_AC],"&gt;="&amp;Table_SiteMilestoneTrackingSummary[[#This Row],[StartDate]:[StartDate]],
Table_SiteMilestoneTracking[SiteReadyForInstallation_AC],"&lt;"&amp;Table_SiteMilestoneTrackingSummary[[#This Row],[EndDate]:[EndDate]]+1)</f>
        <v>4</v>
      </c>
      <c r="BZ31" s="100">
        <f>BZ30+Table_SiteMilestoneTrackingSummary[[#This Row],[ReadyForInstallation_AC]]</f>
        <v>5</v>
      </c>
      <c r="CA31" s="100">
        <f>$CA$2*Table_SiteMilestoneTrackingSummary[[#This Row],[ReadyForIntegration_AC]]</f>
        <v>5000</v>
      </c>
      <c r="CB31" s="100">
        <f>CB30+Table_SiteMilestoneTrackingSummary[[#This Row],[c6_InstallationEV]]</f>
        <v>5000</v>
      </c>
      <c r="CC31" s="96">
        <f>SUMIFS(Table_SiteMilestoneTracking[c6_InstallationCostBL],
Table_SiteMilestoneTracking[SiteReadyForIntegration_BL],"&gt;="&amp;Table_SiteMilestoneTrackingSummary[[#This Row],[StartDate]:[StartDate]],
Table_SiteMilestoneTracking[SiteReadyForIntegration_BL],"&lt;"&amp;Table_SiteMilestoneTrackingSummary[[#This Row],[EndDate]:[EndDate]]+1)</f>
        <v>15000</v>
      </c>
      <c r="CD31" s="100">
        <f>CD30+Table_SiteMilestoneTrackingSummary[[#This Row],[c6_InstallationCostBL]]</f>
        <v>17500</v>
      </c>
      <c r="CE31" s="96">
        <f>SUMIFS(Table_SiteMilestoneTracking[c6_InstallationCostAC],
Table_SiteMilestoneTracking[SiteReadyForIntegration_AC],"&gt;="&amp;Table_SiteMilestoneTrackingSummary[[#This Row],[StartDate]:[StartDate]],
Table_SiteMilestoneTracking[SiteReadyForIntegration_AC],"&lt;"&amp;Table_SiteMilestoneTrackingSummary[[#This Row],[EndDate]:[EndDate]]+1)</f>
        <v>4300</v>
      </c>
      <c r="CF31" s="100">
        <f>CF30+Table_SiteMilestoneTrackingSummary[[#This Row],[c6_InstallationCostAC]]</f>
        <v>4300</v>
      </c>
      <c r="CG31" s="96">
        <f>COUNTIFS(Table_SiteMilestoneTracking[SiteReadyForIntegration_BL],"&gt;="&amp;Table_SiteMilestoneTrackingSummary[[#This Row],[StartDate]:[StartDate]],
Table_SiteMilestoneTracking[SiteReadyForIntegration_BL],"&lt;"&amp;Table_SiteMilestoneTrackingSummary[[#This Row],[EndDate]:[EndDate]]+1)</f>
        <v>6</v>
      </c>
      <c r="CH31" s="100">
        <f>CH30+Table_SiteMilestoneTrackingSummary[[#This Row],[ReadyForIntegration_BL]]</f>
        <v>7</v>
      </c>
      <c r="CI31" s="96">
        <f>COUNTIFS(Table_SiteMilestoneTracking[SiteReadyForIntegration_AC],"&gt;="&amp;Table_SiteMilestoneTrackingSummary[[#This Row],[StartDate]:[StartDate]],
Table_SiteMilestoneTracking[SiteReadyForIntegration_AC],"&lt;"&amp;Table_SiteMilestoneTrackingSummary[[#This Row],[EndDate]:[EndDate]]+1)</f>
        <v>2</v>
      </c>
      <c r="CJ31" s="100">
        <f>CJ30+Table_SiteMilestoneTrackingSummary[[#This Row],[ReadyForIntegration_AC]]</f>
        <v>2</v>
      </c>
      <c r="CK31" s="100">
        <f>$CK$2*Table_SiteMilestoneTrackingSummary[[#This Row],[SiteOnAir_AC]]</f>
        <v>500</v>
      </c>
      <c r="CL31" s="100">
        <f>CL30+Table_SiteMilestoneTrackingSummary[[#This Row],[c7_IntegrationEV]]</f>
        <v>500</v>
      </c>
      <c r="CM31" s="96">
        <f>SUMIFS(Table_SiteMilestoneTracking[c7_IntegrationCostBL],
Table_SiteMilestoneTracking[SiteOnAir_BL],"&gt;="&amp;Table_SiteMilestoneTrackingSummary[[#This Row],[StartDate]:[StartDate]],
Table_SiteMilestoneTracking[SiteOnAir_BL],"&lt;"&amp;Table_SiteMilestoneTrackingSummary[[#This Row],[EndDate]:[EndDate]]+1)</f>
        <v>500</v>
      </c>
      <c r="CN31" s="100">
        <f>CN30+Table_SiteMilestoneTrackingSummary[[#This Row],[c7_IntegrationCostBL]]</f>
        <v>500</v>
      </c>
      <c r="CO31" s="96">
        <f>SUMIFS(Table_SiteMilestoneTracking[c7_IntegrationCostAC],
Table_SiteMilestoneTracking[SiteOnAir_AC],"&gt;="&amp;Table_SiteMilestoneTrackingSummary[[#This Row],[StartDate]:[StartDate]],
Table_SiteMilestoneTracking[SiteOnAir_AC],"&lt;"&amp;Table_SiteMilestoneTrackingSummary[[#This Row],[EndDate]:[EndDate]]+1)</f>
        <v>460</v>
      </c>
      <c r="CP31" s="100">
        <f>CP30+Table_SiteMilestoneTrackingSummary[[#This Row],[c7_IntegrationCostAC]]</f>
        <v>460</v>
      </c>
      <c r="CQ31" s="96">
        <f>COUNTIFS(Table_SiteMilestoneTracking[SiteOnAir_BL],"&gt;="&amp;Table_SiteMilestoneTrackingSummary[[#This Row],[StartDate]:[StartDate]],
Table_SiteMilestoneTracking[SiteOnAir_BL],"&lt;"&amp;Table_SiteMilestoneTrackingSummary[[#This Row],[EndDate]:[EndDate]]+1)</f>
        <v>1</v>
      </c>
      <c r="CR31" s="100">
        <f>CR30+Table_SiteMilestoneTrackingSummary[[#This Row],[SiteOnAir_BL]]</f>
        <v>1</v>
      </c>
      <c r="CS31" s="96">
        <f>COUNTIFS(Table_SiteMilestoneTracking[SiteOnAir_AC],"&gt;="&amp;Table_SiteMilestoneTrackingSummary[[#This Row],[StartDate]:[StartDate]],
Table_SiteMilestoneTracking[SiteOnAir_AC],"&lt;"&amp;Table_SiteMilestoneTrackingSummary[[#This Row],[EndDate]:[EndDate]]+1)</f>
        <v>1</v>
      </c>
      <c r="CT31" s="100">
        <f>CT30+Table_SiteMilestoneTrackingSummary[[#This Row],[SiteOnAir_AC]]</f>
        <v>1</v>
      </c>
      <c r="CU31" s="100">
        <f>$CU$2*Table_SiteMilestoneTrackingSummary[[#This Row],[SiteAccepted_AC]]</f>
        <v>0</v>
      </c>
      <c r="CV31" s="100">
        <f>CV30+Table_SiteMilestoneTrackingSummary[[#This Row],[c8_AcceptanceEV]]</f>
        <v>0</v>
      </c>
      <c r="CW31" s="96">
        <f>SUMIFS(Table_SiteMilestoneTracking[c8_AcceptanceCostBL],
Table_SiteMilestoneTracking[SiteAccepted_BL],"&gt;="&amp;Table_SiteMilestoneTrackingSummary[[#This Row],[StartDate]:[StartDate]],
Table_SiteMilestoneTracking[SiteAccepted_BL],"&lt;"&amp;Table_SiteMilestoneTrackingSummary[[#This Row],[EndDate]:[EndDate]]+1)</f>
        <v>0</v>
      </c>
      <c r="CX31" s="100">
        <f>CX30+Table_SiteMilestoneTrackingSummary[[#This Row],[c8_AcceptanceCostBL]]</f>
        <v>0</v>
      </c>
      <c r="CY31" s="96">
        <f>SUMIFS(Table_SiteMilestoneTracking[c8_AcceptanceCostAC],
Table_SiteMilestoneTracking[SiteAccepted_AC],"&gt;="&amp;Table_SiteMilestoneTrackingSummary[[#This Row],[StartDate]:[StartDate]],
Table_SiteMilestoneTracking[SiteAccepted_AC],"&lt;"&amp;Table_SiteMilestoneTrackingSummary[[#This Row],[EndDate]:[EndDate]]+1)</f>
        <v>0</v>
      </c>
      <c r="CZ31" s="100">
        <f>CZ30+Table_SiteMilestoneTrackingSummary[[#This Row],[c8_AcceptanceCostAC]]</f>
        <v>0</v>
      </c>
      <c r="DA31" s="96">
        <f>COUNTIFS(Table_SiteMilestoneTracking[SiteAccepted_BL],"&gt;="&amp;Table_SiteMilestoneTrackingSummary[[#This Row],[StartDate]:[StartDate]],
Table_SiteMilestoneTracking[SiteAccepted_BL],"&lt;"&amp;Table_SiteMilestoneTrackingSummary[[#This Row],[EndDate]:[EndDate]]+1)</f>
        <v>0</v>
      </c>
      <c r="DB31" s="100">
        <f>DB30+Table_SiteMilestoneTrackingSummary[[#This Row],[SiteAccepted_BL]]</f>
        <v>0</v>
      </c>
      <c r="DC31" s="96">
        <f>COUNTIFS(Table_SiteMilestoneTracking[SiteAccepted_AC],"&gt;="&amp;Table_SiteMilestoneTrackingSummary[[#This Row],[StartDate]:[StartDate]],
Table_SiteMilestoneTracking[SiteAccepted_AC],"&lt;"&amp;Table_SiteMilestoneTrackingSummary[[#This Row],[EndDate]:[EndDate]]+1)</f>
        <v>0</v>
      </c>
      <c r="DD31" s="100">
        <f>DD30+Table_SiteMilestoneTrackingSummary[[#This Row],[SiteAccepted_AC]]</f>
        <v>0</v>
      </c>
      <c r="DE31" s="100">
        <f>$DE$2*Table_SiteMilestoneTrackingSummary[[#This Row],[SiteInOperations_AC]]</f>
        <v>0</v>
      </c>
      <c r="DF31" s="100">
        <f>DF30+Table_SiteMilestoneTrackingSummary[[#This Row],[c9_HandoverEV]]</f>
        <v>0</v>
      </c>
      <c r="DG31" s="96">
        <f>SUMIFS(Table_SiteMilestoneTracking[c9_HandoverCostBL],
Table_SiteMilestoneTracking[SiteInOperations_BL],"&gt;="&amp;Table_SiteMilestoneTrackingSummary[[#This Row],[StartDate]:[StartDate]],
Table_SiteMilestoneTracking[SiteInOperations_BL],"&lt;"&amp;Table_SiteMilestoneTrackingSummary[[#This Row],[EndDate]:[EndDate]]+1)</f>
        <v>0</v>
      </c>
      <c r="DH31" s="100">
        <f>DH30+Table_SiteMilestoneTrackingSummary[[#This Row],[c9_HandoverCostBL2]]</f>
        <v>0</v>
      </c>
      <c r="DI31" s="96">
        <f>SUMIFS(Table_SiteMilestoneTracking[c9_HandoverCostAC],
Table_SiteMilestoneTracking[SiteInOperations_AC],"&gt;="&amp;Table_SiteMilestoneTrackingSummary[[#This Row],[StartDate]:[StartDate]],
Table_SiteMilestoneTracking[SiteInOperations_AC],"&lt;"&amp;Table_SiteMilestoneTrackingSummary[[#This Row],[EndDate]:[EndDate]]+1)</f>
        <v>0</v>
      </c>
      <c r="DJ31" s="100">
        <f>DJ30+Table_SiteMilestoneTrackingSummary[[#This Row],[c9_HandoverCostAC]]</f>
        <v>0</v>
      </c>
      <c r="DK31" s="96">
        <f>COUNTIFS(Table_SiteMilestoneTracking[SiteInOperations_BL],"&gt;="&amp;Table_SiteMilestoneTrackingSummary[[#This Row],[StartDate]:[StartDate]],
Table_SiteMilestoneTracking[SiteInOperations_BL],"&lt;"&amp;Table_SiteMilestoneTrackingSummary[[#This Row],[EndDate]:[EndDate]]+1)</f>
        <v>0</v>
      </c>
      <c r="DL31" s="100">
        <f>DL30+Table_SiteMilestoneTrackingSummary[[#This Row],[SiteInOperations_BL]]</f>
        <v>0</v>
      </c>
      <c r="DM31" s="96">
        <f>COUNTIFS(Table_SiteMilestoneTracking[SiteInOperations_AC],"&gt;="&amp;Table_SiteMilestoneTrackingSummary[[#This Row],[StartDate]:[StartDate]],
Table_SiteMilestoneTracking[SiteInOperations_AC],"&lt;"&amp;Table_SiteMilestoneTrackingSummary[[#This Row],[EndDate]:[EndDate]]+1)</f>
        <v>0</v>
      </c>
      <c r="DN31" s="100">
        <f>DN30+Table_SiteMilestoneTrackingSummary[[#This Row],[SiteInOperations_AC]]</f>
        <v>0</v>
      </c>
      <c r="DO31" s="59">
        <f>Table_SiteMilestoneTrackingSummary[[#This Row],[c0_SiteDesignEV(SUM)]]+Table_SiteMilestoneTrackingSummary[[#This Row],[c1_SiteSurveyEV(SUM)]]+Table_SiteMilestoneTrackingSummary[[#This Row],[c2_SiteAcquisitionEV(SUM)]]+Table_SiteMilestoneTrackingSummary[[#This Row],[c2a_SiteCWReadinessEV(SUM)]]+Table_SiteMilestoneTrackingSummary[[#This Row],[c3_CivilWorksEV(SUM)]]+Table_SiteMilestoneTrackingSummary[[#This Row],[c4_PowerInstallEV(SUM)]]+Table_SiteMilestoneTrackingSummary[[#This Row],[c5_TxIntegrationEV(SUM)]]+Table_SiteMilestoneTrackingSummary[[#This Row],[c6_InstallationEV(SUM)]]+Table_SiteMilestoneTrackingSummary[[#This Row],[c7_IntegrationEV(SUM)]]+Table_SiteMilestoneTrackingSummary[[#This Row],[c8_AcceptanceEV(SUM)]]+Table_SiteMilestoneTrackingSummary[[#This Row],[c9_HandoverEV(SUM)]]</f>
        <v>140300</v>
      </c>
      <c r="DP31" s="59">
        <f>Table_SiteMilestoneTrackingSummary[[#This Row],[c0_SiteDesignCostBL(SUM)]]+Table_SiteMilestoneTrackingSummary[[#This Row],[c1_SiteSurveyCostBL(SUM)]]+Table_SiteMilestoneTrackingSummary[[#This Row],[c2_SiteAcquisitionCostBL(SUM)]]+Table_SiteMilestoneTrackingSummary[[#This Row],[c2a_SiteCWReadinessCostBL(SUM)]]+Table_SiteMilestoneTrackingSummary[[#This Row],[c3_CivilWorksCostBL(SUM)]]+Table_SiteMilestoneTrackingSummary[[#This Row],[c4_PowerInstallCostBL(SUM)]]+Table_SiteMilestoneTrackingSummary[[#This Row],[c5_TxIntegrationCostBL(SUM)]]+Table_SiteMilestoneTrackingSummary[[#This Row],[c6_InstallationCostBL(SUM)]]+Table_SiteMilestoneTrackingSummary[[#This Row],[c7_IntegrationCostBL(SUM)]]+Table_SiteMilestoneTrackingSummary[[#This Row],[c8_AcceptanceCostBL(SUM)]]+Table_SiteMilestoneTrackingSummary[[#This Row],[c9_HandoverCostBL(SUM)]]</f>
        <v>190800</v>
      </c>
      <c r="DQ31" s="59">
        <f>Table_SiteMilestoneTrackingSummary[[#This Row],[c0_SiteDesignCostAC(SUM)]]+Table_SiteMilestoneTrackingSummary[[#This Row],[c1_SiteSurveyCostAC(SUM)]]+Table_SiteMilestoneTrackingSummary[[#This Row],[c2_SiteAcquisitionCostAC(SUM)]]+Table_SiteMilestoneTrackingSummary[[#This Row],[c2a_SiteCWReadinessCostAC(SUM)]]+Table_SiteMilestoneTrackingSummary[[#This Row],[c3_CivilWorksCostAC(SUM)]]+Table_SiteMilestoneTrackingSummary[[#This Row],[c4_PowerInstallCostAC(SUM)]]+Table_SiteMilestoneTrackingSummary[[#This Row],[c5_TxIntegrationCostAC(SUM)]]+Table_SiteMilestoneTrackingSummary[[#This Row],[c6_InstallationCostAC(SUM)]]+Table_SiteMilestoneTrackingSummary[[#This Row],[c7_IntegrationCostAC(SUM)]]+Table_SiteMilestoneTrackingSummary[[#This Row],[c8_AcceptanceCostAC(SUM)]]+Table_SiteMilestoneTrackingSummary[[#This Row],[c9_HandoverCostAC(SUM)]]</f>
        <v>170855</v>
      </c>
      <c r="DR31" s="59">
        <f>Table_SiteMilestoneTrackingSummary[[#This Row],[AccumulatedEV]]-Table_SiteMilestoneTrackingSummary[[#This Row],[AccumulatedPV]]</f>
        <v>-50500</v>
      </c>
      <c r="DS31" s="59">
        <f>Table_SiteMilestoneTrackingSummary[[#This Row],[AccumulatedEV]]-Table_SiteMilestoneTrackingSummary[[#This Row],[AccumulatedAC]]</f>
        <v>-30555</v>
      </c>
      <c r="DT31" s="58">
        <f>IFERROR(Table_SiteMilestoneTrackingSummary[[#This Row],[AccumulatedEV]]/Table_SiteMilestoneTrackingSummary[[#This Row],[AccumulatedPV]],"/")</f>
        <v>0.7353249475890985</v>
      </c>
      <c r="DU31" s="101">
        <f>IFERROR(Table_SiteMilestoneTrackingSummary[[#This Row],[AccumulatedEV]]/Table_SiteMilestoneTrackingSummary[[#This Row],[AccumulatedAC]],"/")</f>
        <v>0.8211641450352638</v>
      </c>
    </row>
    <row r="32" spans="1:125" x14ac:dyDescent="0.3">
      <c r="A32" s="79">
        <v>2020</v>
      </c>
      <c r="B32" s="79">
        <v>29</v>
      </c>
      <c r="C32" s="95">
        <f>DATE(Table_SiteMilestoneTrackingSummary[[#This Row],[Year]],1,-2)-WEEKDAY(DATE(Table_SiteMilestoneTrackingSummary[[#This Row],[Year]],1,3))+Table_SiteMilestoneTrackingSummary[[#This Row],[Week]]*7</f>
        <v>44025</v>
      </c>
      <c r="D32" s="95">
        <f>Table_SiteMilestoneTrackingSummary[[#This Row],[StartDate]]+6</f>
        <v>44031</v>
      </c>
      <c r="E32" s="100">
        <f>COUNTIFS(Table_SiteMilestoneTracking[SiteDesignStarted_BL],"&gt;="&amp;Table_SiteMilestoneTrackingSummary[[#This Row],[StartDate]:[StartDate]],Table_SiteMilestoneTracking[SiteDesignStarted_BL],"&lt;"&amp;Table_SiteMilestoneTrackingSummary[[#This Row],[EndDate]:[EndDate]]+1)</f>
        <v>13</v>
      </c>
      <c r="F32" s="100">
        <f>F31+Table_SiteMilestoneTrackingSummary[[#This Row],[SiteDesignStarted_BL]]</f>
        <v>100</v>
      </c>
      <c r="G32" s="100">
        <f>COUNTIFS(Table_SiteMilestoneTracking[SiteDesignStarted_AC],"&gt;="&amp;Table_SiteMilestoneTrackingSummary[[#This Row],[StartDate]:[StartDate]],Table_SiteMilestoneTracking[SiteDesignStarted_AC],"&lt;"&amp;Table_SiteMilestoneTrackingSummary[[#This Row],[EndDate]:[EndDate]]+1)</f>
        <v>9</v>
      </c>
      <c r="H32" s="100">
        <f>H31+Table_SiteMilestoneTrackingSummary[[#This Row],[SiteDesignStarted_AC]]</f>
        <v>95</v>
      </c>
      <c r="I32" s="100">
        <f>Table_SiteMilestoneTrackingSummary[[#This Row],[SiteDesignReady_AC]]*$I$2</f>
        <v>2500</v>
      </c>
      <c r="J32" s="100">
        <f>J31+Table_SiteMilestoneTrackingSummary[[#This Row],[c0_SiteDesignEV]]</f>
        <v>45000</v>
      </c>
      <c r="K32" s="97">
        <f>SUMIFS(Table_SiteMilestoneTracking[c0_SiteDesignCostBL],
Table_SiteMilestoneTracking[SiteDesignReady_BL],"&gt;="&amp;Table_SiteMilestoneTrackingSummary[[#This Row],[StartDate]:[StartDate]],
Table_SiteMilestoneTracking[SiteDesignReady_BL],"&lt;"&amp;Table_SiteMilestoneTrackingSummary[[#This Row],[EndDate]:[EndDate]]+1)</f>
        <v>7000</v>
      </c>
      <c r="L32" s="59">
        <f>L31+Table_SiteMilestoneTrackingSummary[[#This Row],[c0_SiteDesignCostBL]]</f>
        <v>50000</v>
      </c>
      <c r="M32" s="97">
        <f>SUMIFS(Table_SiteMilestoneTracking[c0_SiteDesignCostAC],
Table_SiteMilestoneTracking[SiteDesignReady_AC],"&gt;="&amp;Table_SiteMilestoneTrackingSummary[[#This Row],[StartDate]:[StartDate]],
Table_SiteMilestoneTracking[SiteDesignReady_AC],"&lt;"&amp;Table_SiteMilestoneTrackingSummary[[#This Row],[EndDate]:[EndDate]]+1)</f>
        <v>2460</v>
      </c>
      <c r="N32" s="59">
        <f>N31+Table_SiteMilestoneTrackingSummary[[#This Row],[c0_SiteDesignCostAC]]</f>
        <v>43180</v>
      </c>
      <c r="O32" s="96">
        <f>COUNTIFS(Table_SiteMilestoneTracking[SiteDesignReady_BL],"&gt;="&amp;Table_SiteMilestoneTrackingSummary[[#This Row],[StartDate]:[StartDate]],
Table_SiteMilestoneTracking[SiteDesignReady_BL],"&lt;"&amp;Table_SiteMilestoneTrackingSummary[[#This Row],[EndDate]:[EndDate]]+1)</f>
        <v>14</v>
      </c>
      <c r="P32" s="100">
        <f>P31+Table_SiteMilestoneTrackingSummary[[#This Row],[SiteDesignReady_BL]]</f>
        <v>100</v>
      </c>
      <c r="Q32" s="100">
        <f>COUNTIFS(Table_SiteMilestoneTracking[SiteDesignReady_AC],"&gt;="&amp;Table_SiteMilestoneTrackingSummary[[#This Row],[StartDate]:[StartDate]],Table_SiteMilestoneTracking[SiteDesignReady_AC],"&lt;"&amp;Table_SiteMilestoneTrackingSummary[[#This Row],[EndDate]:[EndDate]]+1)</f>
        <v>5</v>
      </c>
      <c r="R32" s="100">
        <f>R31+Table_SiteMilestoneTrackingSummary[[#This Row],[SiteDesignReady_AC]]</f>
        <v>90</v>
      </c>
      <c r="S32" s="100">
        <f>Table_SiteMilestoneTrackingSummary[[#This Row],[ReadyForCW_AC]]*$S$2</f>
        <v>11500</v>
      </c>
      <c r="T32" s="100">
        <f>T31+Table_SiteMilestoneTrackingSummary[[#This Row],[c1_SiteSurveyEV]]</f>
        <v>30500</v>
      </c>
      <c r="U32" s="96">
        <f>SUMIFS(Table_SiteMilestoneTracking[c1_SiteSurveyCostBL],
Table_SiteMilestoneTracking[SiteSurveyCompleted_BL],"&gt;="&amp;Table_SiteMilestoneTrackingSummary[[#This Row],[StartDate]:[StartDate]],
Table_SiteMilestoneTracking[SiteSurveyCompleted_BL],"&lt;"&amp;Table_SiteMilestoneTrackingSummary[[#This Row],[EndDate]:[EndDate]]+1)</f>
        <v>7000</v>
      </c>
      <c r="V32" s="100">
        <f>V31+Table_SiteMilestoneTrackingSummary[[#This Row],[c1_SiteSurveyCostBL]]</f>
        <v>50000</v>
      </c>
      <c r="W32" s="96">
        <f>SUMIFS(Table_SiteMilestoneTracking[c1_SiteSurveyCostAC],
Table_SiteMilestoneTracking[SiteSurveyCompleted_AC],"&gt;="&amp;Table_SiteMilestoneTrackingSummary[[#This Row],[StartDate]:[StartDate]],
Table_SiteMilestoneTracking[SiteSurveyCompleted_AC],"&lt;"&amp;Table_SiteMilestoneTrackingSummary[[#This Row],[EndDate]:[EndDate]]+1)</f>
        <v>4875</v>
      </c>
      <c r="X32" s="100">
        <f>X31+Table_SiteMilestoneTrackingSummary[[#This Row],[c1_SiteSurveyCostAC]]</f>
        <v>51800</v>
      </c>
      <c r="Y32" s="96">
        <f>COUNTIFS(Table_SiteMilestoneTracking[SiteSurveyCompleted_BL],"&gt;="&amp;Table_SiteMilestoneTrackingSummary[[#This Row],[StartDate]:[StartDate]],
Table_SiteMilestoneTracking[SiteSurveyCompleted_BL],"&lt;"&amp;Table_SiteMilestoneTrackingSummary[[#This Row],[EndDate]:[EndDate]]+1)</f>
        <v>14</v>
      </c>
      <c r="Z32" s="100">
        <f>Z31+Table_SiteMilestoneTrackingSummary[[#This Row],[SiteSurveyCompleted_BL]]</f>
        <v>100</v>
      </c>
      <c r="AA32" s="96">
        <f>COUNTIFS(Table_SiteMilestoneTracking[SiteSurveyCompleted_AC],"&gt;="&amp;Table_SiteMilestoneTrackingSummary[[#This Row],[StartDate]:[StartDate]],
Table_SiteMilestoneTracking[SiteSurveyCompleted_AC],"&lt;"&amp;Table_SiteMilestoneTrackingSummary[[#This Row],[EndDate]:[EndDate]]+1)</f>
        <v>7</v>
      </c>
      <c r="AB32" s="100">
        <f>AB31+Table_SiteMilestoneTrackingSummary[[#This Row],[SiteSurveyCompleted_AC]]</f>
        <v>86</v>
      </c>
      <c r="AC32" s="100">
        <f>$AC$2*Table_SiteMilestoneTrackingSummary[[#This Row],[SiteAcquired_AC]]</f>
        <v>15000</v>
      </c>
      <c r="AD32" s="100">
        <f>AD31+Table_SiteMilestoneTrackingSummary[[#This Row],[c2_SiteAcquisitionEV]]</f>
        <v>39600</v>
      </c>
      <c r="AE32" s="96">
        <f>SUMIFS(Table_SiteMilestoneTracking[c2_SiteAcquisitionCostBL],
Table_SiteMilestoneTracking[SiteAcquired_BL],"&gt;="&amp;Table_SiteMilestoneTrackingSummary[[#This Row],[StartDate]:[StartDate]],
Table_SiteMilestoneTracking[SiteAcquired_BL],"&lt;"&amp;Table_SiteMilestoneTrackingSummary[[#This Row],[EndDate]:[EndDate]]+1)</f>
        <v>9600</v>
      </c>
      <c r="AF32" s="100">
        <f>AF31+Table_SiteMilestoneTrackingSummary[[#This Row],[c2_SiteAcquisitionCostBL]]</f>
        <v>40200</v>
      </c>
      <c r="AG32" s="96">
        <f>SUMIFS(Table_SiteMilestoneTracking[c2_SiteAcquisitionCostAC],
Table_SiteMilestoneTracking[SiteAcquired_AC],"&gt;="&amp;Table_SiteMilestoneTrackingSummary[[#This Row],[StartDate]:[StartDate]],
Table_SiteMilestoneTracking[SiteAcquired_AC],"&lt;"&amp;Table_SiteMilestoneTrackingSummary[[#This Row],[EndDate]:[EndDate]]+1)</f>
        <v>16020</v>
      </c>
      <c r="AH32" s="100">
        <f>AH31+Table_SiteMilestoneTrackingSummary[[#This Row],[c2_SiteAcquisitionCostAC]]</f>
        <v>41700</v>
      </c>
      <c r="AI32" s="96">
        <f>COUNTIFS(Table_SiteMilestoneTracking[SiteAcquired_BL],"&gt;="&amp;Table_SiteMilestoneTrackingSummary[[#This Row],[StartDate]:[StartDate]],
Table_SiteMilestoneTracking[SiteAcquired_BL],"&lt;"&amp;Table_SiteMilestoneTrackingSummary[[#This Row],[EndDate]:[EndDate]]+1)</f>
        <v>16</v>
      </c>
      <c r="AJ32" s="100">
        <f>AJ31+Table_SiteMilestoneTrackingSummary[[#This Row],[SiteAcquired_BL]]</f>
        <v>67</v>
      </c>
      <c r="AK32" s="96">
        <f>COUNTIFS(Table_SiteMilestoneTracking[SiteAcquired_AC],"&gt;="&amp;Table_SiteMilestoneTrackingSummary[[#This Row],[StartDate]:[StartDate]],
Table_SiteMilestoneTracking[SiteAcquired_AC],"&lt;"&amp;Table_SiteMilestoneTrackingSummary[[#This Row],[EndDate]:[EndDate]]+1)</f>
        <v>25</v>
      </c>
      <c r="AL32" s="100">
        <f>AL31+Table_SiteMilestoneTrackingSummary[[#This Row],[SiteAcquired_AC]]</f>
        <v>66</v>
      </c>
      <c r="AM32" s="100">
        <f>Table_SiteMilestoneTrackingSummary[[#This Row],[ReadyForCW_AC]]*$AM$2</f>
        <v>3450</v>
      </c>
      <c r="AN32" s="100">
        <f>AN31+Table_SiteMilestoneTrackingSummary[[#This Row],[c2a_SiteCWReadinessEV]]</f>
        <v>9150</v>
      </c>
      <c r="AO32" s="96">
        <f>SUMIFS(Table_SiteMilestoneTracking[c2a_SiteCWReadinessCost_BL],
Table_SiteMilestoneTracking[SiteReadyForCW_BL],"&gt;="&amp;Table_SiteMilestoneTrackingSummary[[#This Row],[StartDate]:[StartDate]],
Table_SiteMilestoneTracking[SiteReadyForCW_BL],"&lt;"&amp;Table_SiteMilestoneTrackingSummary[[#This Row],[EndDate]:[EndDate]]+1)</f>
        <v>4350</v>
      </c>
      <c r="AP32" s="100">
        <f>AP31+Table_SiteMilestoneTrackingSummary[[#This Row],[c2a_SiteCWReadinessCostBL]]</f>
        <v>10050</v>
      </c>
      <c r="AQ32" s="96">
        <f>SUMIFS(Table_SiteMilestoneTracking[c2a_SiteCWReadinessCost_AC],
Table_SiteMilestoneTracking[SiteReadyForCW_AC],"&gt;="&amp;Table_SiteMilestoneTrackingSummary[[#This Row],[StartDate]:[StartDate]],
Table_SiteMilestoneTracking[SiteReadyForCW_AC],"&lt;"&amp;Table_SiteMilestoneTrackingSummary[[#This Row],[EndDate]:[EndDate]]+1)</f>
        <v>3495</v>
      </c>
      <c r="AR32" s="100">
        <f>AR31+Table_SiteMilestoneTrackingSummary[[#This Row],[c2a_SiteCWReadinessCostAC]]</f>
        <v>9165</v>
      </c>
      <c r="AS32" s="96">
        <f>COUNTIFS(Table_SiteMilestoneTracking[SiteReadyForCW_BL],"&gt;="&amp;Table_SiteMilestoneTrackingSummary[[#This Row],[StartDate]:[StartDate]],
Table_SiteMilestoneTracking[SiteReadyForCW_BL],"&lt;"&amp;Table_SiteMilestoneTrackingSummary[[#This Row],[EndDate]:[EndDate]]+1)</f>
        <v>29</v>
      </c>
      <c r="AT32" s="100">
        <f>AT31+Table_SiteMilestoneTrackingSummary[[#This Row],[ReadyForCW_BL]]</f>
        <v>67</v>
      </c>
      <c r="AU32" s="96">
        <f>COUNTIFS(Table_SiteMilestoneTracking[SiteReadyForCW_AC],"&gt;="&amp;Table_SiteMilestoneTrackingSummary[[#This Row],[StartDate]:[StartDate]],
Table_SiteMilestoneTracking[SiteReadyForCW_AC],"&lt;"&amp;Table_SiteMilestoneTrackingSummary[[#This Row],[EndDate]:[EndDate]]+1)</f>
        <v>23</v>
      </c>
      <c r="AV32" s="100">
        <f>AV31+Table_SiteMilestoneTrackingSummary[[#This Row],[ReadyForCW_AC]]</f>
        <v>61</v>
      </c>
      <c r="AW32" s="100">
        <f>$AW$2*Table_SiteMilestoneTrackingSummary[[#This Row],[ReadyForPower_AC]]</f>
        <v>19500</v>
      </c>
      <c r="AX32" s="100">
        <f>AX31+Table_SiteMilestoneTrackingSummary[[#This Row],[c3_CivilWorksEV]]</f>
        <v>52500</v>
      </c>
      <c r="AY32" s="96">
        <f>SUMIFS(Table_SiteMilestoneTracking[c3_CivilWorksCostBL],
Table_SiteMilestoneTracking[SiteReadyForPower_BL],"&gt;="&amp;Table_SiteMilestoneTrackingSummary[[#This Row],[StartDate]:[StartDate]],
Table_SiteMilestoneTracking[SiteReadyForPower_BL],"&lt;"&amp;Table_SiteMilestoneTrackingSummary[[#This Row],[EndDate]:[EndDate]]+1)</f>
        <v>18000</v>
      </c>
      <c r="AZ32" s="100">
        <f>AZ31+Table_SiteMilestoneTrackingSummary[[#This Row],[c3_CivilWorksCostBL]]</f>
        <v>57000</v>
      </c>
      <c r="BA32" s="96">
        <f>SUMIFS(Table_SiteMilestoneTracking[c3_CivilWorksCostAC],
Table_SiteMilestoneTracking[SiteReadyForPower_AC],"&gt;="&amp;Table_SiteMilestoneTrackingSummary[[#This Row],[StartDate]:[StartDate]],
Table_SiteMilestoneTracking[SiteReadyForPower_AC],"&lt;"&amp;Table_SiteMilestoneTrackingSummary[[#This Row],[EndDate]:[EndDate]]+1)</f>
        <v>21750</v>
      </c>
      <c r="BB32" s="100">
        <f>BB31+Table_SiteMilestoneTrackingSummary[[#This Row],[c3_CivilWorksCostAC]]</f>
        <v>58800</v>
      </c>
      <c r="BC32" s="96">
        <f>COUNTIFS(Table_SiteMilestoneTracking[SiteReadyForPower_BL],"&gt;="&amp;Table_SiteMilestoneTrackingSummary[[#This Row],[StartDate]:[StartDate]],
Table_SiteMilestoneTracking[SiteReadyForPower_BL],"&lt;"&amp;Table_SiteMilestoneTrackingSummary[[#This Row],[EndDate]:[EndDate]]+1)</f>
        <v>12</v>
      </c>
      <c r="BD32" s="100">
        <f>BD31+Table_SiteMilestoneTrackingSummary[[#This Row],[ReadyForPower_BL]]</f>
        <v>38</v>
      </c>
      <c r="BE32" s="96">
        <f>COUNTIFS(Table_SiteMilestoneTracking[SiteReadyForPower_AC],"&gt;="&amp;Table_SiteMilestoneTrackingSummary[[#This Row],[StartDate]:[StartDate]],
Table_SiteMilestoneTracking[SiteReadyForPower_AC],"&lt;"&amp;Table_SiteMilestoneTrackingSummary[[#This Row],[EndDate]:[EndDate]]+1)</f>
        <v>13</v>
      </c>
      <c r="BF32" s="100">
        <f>BF31+Table_SiteMilestoneTrackingSummary[[#This Row],[ReadyForPower_AC]]</f>
        <v>35</v>
      </c>
      <c r="BG32" s="100">
        <f>$BG$2*Table_SiteMilestoneTrackingSummary[[#This Row],[TXReady_AC]]</f>
        <v>5000</v>
      </c>
      <c r="BH32" s="100">
        <f>BH31+Table_SiteMilestoneTrackingSummary[[#This Row],[c4_PowerInstallEV]]</f>
        <v>12500</v>
      </c>
      <c r="BI32" s="96">
        <f>SUMIFS(Table_SiteMilestoneTracking[c4_PowerInstallCostBL],
Table_SiteMilestoneTracking[TXReady_BL],"&gt;="&amp;Table_SiteMilestoneTrackingSummary[[#This Row],[StartDate]:[StartDate]],
Table_SiteMilestoneTracking[TXReady_BL],"&lt;"&amp;Table_SiteMilestoneTrackingSummary[[#This Row],[EndDate]:[EndDate]]+1)</f>
        <v>11000</v>
      </c>
      <c r="BJ32" s="100">
        <f>BJ31+Table_SiteMilestoneTrackingSummary[[#This Row],[c4_PowerInstallCostBL]]</f>
        <v>19000</v>
      </c>
      <c r="BK32" s="96">
        <f>SUMIFS(Table_SiteMilestoneTracking[c4_PowerInstallCostAC],
Table_SiteMilestoneTracking[TXReady_AC],"&gt;="&amp;Table_SiteMilestoneTrackingSummary[[#This Row],[StartDate]:[StartDate]],
Table_SiteMilestoneTracking[TXReady_AC],"&lt;"&amp;Table_SiteMilestoneTrackingSummary[[#This Row],[EndDate]:[EndDate]]+1)</f>
        <v>4400</v>
      </c>
      <c r="BL32" s="100">
        <f>BL31+Table_SiteMilestoneTrackingSummary[[#This Row],[c4_PowerInstallCostAC]]</f>
        <v>11650</v>
      </c>
      <c r="BM32" s="96">
        <f>COUNTIFS(Table_SiteMilestoneTracking[TXReady_BL],"&gt;="&amp;Table_SiteMilestoneTrackingSummary[[#This Row],[StartDate]:[StartDate]],
Table_SiteMilestoneTracking[TXReady_BL],"&lt;"&amp;Table_SiteMilestoneTrackingSummary[[#This Row],[EndDate]:[EndDate]]+1)</f>
        <v>22</v>
      </c>
      <c r="BN32" s="100">
        <f>BN31+Table_SiteMilestoneTrackingSummary[[#This Row],[TXReady_BL]]</f>
        <v>38</v>
      </c>
      <c r="BO32" s="100">
        <f>COUNTIFS(Table_SiteMilestoneTracking[TXReady_AC],"&gt;="&amp;Table_SiteMilestoneTrackingSummary[[#This Row],[StartDate]:[StartDate]],Table_SiteMilestoneTracking[TXReady_AC],"&lt;"&amp;Table_SiteMilestoneTrackingSummary[[#This Row],[EndDate]:[EndDate]]+1)</f>
        <v>10</v>
      </c>
      <c r="BP32" s="100">
        <f>BP31+Table_SiteMilestoneTrackingSummary[[#This Row],[TXReady_AC]]</f>
        <v>25</v>
      </c>
      <c r="BQ32" s="100">
        <f>$BQ$2*Table_SiteMilestoneTrackingSummary[[#This Row],[ReadyForInstallation_AC]]</f>
        <v>3500</v>
      </c>
      <c r="BR32" s="100">
        <f>BR31+Table_SiteMilestoneTrackingSummary[[#This Row],[c5_TxIntegrationEV]]</f>
        <v>6000</v>
      </c>
      <c r="BS32" s="96">
        <f>SUMIFS(Table_SiteMilestoneTracking[c5_TxintegrationCostBL],
Table_SiteMilestoneTracking[SiteReadyForInstallation_BL],"&gt;="&amp;Table_SiteMilestoneTrackingSummary[[#This Row],[StartDate]:[StartDate]],
Table_SiteMilestoneTracking[SiteReadyForInstallation_BL],"&lt;"&amp;Table_SiteMilestoneTrackingSummary[[#This Row],[EndDate]:[EndDate]]+1)</f>
        <v>4500</v>
      </c>
      <c r="BT32" s="100">
        <f>BT31+Table_SiteMilestoneTrackingSummary[[#This Row],[c5_TxIntegrationCostBL]]</f>
        <v>8000</v>
      </c>
      <c r="BU32" s="96">
        <f>SUMIFS(Table_SiteMilestoneTracking[c5_TxintegrationCostAC],
Table_SiteMilestoneTracking[SiteReadyForInstallation_AC],"&gt;="&amp;Table_SiteMilestoneTrackingSummary[[#This Row],[StartDate]:[StartDate]],
Table_SiteMilestoneTracking[SiteReadyForInstallation_AC],"&lt;"&amp;Table_SiteMilestoneTrackingSummary[[#This Row],[EndDate]:[EndDate]]+1)</f>
        <v>3500</v>
      </c>
      <c r="BV32" s="100">
        <f>BV31+Table_SiteMilestoneTrackingSummary[[#This Row],[c5_TxIntegrationCostAC]]</f>
        <v>6300</v>
      </c>
      <c r="BW32" s="96">
        <f>COUNTIFS(Table_SiteMilestoneTracking[SiteReadyForInstallation_BL],"&gt;="&amp;Table_SiteMilestoneTrackingSummary[[#This Row],[StartDate]:[StartDate]],
Table_SiteMilestoneTracking[SiteReadyForInstallation_BL],"&lt;"&amp;Table_SiteMilestoneTrackingSummary[[#This Row],[EndDate]:[EndDate]]+1)</f>
        <v>9</v>
      </c>
      <c r="BX32" s="100">
        <f>BX31+Table_SiteMilestoneTrackingSummary[[#This Row],[ReadyForInstallation_BL]]</f>
        <v>16</v>
      </c>
      <c r="BY32" s="96">
        <f>COUNTIFS(Table_SiteMilestoneTracking[SiteReadyForInstallation_AC],"&gt;="&amp;Table_SiteMilestoneTrackingSummary[[#This Row],[StartDate]:[StartDate]],
Table_SiteMilestoneTracking[SiteReadyForInstallation_AC],"&lt;"&amp;Table_SiteMilestoneTrackingSummary[[#This Row],[EndDate]:[EndDate]]+1)</f>
        <v>7</v>
      </c>
      <c r="BZ32" s="100">
        <f>BZ31+Table_SiteMilestoneTrackingSummary[[#This Row],[ReadyForInstallation_AC]]</f>
        <v>12</v>
      </c>
      <c r="CA32" s="100">
        <f>$CA$2*Table_SiteMilestoneTrackingSummary[[#This Row],[ReadyForIntegration_AC]]</f>
        <v>12500</v>
      </c>
      <c r="CB32" s="100">
        <f>CB31+Table_SiteMilestoneTrackingSummary[[#This Row],[c6_InstallationEV]]</f>
        <v>17500</v>
      </c>
      <c r="CC32" s="96">
        <f>SUMIFS(Table_SiteMilestoneTracking[c6_InstallationCostBL],
Table_SiteMilestoneTracking[SiteReadyForIntegration_BL],"&gt;="&amp;Table_SiteMilestoneTrackingSummary[[#This Row],[StartDate]:[StartDate]],
Table_SiteMilestoneTracking[SiteReadyForIntegration_BL],"&lt;"&amp;Table_SiteMilestoneTrackingSummary[[#This Row],[EndDate]:[EndDate]]+1)</f>
        <v>22500</v>
      </c>
      <c r="CD32" s="100">
        <f>CD31+Table_SiteMilestoneTrackingSummary[[#This Row],[c6_InstallationCostBL]]</f>
        <v>40000</v>
      </c>
      <c r="CE32" s="96">
        <f>SUMIFS(Table_SiteMilestoneTracking[c6_InstallationCostAC],
Table_SiteMilestoneTracking[SiteReadyForIntegration_AC],"&gt;="&amp;Table_SiteMilestoneTrackingSummary[[#This Row],[StartDate]:[StartDate]],
Table_SiteMilestoneTracking[SiteReadyForIntegration_AC],"&lt;"&amp;Table_SiteMilestoneTrackingSummary[[#This Row],[EndDate]:[EndDate]]+1)</f>
        <v>11100</v>
      </c>
      <c r="CF32" s="100">
        <f>CF31+Table_SiteMilestoneTrackingSummary[[#This Row],[c6_InstallationCostAC]]</f>
        <v>15400</v>
      </c>
      <c r="CG32" s="96">
        <f>COUNTIFS(Table_SiteMilestoneTracking[SiteReadyForIntegration_BL],"&gt;="&amp;Table_SiteMilestoneTrackingSummary[[#This Row],[StartDate]:[StartDate]],
Table_SiteMilestoneTracking[SiteReadyForIntegration_BL],"&lt;"&amp;Table_SiteMilestoneTrackingSummary[[#This Row],[EndDate]:[EndDate]]+1)</f>
        <v>9</v>
      </c>
      <c r="CH32" s="100">
        <f>CH31+Table_SiteMilestoneTrackingSummary[[#This Row],[ReadyForIntegration_BL]]</f>
        <v>16</v>
      </c>
      <c r="CI32" s="96">
        <f>COUNTIFS(Table_SiteMilestoneTracking[SiteReadyForIntegration_AC],"&gt;="&amp;Table_SiteMilestoneTrackingSummary[[#This Row],[StartDate]:[StartDate]],
Table_SiteMilestoneTracking[SiteReadyForIntegration_AC],"&lt;"&amp;Table_SiteMilestoneTrackingSummary[[#This Row],[EndDate]:[EndDate]]+1)</f>
        <v>5</v>
      </c>
      <c r="CJ32" s="100">
        <f>CJ31+Table_SiteMilestoneTrackingSummary[[#This Row],[ReadyForIntegration_AC]]</f>
        <v>7</v>
      </c>
      <c r="CK32" s="100">
        <f>$CK$2*Table_SiteMilestoneTrackingSummary[[#This Row],[SiteOnAir_AC]]</f>
        <v>2500</v>
      </c>
      <c r="CL32" s="100">
        <f>CL31+Table_SiteMilestoneTrackingSummary[[#This Row],[c7_IntegrationEV]]</f>
        <v>3000</v>
      </c>
      <c r="CM32" s="96">
        <f>SUMIFS(Table_SiteMilestoneTracking[c7_IntegrationCostBL],
Table_SiteMilestoneTracking[SiteOnAir_BL],"&gt;="&amp;Table_SiteMilestoneTrackingSummary[[#This Row],[StartDate]:[StartDate]],
Table_SiteMilestoneTracking[SiteOnAir_BL],"&lt;"&amp;Table_SiteMilestoneTrackingSummary[[#This Row],[EndDate]:[EndDate]]+1)</f>
        <v>3000</v>
      </c>
      <c r="CN32" s="100">
        <f>CN31+Table_SiteMilestoneTrackingSummary[[#This Row],[c7_IntegrationCostBL]]</f>
        <v>3500</v>
      </c>
      <c r="CO32" s="96">
        <f>SUMIFS(Table_SiteMilestoneTracking[c7_IntegrationCostAC],
Table_SiteMilestoneTracking[SiteOnAir_AC],"&gt;="&amp;Table_SiteMilestoneTrackingSummary[[#This Row],[StartDate]:[StartDate]],
Table_SiteMilestoneTracking[SiteOnAir_AC],"&lt;"&amp;Table_SiteMilestoneTrackingSummary[[#This Row],[EndDate]:[EndDate]]+1)</f>
        <v>2345</v>
      </c>
      <c r="CP32" s="100">
        <f>CP31+Table_SiteMilestoneTrackingSummary[[#This Row],[c7_IntegrationCostAC]]</f>
        <v>2805</v>
      </c>
      <c r="CQ32" s="96">
        <f>COUNTIFS(Table_SiteMilestoneTracking[SiteOnAir_BL],"&gt;="&amp;Table_SiteMilestoneTrackingSummary[[#This Row],[StartDate]:[StartDate]],
Table_SiteMilestoneTracking[SiteOnAir_BL],"&lt;"&amp;Table_SiteMilestoneTrackingSummary[[#This Row],[EndDate]:[EndDate]]+1)</f>
        <v>6</v>
      </c>
      <c r="CR32" s="100">
        <f>CR31+Table_SiteMilestoneTrackingSummary[[#This Row],[SiteOnAir_BL]]</f>
        <v>7</v>
      </c>
      <c r="CS32" s="96">
        <f>COUNTIFS(Table_SiteMilestoneTracking[SiteOnAir_AC],"&gt;="&amp;Table_SiteMilestoneTrackingSummary[[#This Row],[StartDate]:[StartDate]],
Table_SiteMilestoneTracking[SiteOnAir_AC],"&lt;"&amp;Table_SiteMilestoneTrackingSummary[[#This Row],[EndDate]:[EndDate]]+1)</f>
        <v>5</v>
      </c>
      <c r="CT32" s="100">
        <f>CT31+Table_SiteMilestoneTrackingSummary[[#This Row],[SiteOnAir_AC]]</f>
        <v>6</v>
      </c>
      <c r="CU32" s="100">
        <f>$CU$2*Table_SiteMilestoneTrackingSummary[[#This Row],[SiteAccepted_AC]]</f>
        <v>500</v>
      </c>
      <c r="CV32" s="100">
        <f>CV31+Table_SiteMilestoneTrackingSummary[[#This Row],[c8_AcceptanceEV]]</f>
        <v>500</v>
      </c>
      <c r="CW32" s="96">
        <f>SUMIFS(Table_SiteMilestoneTracking[c8_AcceptanceCostBL],
Table_SiteMilestoneTracking[SiteAccepted_BL],"&gt;="&amp;Table_SiteMilestoneTrackingSummary[[#This Row],[StartDate]:[StartDate]],
Table_SiteMilestoneTracking[SiteAccepted_BL],"&lt;"&amp;Table_SiteMilestoneTrackingSummary[[#This Row],[EndDate]:[EndDate]]+1)</f>
        <v>1750</v>
      </c>
      <c r="CX32" s="100">
        <f>CX31+Table_SiteMilestoneTrackingSummary[[#This Row],[c8_AcceptanceCostBL]]</f>
        <v>1750</v>
      </c>
      <c r="CY32" s="96">
        <f>SUMIFS(Table_SiteMilestoneTracking[c8_AcceptanceCostAC],
Table_SiteMilestoneTracking[SiteAccepted_AC],"&gt;="&amp;Table_SiteMilestoneTrackingSummary[[#This Row],[StartDate]:[StartDate]],
Table_SiteMilestoneTracking[SiteAccepted_AC],"&lt;"&amp;Table_SiteMilestoneTrackingSummary[[#This Row],[EndDate]:[EndDate]]+1)</f>
        <v>500</v>
      </c>
      <c r="CZ32" s="100">
        <f>CZ31+Table_SiteMilestoneTrackingSummary[[#This Row],[c8_AcceptanceCostAC]]</f>
        <v>500</v>
      </c>
      <c r="DA32" s="96">
        <f>COUNTIFS(Table_SiteMilestoneTracking[SiteAccepted_BL],"&gt;="&amp;Table_SiteMilestoneTrackingSummary[[#This Row],[StartDate]:[StartDate]],
Table_SiteMilestoneTracking[SiteAccepted_BL],"&lt;"&amp;Table_SiteMilestoneTrackingSummary[[#This Row],[EndDate]:[EndDate]]+1)</f>
        <v>7</v>
      </c>
      <c r="DB32" s="100">
        <f>DB31+Table_SiteMilestoneTrackingSummary[[#This Row],[SiteAccepted_BL]]</f>
        <v>7</v>
      </c>
      <c r="DC32" s="96">
        <f>COUNTIFS(Table_SiteMilestoneTracking[SiteAccepted_AC],"&gt;="&amp;Table_SiteMilestoneTrackingSummary[[#This Row],[StartDate]:[StartDate]],
Table_SiteMilestoneTracking[SiteAccepted_AC],"&lt;"&amp;Table_SiteMilestoneTrackingSummary[[#This Row],[EndDate]:[EndDate]]+1)</f>
        <v>2</v>
      </c>
      <c r="DD32" s="100">
        <f>DD31+Table_SiteMilestoneTrackingSummary[[#This Row],[SiteAccepted_AC]]</f>
        <v>2</v>
      </c>
      <c r="DE32" s="100">
        <f>$DE$2*Table_SiteMilestoneTrackingSummary[[#This Row],[SiteInOperations_AC]]</f>
        <v>0</v>
      </c>
      <c r="DF32" s="100">
        <f>DF31+Table_SiteMilestoneTrackingSummary[[#This Row],[c9_HandoverEV]]</f>
        <v>0</v>
      </c>
      <c r="DG32" s="96">
        <f>SUMIFS(Table_SiteMilestoneTracking[c9_HandoverCostBL],
Table_SiteMilestoneTracking[SiteInOperations_BL],"&gt;="&amp;Table_SiteMilestoneTrackingSummary[[#This Row],[StartDate]:[StartDate]],
Table_SiteMilestoneTracking[SiteInOperations_BL],"&lt;"&amp;Table_SiteMilestoneTrackingSummary[[#This Row],[EndDate]:[EndDate]]+1)</f>
        <v>0</v>
      </c>
      <c r="DH32" s="100">
        <f>DH31+Table_SiteMilestoneTrackingSummary[[#This Row],[c9_HandoverCostBL2]]</f>
        <v>0</v>
      </c>
      <c r="DI32" s="96">
        <f>SUMIFS(Table_SiteMilestoneTracking[c9_HandoverCostAC],
Table_SiteMilestoneTracking[SiteInOperations_AC],"&gt;="&amp;Table_SiteMilestoneTrackingSummary[[#This Row],[StartDate]:[StartDate]],
Table_SiteMilestoneTracking[SiteInOperations_AC],"&lt;"&amp;Table_SiteMilestoneTrackingSummary[[#This Row],[EndDate]:[EndDate]]+1)</f>
        <v>0</v>
      </c>
      <c r="DJ32" s="100">
        <f>DJ31+Table_SiteMilestoneTrackingSummary[[#This Row],[c9_HandoverCostAC]]</f>
        <v>0</v>
      </c>
      <c r="DK32" s="96">
        <f>COUNTIFS(Table_SiteMilestoneTracking[SiteInOperations_BL],"&gt;="&amp;Table_SiteMilestoneTrackingSummary[[#This Row],[StartDate]:[StartDate]],
Table_SiteMilestoneTracking[SiteInOperations_BL],"&lt;"&amp;Table_SiteMilestoneTrackingSummary[[#This Row],[EndDate]:[EndDate]]+1)</f>
        <v>0</v>
      </c>
      <c r="DL32" s="100">
        <f>DL31+Table_SiteMilestoneTrackingSummary[[#This Row],[SiteInOperations_BL]]</f>
        <v>0</v>
      </c>
      <c r="DM32" s="96">
        <f>COUNTIFS(Table_SiteMilestoneTracking[SiteInOperations_AC],"&gt;="&amp;Table_SiteMilestoneTrackingSummary[[#This Row],[StartDate]:[StartDate]],
Table_SiteMilestoneTracking[SiteInOperations_AC],"&lt;"&amp;Table_SiteMilestoneTrackingSummary[[#This Row],[EndDate]:[EndDate]]+1)</f>
        <v>0</v>
      </c>
      <c r="DN32" s="100">
        <f>DN31+Table_SiteMilestoneTrackingSummary[[#This Row],[SiteInOperations_AC]]</f>
        <v>0</v>
      </c>
      <c r="DO32" s="59">
        <f>Table_SiteMilestoneTrackingSummary[[#This Row],[c0_SiteDesignEV(SUM)]]+Table_SiteMilestoneTrackingSummary[[#This Row],[c1_SiteSurveyEV(SUM)]]+Table_SiteMilestoneTrackingSummary[[#This Row],[c2_SiteAcquisitionEV(SUM)]]+Table_SiteMilestoneTrackingSummary[[#This Row],[c2a_SiteCWReadinessEV(SUM)]]+Table_SiteMilestoneTrackingSummary[[#This Row],[c3_CivilWorksEV(SUM)]]+Table_SiteMilestoneTrackingSummary[[#This Row],[c4_PowerInstallEV(SUM)]]+Table_SiteMilestoneTrackingSummary[[#This Row],[c5_TxIntegrationEV(SUM)]]+Table_SiteMilestoneTrackingSummary[[#This Row],[c6_InstallationEV(SUM)]]+Table_SiteMilestoneTrackingSummary[[#This Row],[c7_IntegrationEV(SUM)]]+Table_SiteMilestoneTrackingSummary[[#This Row],[c8_AcceptanceEV(SUM)]]+Table_SiteMilestoneTrackingSummary[[#This Row],[c9_HandoverEV(SUM)]]</f>
        <v>216250</v>
      </c>
      <c r="DP32" s="59">
        <f>Table_SiteMilestoneTrackingSummary[[#This Row],[c0_SiteDesignCostBL(SUM)]]+Table_SiteMilestoneTrackingSummary[[#This Row],[c1_SiteSurveyCostBL(SUM)]]+Table_SiteMilestoneTrackingSummary[[#This Row],[c2_SiteAcquisitionCostBL(SUM)]]+Table_SiteMilestoneTrackingSummary[[#This Row],[c2a_SiteCWReadinessCostBL(SUM)]]+Table_SiteMilestoneTrackingSummary[[#This Row],[c3_CivilWorksCostBL(SUM)]]+Table_SiteMilestoneTrackingSummary[[#This Row],[c4_PowerInstallCostBL(SUM)]]+Table_SiteMilestoneTrackingSummary[[#This Row],[c5_TxIntegrationCostBL(SUM)]]+Table_SiteMilestoneTrackingSummary[[#This Row],[c6_InstallationCostBL(SUM)]]+Table_SiteMilestoneTrackingSummary[[#This Row],[c7_IntegrationCostBL(SUM)]]+Table_SiteMilestoneTrackingSummary[[#This Row],[c8_AcceptanceCostBL(SUM)]]+Table_SiteMilestoneTrackingSummary[[#This Row],[c9_HandoverCostBL(SUM)]]</f>
        <v>279500</v>
      </c>
      <c r="DQ32" s="59">
        <f>Table_SiteMilestoneTrackingSummary[[#This Row],[c0_SiteDesignCostAC(SUM)]]+Table_SiteMilestoneTrackingSummary[[#This Row],[c1_SiteSurveyCostAC(SUM)]]+Table_SiteMilestoneTrackingSummary[[#This Row],[c2_SiteAcquisitionCostAC(SUM)]]+Table_SiteMilestoneTrackingSummary[[#This Row],[c2a_SiteCWReadinessCostAC(SUM)]]+Table_SiteMilestoneTrackingSummary[[#This Row],[c3_CivilWorksCostAC(SUM)]]+Table_SiteMilestoneTrackingSummary[[#This Row],[c4_PowerInstallCostAC(SUM)]]+Table_SiteMilestoneTrackingSummary[[#This Row],[c5_TxIntegrationCostAC(SUM)]]+Table_SiteMilestoneTrackingSummary[[#This Row],[c6_InstallationCostAC(SUM)]]+Table_SiteMilestoneTrackingSummary[[#This Row],[c7_IntegrationCostAC(SUM)]]+Table_SiteMilestoneTrackingSummary[[#This Row],[c8_AcceptanceCostAC(SUM)]]+Table_SiteMilestoneTrackingSummary[[#This Row],[c9_HandoverCostAC(SUM)]]</f>
        <v>241300</v>
      </c>
      <c r="DR32" s="59">
        <f>Table_SiteMilestoneTrackingSummary[[#This Row],[AccumulatedEV]]-Table_SiteMilestoneTrackingSummary[[#This Row],[AccumulatedPV]]</f>
        <v>-63250</v>
      </c>
      <c r="DS32" s="59">
        <f>Table_SiteMilestoneTrackingSummary[[#This Row],[AccumulatedEV]]-Table_SiteMilestoneTrackingSummary[[#This Row],[AccumulatedAC]]</f>
        <v>-25050</v>
      </c>
      <c r="DT32" s="58">
        <f>IFERROR(Table_SiteMilestoneTrackingSummary[[#This Row],[AccumulatedEV]]/Table_SiteMilestoneTrackingSummary[[#This Row],[AccumulatedPV]],"/")</f>
        <v>0.77370304114490163</v>
      </c>
      <c r="DU32" s="101">
        <f>IFERROR(Table_SiteMilestoneTrackingSummary[[#This Row],[AccumulatedEV]]/Table_SiteMilestoneTrackingSummary[[#This Row],[AccumulatedAC]],"/")</f>
        <v>0.89618731869042689</v>
      </c>
    </row>
    <row r="33" spans="1:125" x14ac:dyDescent="0.3">
      <c r="A33" s="79">
        <v>2020</v>
      </c>
      <c r="B33" s="79">
        <v>30</v>
      </c>
      <c r="C33" s="95">
        <f>DATE(Table_SiteMilestoneTrackingSummary[[#This Row],[Year]],1,-2)-WEEKDAY(DATE(Table_SiteMilestoneTrackingSummary[[#This Row],[Year]],1,3))+Table_SiteMilestoneTrackingSummary[[#This Row],[Week]]*7</f>
        <v>44032</v>
      </c>
      <c r="D33" s="95">
        <f>Table_SiteMilestoneTrackingSummary[[#This Row],[StartDate]]+6</f>
        <v>44038</v>
      </c>
      <c r="E33" s="100">
        <f>COUNTIFS(Table_SiteMilestoneTracking[SiteDesignStarted_BL],"&gt;="&amp;Table_SiteMilestoneTrackingSummary[[#This Row],[StartDate]:[StartDate]],Table_SiteMilestoneTracking[SiteDesignStarted_BL],"&lt;"&amp;Table_SiteMilestoneTrackingSummary[[#This Row],[EndDate]:[EndDate]]+1)</f>
        <v>0</v>
      </c>
      <c r="F33" s="100">
        <f>F32+Table_SiteMilestoneTrackingSummary[[#This Row],[SiteDesignStarted_BL]]</f>
        <v>100</v>
      </c>
      <c r="G33" s="100">
        <f>COUNTIFS(Table_SiteMilestoneTracking[SiteDesignStarted_AC],"&gt;="&amp;Table_SiteMilestoneTrackingSummary[[#This Row],[StartDate]:[StartDate]],Table_SiteMilestoneTracking[SiteDesignStarted_AC],"&lt;"&amp;Table_SiteMilestoneTrackingSummary[[#This Row],[EndDate]:[EndDate]]+1)</f>
        <v>1</v>
      </c>
      <c r="H33" s="100">
        <f>H32+Table_SiteMilestoneTrackingSummary[[#This Row],[SiteDesignStarted_AC]]</f>
        <v>96</v>
      </c>
      <c r="I33" s="100">
        <f>Table_SiteMilestoneTrackingSummary[[#This Row],[SiteDesignReady_AC]]*$I$2</f>
        <v>0</v>
      </c>
      <c r="J33" s="100">
        <f>J32+Table_SiteMilestoneTrackingSummary[[#This Row],[c0_SiteDesignEV]]</f>
        <v>45000</v>
      </c>
      <c r="K33" s="97">
        <f>SUMIFS(Table_SiteMilestoneTracking[c0_SiteDesignCostBL],
Table_SiteMilestoneTracking[SiteDesignReady_BL],"&gt;="&amp;Table_SiteMilestoneTrackingSummary[[#This Row],[StartDate]:[StartDate]],
Table_SiteMilestoneTracking[SiteDesignReady_BL],"&lt;"&amp;Table_SiteMilestoneTrackingSummary[[#This Row],[EndDate]:[EndDate]]+1)</f>
        <v>0</v>
      </c>
      <c r="L33" s="59">
        <f>L32+Table_SiteMilestoneTrackingSummary[[#This Row],[c0_SiteDesignCostBL]]</f>
        <v>50000</v>
      </c>
      <c r="M33" s="97">
        <f>SUMIFS(Table_SiteMilestoneTracking[c0_SiteDesignCostAC],
Table_SiteMilestoneTracking[SiteDesignReady_AC],"&gt;="&amp;Table_SiteMilestoneTrackingSummary[[#This Row],[StartDate]:[StartDate]],
Table_SiteMilestoneTracking[SiteDesignReady_AC],"&lt;"&amp;Table_SiteMilestoneTrackingSummary[[#This Row],[EndDate]:[EndDate]]+1)</f>
        <v>0</v>
      </c>
      <c r="N33" s="59">
        <f>N32+Table_SiteMilestoneTrackingSummary[[#This Row],[c0_SiteDesignCostAC]]</f>
        <v>43180</v>
      </c>
      <c r="O33" s="96">
        <f>COUNTIFS(Table_SiteMilestoneTracking[SiteDesignReady_BL],"&gt;="&amp;Table_SiteMilestoneTrackingSummary[[#This Row],[StartDate]:[StartDate]],
Table_SiteMilestoneTracking[SiteDesignReady_BL],"&lt;"&amp;Table_SiteMilestoneTrackingSummary[[#This Row],[EndDate]:[EndDate]]+1)</f>
        <v>0</v>
      </c>
      <c r="P33" s="100">
        <f>P32+Table_SiteMilestoneTrackingSummary[[#This Row],[SiteDesignReady_BL]]</f>
        <v>100</v>
      </c>
      <c r="Q33" s="100">
        <f>COUNTIFS(Table_SiteMilestoneTracking[SiteDesignReady_AC],"&gt;="&amp;Table_SiteMilestoneTrackingSummary[[#This Row],[StartDate]:[StartDate]],Table_SiteMilestoneTracking[SiteDesignReady_AC],"&lt;"&amp;Table_SiteMilestoneTrackingSummary[[#This Row],[EndDate]:[EndDate]]+1)</f>
        <v>0</v>
      </c>
      <c r="R33" s="100">
        <f>R32+Table_SiteMilestoneTrackingSummary[[#This Row],[SiteDesignReady_AC]]</f>
        <v>90</v>
      </c>
      <c r="S33" s="100">
        <f>Table_SiteMilestoneTrackingSummary[[#This Row],[ReadyForCW_AC]]*$S$2</f>
        <v>5000</v>
      </c>
      <c r="T33" s="100">
        <f>T32+Table_SiteMilestoneTrackingSummary[[#This Row],[c1_SiteSurveyEV]]</f>
        <v>35500</v>
      </c>
      <c r="U33" s="96">
        <f>SUMIFS(Table_SiteMilestoneTracking[c1_SiteSurveyCostBL],
Table_SiteMilestoneTracking[SiteSurveyCompleted_BL],"&gt;="&amp;Table_SiteMilestoneTrackingSummary[[#This Row],[StartDate]:[StartDate]],
Table_SiteMilestoneTracking[SiteSurveyCompleted_BL],"&lt;"&amp;Table_SiteMilestoneTrackingSummary[[#This Row],[EndDate]:[EndDate]]+1)</f>
        <v>0</v>
      </c>
      <c r="V33" s="100">
        <f>V32+Table_SiteMilestoneTrackingSummary[[#This Row],[c1_SiteSurveyCostBL]]</f>
        <v>50000</v>
      </c>
      <c r="W33" s="96">
        <f>SUMIFS(Table_SiteMilestoneTracking[c1_SiteSurveyCostAC],
Table_SiteMilestoneTracking[SiteSurveyCompleted_AC],"&gt;="&amp;Table_SiteMilestoneTrackingSummary[[#This Row],[StartDate]:[StartDate]],
Table_SiteMilestoneTracking[SiteSurveyCompleted_AC],"&lt;"&amp;Table_SiteMilestoneTrackingSummary[[#This Row],[EndDate]:[EndDate]]+1)</f>
        <v>0</v>
      </c>
      <c r="X33" s="100">
        <f>X32+Table_SiteMilestoneTrackingSummary[[#This Row],[c1_SiteSurveyCostAC]]</f>
        <v>51800</v>
      </c>
      <c r="Y33" s="96">
        <f>COUNTIFS(Table_SiteMilestoneTracking[SiteSurveyCompleted_BL],"&gt;="&amp;Table_SiteMilestoneTrackingSummary[[#This Row],[StartDate]:[StartDate]],
Table_SiteMilestoneTracking[SiteSurveyCompleted_BL],"&lt;"&amp;Table_SiteMilestoneTrackingSummary[[#This Row],[EndDate]:[EndDate]]+1)</f>
        <v>0</v>
      </c>
      <c r="Z33" s="100">
        <f>Z32+Table_SiteMilestoneTrackingSummary[[#This Row],[SiteSurveyCompleted_BL]]</f>
        <v>100</v>
      </c>
      <c r="AA33" s="96">
        <f>COUNTIFS(Table_SiteMilestoneTracking[SiteSurveyCompleted_AC],"&gt;="&amp;Table_SiteMilestoneTrackingSummary[[#This Row],[StartDate]:[StartDate]],
Table_SiteMilestoneTracking[SiteSurveyCompleted_AC],"&lt;"&amp;Table_SiteMilestoneTrackingSummary[[#This Row],[EndDate]:[EndDate]]+1)</f>
        <v>0</v>
      </c>
      <c r="AB33" s="100">
        <f>AB32+Table_SiteMilestoneTrackingSummary[[#This Row],[SiteSurveyCompleted_AC]]</f>
        <v>86</v>
      </c>
      <c r="AC33" s="100">
        <f>$AC$2*Table_SiteMilestoneTrackingSummary[[#This Row],[SiteAcquired_AC]]</f>
        <v>10200</v>
      </c>
      <c r="AD33" s="100">
        <f>AD32+Table_SiteMilestoneTrackingSummary[[#This Row],[c2_SiteAcquisitionEV]]</f>
        <v>49800</v>
      </c>
      <c r="AE33" s="96">
        <f>SUMIFS(Table_SiteMilestoneTracking[c2_SiteAcquisitionCostBL],
Table_SiteMilestoneTracking[SiteAcquired_BL],"&gt;="&amp;Table_SiteMilestoneTrackingSummary[[#This Row],[StartDate]:[StartDate]],
Table_SiteMilestoneTracking[SiteAcquired_BL],"&lt;"&amp;Table_SiteMilestoneTrackingSummary[[#This Row],[EndDate]:[EndDate]]+1)</f>
        <v>11400</v>
      </c>
      <c r="AF33" s="100">
        <f>AF32+Table_SiteMilestoneTrackingSummary[[#This Row],[c2_SiteAcquisitionCostBL]]</f>
        <v>51600</v>
      </c>
      <c r="AG33" s="96">
        <f>SUMIFS(Table_SiteMilestoneTracking[c2_SiteAcquisitionCostAC],
Table_SiteMilestoneTracking[SiteAcquired_AC],"&gt;="&amp;Table_SiteMilestoneTrackingSummary[[#This Row],[StartDate]:[StartDate]],
Table_SiteMilestoneTracking[SiteAcquired_AC],"&lt;"&amp;Table_SiteMilestoneTrackingSummary[[#This Row],[EndDate]:[EndDate]]+1)</f>
        <v>10560</v>
      </c>
      <c r="AH33" s="100">
        <f>AH32+Table_SiteMilestoneTrackingSummary[[#This Row],[c2_SiteAcquisitionCostAC]]</f>
        <v>52260</v>
      </c>
      <c r="AI33" s="96">
        <f>COUNTIFS(Table_SiteMilestoneTracking[SiteAcquired_BL],"&gt;="&amp;Table_SiteMilestoneTrackingSummary[[#This Row],[StartDate]:[StartDate]],
Table_SiteMilestoneTracking[SiteAcquired_BL],"&lt;"&amp;Table_SiteMilestoneTrackingSummary[[#This Row],[EndDate]:[EndDate]]+1)</f>
        <v>19</v>
      </c>
      <c r="AJ33" s="100">
        <f>AJ32+Table_SiteMilestoneTrackingSummary[[#This Row],[SiteAcquired_BL]]</f>
        <v>86</v>
      </c>
      <c r="AK33" s="96">
        <f>COUNTIFS(Table_SiteMilestoneTracking[SiteAcquired_AC],"&gt;="&amp;Table_SiteMilestoneTrackingSummary[[#This Row],[StartDate]:[StartDate]],
Table_SiteMilestoneTracking[SiteAcquired_AC],"&lt;"&amp;Table_SiteMilestoneTrackingSummary[[#This Row],[EndDate]:[EndDate]]+1)</f>
        <v>17</v>
      </c>
      <c r="AL33" s="100">
        <f>AL32+Table_SiteMilestoneTrackingSummary[[#This Row],[SiteAcquired_AC]]</f>
        <v>83</v>
      </c>
      <c r="AM33" s="100">
        <f>Table_SiteMilestoneTrackingSummary[[#This Row],[ReadyForCW_AC]]*$AM$2</f>
        <v>1500</v>
      </c>
      <c r="AN33" s="100">
        <f>AN32+Table_SiteMilestoneTrackingSummary[[#This Row],[c2a_SiteCWReadinessEV]]</f>
        <v>10650</v>
      </c>
      <c r="AO33" s="96">
        <f>SUMIFS(Table_SiteMilestoneTracking[c2a_SiteCWReadinessCost_BL],
Table_SiteMilestoneTracking[SiteReadyForCW_BL],"&gt;="&amp;Table_SiteMilestoneTrackingSummary[[#This Row],[StartDate]:[StartDate]],
Table_SiteMilestoneTracking[SiteReadyForCW_BL],"&lt;"&amp;Table_SiteMilestoneTrackingSummary[[#This Row],[EndDate]:[EndDate]]+1)</f>
        <v>2850</v>
      </c>
      <c r="AP33" s="100">
        <f>AP32+Table_SiteMilestoneTrackingSummary[[#This Row],[c2a_SiteCWReadinessCostBL]]</f>
        <v>12900</v>
      </c>
      <c r="AQ33" s="96">
        <f>SUMIFS(Table_SiteMilestoneTracking[c2a_SiteCWReadinessCost_AC],
Table_SiteMilestoneTracking[SiteReadyForCW_AC],"&gt;="&amp;Table_SiteMilestoneTrackingSummary[[#This Row],[StartDate]:[StartDate]],
Table_SiteMilestoneTracking[SiteReadyForCW_AC],"&lt;"&amp;Table_SiteMilestoneTrackingSummary[[#This Row],[EndDate]:[EndDate]]+1)</f>
        <v>1470</v>
      </c>
      <c r="AR33" s="100">
        <f>AR32+Table_SiteMilestoneTrackingSummary[[#This Row],[c2a_SiteCWReadinessCostAC]]</f>
        <v>10635</v>
      </c>
      <c r="AS33" s="96">
        <f>COUNTIFS(Table_SiteMilestoneTracking[SiteReadyForCW_BL],"&gt;="&amp;Table_SiteMilestoneTrackingSummary[[#This Row],[StartDate]:[StartDate]],
Table_SiteMilestoneTracking[SiteReadyForCW_BL],"&lt;"&amp;Table_SiteMilestoneTrackingSummary[[#This Row],[EndDate]:[EndDate]]+1)</f>
        <v>19</v>
      </c>
      <c r="AT33" s="100">
        <f>AT32+Table_SiteMilestoneTrackingSummary[[#This Row],[ReadyForCW_BL]]</f>
        <v>86</v>
      </c>
      <c r="AU33" s="96">
        <f>COUNTIFS(Table_SiteMilestoneTracking[SiteReadyForCW_AC],"&gt;="&amp;Table_SiteMilestoneTrackingSummary[[#This Row],[StartDate]:[StartDate]],
Table_SiteMilestoneTracking[SiteReadyForCW_AC],"&lt;"&amp;Table_SiteMilestoneTrackingSummary[[#This Row],[EndDate]:[EndDate]]+1)</f>
        <v>10</v>
      </c>
      <c r="AV33" s="100">
        <f>AV32+Table_SiteMilestoneTrackingSummary[[#This Row],[ReadyForCW_AC]]</f>
        <v>71</v>
      </c>
      <c r="AW33" s="100">
        <f>$AW$2*Table_SiteMilestoneTrackingSummary[[#This Row],[ReadyForPower_AC]]</f>
        <v>25500</v>
      </c>
      <c r="AX33" s="100">
        <f>AX32+Table_SiteMilestoneTrackingSummary[[#This Row],[c3_CivilWorksEV]]</f>
        <v>78000</v>
      </c>
      <c r="AY33" s="96">
        <f>SUMIFS(Table_SiteMilestoneTracking[c3_CivilWorksCostBL],
Table_SiteMilestoneTracking[SiteReadyForPower_BL],"&gt;="&amp;Table_SiteMilestoneTrackingSummary[[#This Row],[StartDate]:[StartDate]],
Table_SiteMilestoneTracking[SiteReadyForPower_BL],"&lt;"&amp;Table_SiteMilestoneTrackingSummary[[#This Row],[EndDate]:[EndDate]]+1)</f>
        <v>43500</v>
      </c>
      <c r="AZ33" s="100">
        <f>AZ32+Table_SiteMilestoneTrackingSummary[[#This Row],[c3_CivilWorksCostBL]]</f>
        <v>100500</v>
      </c>
      <c r="BA33" s="96">
        <f>SUMIFS(Table_SiteMilestoneTracking[c3_CivilWorksCostAC],
Table_SiteMilestoneTracking[SiteReadyForPower_AC],"&gt;="&amp;Table_SiteMilestoneTrackingSummary[[#This Row],[StartDate]:[StartDate]],
Table_SiteMilestoneTracking[SiteReadyForPower_AC],"&lt;"&amp;Table_SiteMilestoneTrackingSummary[[#This Row],[EndDate]:[EndDate]]+1)</f>
        <v>25950</v>
      </c>
      <c r="BB33" s="100">
        <f>BB32+Table_SiteMilestoneTrackingSummary[[#This Row],[c3_CivilWorksCostAC]]</f>
        <v>84750</v>
      </c>
      <c r="BC33" s="96">
        <f>COUNTIFS(Table_SiteMilestoneTracking[SiteReadyForPower_BL],"&gt;="&amp;Table_SiteMilestoneTrackingSummary[[#This Row],[StartDate]:[StartDate]],
Table_SiteMilestoneTracking[SiteReadyForPower_BL],"&lt;"&amp;Table_SiteMilestoneTrackingSummary[[#This Row],[EndDate]:[EndDate]]+1)</f>
        <v>29</v>
      </c>
      <c r="BD33" s="100">
        <f>BD32+Table_SiteMilestoneTrackingSummary[[#This Row],[ReadyForPower_BL]]</f>
        <v>67</v>
      </c>
      <c r="BE33" s="96">
        <f>COUNTIFS(Table_SiteMilestoneTracking[SiteReadyForPower_AC],"&gt;="&amp;Table_SiteMilestoneTrackingSummary[[#This Row],[StartDate]:[StartDate]],
Table_SiteMilestoneTracking[SiteReadyForPower_AC],"&lt;"&amp;Table_SiteMilestoneTrackingSummary[[#This Row],[EndDate]:[EndDate]]+1)</f>
        <v>17</v>
      </c>
      <c r="BF33" s="100">
        <f>BF32+Table_SiteMilestoneTrackingSummary[[#This Row],[ReadyForPower_AC]]</f>
        <v>52</v>
      </c>
      <c r="BG33" s="100">
        <f>$BG$2*Table_SiteMilestoneTrackingSummary[[#This Row],[TXReady_AC]]</f>
        <v>6500</v>
      </c>
      <c r="BH33" s="100">
        <f>BH32+Table_SiteMilestoneTrackingSummary[[#This Row],[c4_PowerInstallEV]]</f>
        <v>19000</v>
      </c>
      <c r="BI33" s="96">
        <f>SUMIFS(Table_SiteMilestoneTracking[c4_PowerInstallCostBL],
Table_SiteMilestoneTracking[TXReady_BL],"&gt;="&amp;Table_SiteMilestoneTrackingSummary[[#This Row],[StartDate]:[StartDate]],
Table_SiteMilestoneTracking[TXReady_BL],"&lt;"&amp;Table_SiteMilestoneTrackingSummary[[#This Row],[EndDate]:[EndDate]]+1)</f>
        <v>6500</v>
      </c>
      <c r="BJ33" s="100">
        <f>BJ32+Table_SiteMilestoneTrackingSummary[[#This Row],[c4_PowerInstallCostBL]]</f>
        <v>25500</v>
      </c>
      <c r="BK33" s="96">
        <f>SUMIFS(Table_SiteMilestoneTracking[c4_PowerInstallCostAC],
Table_SiteMilestoneTracking[TXReady_AC],"&gt;="&amp;Table_SiteMilestoneTrackingSummary[[#This Row],[StartDate]:[StartDate]],
Table_SiteMilestoneTracking[TXReady_AC],"&lt;"&amp;Table_SiteMilestoneTrackingSummary[[#This Row],[EndDate]:[EndDate]]+1)</f>
        <v>6350</v>
      </c>
      <c r="BL33" s="100">
        <f>BL32+Table_SiteMilestoneTrackingSummary[[#This Row],[c4_PowerInstallCostAC]]</f>
        <v>18000</v>
      </c>
      <c r="BM33" s="96">
        <f>COUNTIFS(Table_SiteMilestoneTracking[TXReady_BL],"&gt;="&amp;Table_SiteMilestoneTrackingSummary[[#This Row],[StartDate]:[StartDate]],
Table_SiteMilestoneTracking[TXReady_BL],"&lt;"&amp;Table_SiteMilestoneTrackingSummary[[#This Row],[EndDate]:[EndDate]]+1)</f>
        <v>13</v>
      </c>
      <c r="BN33" s="100">
        <f>BN32+Table_SiteMilestoneTrackingSummary[[#This Row],[TXReady_BL]]</f>
        <v>51</v>
      </c>
      <c r="BO33" s="100">
        <f>COUNTIFS(Table_SiteMilestoneTracking[TXReady_AC],"&gt;="&amp;Table_SiteMilestoneTrackingSummary[[#This Row],[StartDate]:[StartDate]],Table_SiteMilestoneTracking[TXReady_AC],"&lt;"&amp;Table_SiteMilestoneTrackingSummary[[#This Row],[EndDate]:[EndDate]]+1)</f>
        <v>13</v>
      </c>
      <c r="BP33" s="100">
        <f>BP32+Table_SiteMilestoneTrackingSummary[[#This Row],[TXReady_AC]]</f>
        <v>38</v>
      </c>
      <c r="BQ33" s="100">
        <f>$BQ$2*Table_SiteMilestoneTrackingSummary[[#This Row],[ReadyForInstallation_AC]]</f>
        <v>6000</v>
      </c>
      <c r="BR33" s="100">
        <f>BR32+Table_SiteMilestoneTrackingSummary[[#This Row],[c5_TxIntegrationEV]]</f>
        <v>12000</v>
      </c>
      <c r="BS33" s="96">
        <f>SUMIFS(Table_SiteMilestoneTracking[c5_TxintegrationCostBL],
Table_SiteMilestoneTracking[SiteReadyForInstallation_BL],"&gt;="&amp;Table_SiteMilestoneTrackingSummary[[#This Row],[StartDate]:[StartDate]],
Table_SiteMilestoneTracking[SiteReadyForInstallation_BL],"&lt;"&amp;Table_SiteMilestoneTrackingSummary[[#This Row],[EndDate]:[EndDate]]+1)</f>
        <v>11000</v>
      </c>
      <c r="BT33" s="100">
        <f>BT32+Table_SiteMilestoneTrackingSummary[[#This Row],[c5_TxIntegrationCostBL]]</f>
        <v>19000</v>
      </c>
      <c r="BU33" s="96">
        <f>SUMIFS(Table_SiteMilestoneTracking[c5_TxintegrationCostAC],
Table_SiteMilestoneTracking[SiteReadyForInstallation_AC],"&gt;="&amp;Table_SiteMilestoneTrackingSummary[[#This Row],[StartDate]:[StartDate]],
Table_SiteMilestoneTracking[SiteReadyForInstallation_AC],"&lt;"&amp;Table_SiteMilestoneTrackingSummary[[#This Row],[EndDate]:[EndDate]]+1)</f>
        <v>5900</v>
      </c>
      <c r="BV33" s="100">
        <f>BV32+Table_SiteMilestoneTrackingSummary[[#This Row],[c5_TxIntegrationCostAC]]</f>
        <v>12200</v>
      </c>
      <c r="BW33" s="96">
        <f>COUNTIFS(Table_SiteMilestoneTracking[SiteReadyForInstallation_BL],"&gt;="&amp;Table_SiteMilestoneTrackingSummary[[#This Row],[StartDate]:[StartDate]],
Table_SiteMilestoneTracking[SiteReadyForInstallation_BL],"&lt;"&amp;Table_SiteMilestoneTrackingSummary[[#This Row],[EndDate]:[EndDate]]+1)</f>
        <v>22</v>
      </c>
      <c r="BX33" s="100">
        <f>BX32+Table_SiteMilestoneTrackingSummary[[#This Row],[ReadyForInstallation_BL]]</f>
        <v>38</v>
      </c>
      <c r="BY33" s="96">
        <f>COUNTIFS(Table_SiteMilestoneTracking[SiteReadyForInstallation_AC],"&gt;="&amp;Table_SiteMilestoneTrackingSummary[[#This Row],[StartDate]:[StartDate]],
Table_SiteMilestoneTracking[SiteReadyForInstallation_AC],"&lt;"&amp;Table_SiteMilestoneTrackingSummary[[#This Row],[EndDate]:[EndDate]]+1)</f>
        <v>12</v>
      </c>
      <c r="BZ33" s="100">
        <f>BZ32+Table_SiteMilestoneTrackingSummary[[#This Row],[ReadyForInstallation_AC]]</f>
        <v>24</v>
      </c>
      <c r="CA33" s="100">
        <f>$CA$2*Table_SiteMilestoneTrackingSummary[[#This Row],[ReadyForIntegration_AC]]</f>
        <v>22500</v>
      </c>
      <c r="CB33" s="100">
        <f>CB32+Table_SiteMilestoneTrackingSummary[[#This Row],[c6_InstallationEV]]</f>
        <v>40000</v>
      </c>
      <c r="CC33" s="96">
        <f>SUMIFS(Table_SiteMilestoneTracking[c6_InstallationCostBL],
Table_SiteMilestoneTracking[SiteReadyForIntegration_BL],"&gt;="&amp;Table_SiteMilestoneTrackingSummary[[#This Row],[StartDate]:[StartDate]],
Table_SiteMilestoneTracking[SiteReadyForIntegration_BL],"&lt;"&amp;Table_SiteMilestoneTrackingSummary[[#This Row],[EndDate]:[EndDate]]+1)</f>
        <v>25000</v>
      </c>
      <c r="CD33" s="100">
        <f>CD32+Table_SiteMilestoneTrackingSummary[[#This Row],[c6_InstallationCostBL]]</f>
        <v>65000</v>
      </c>
      <c r="CE33" s="96">
        <f>SUMIFS(Table_SiteMilestoneTracking[c6_InstallationCostAC],
Table_SiteMilestoneTracking[SiteReadyForIntegration_AC],"&gt;="&amp;Table_SiteMilestoneTrackingSummary[[#This Row],[StartDate]:[StartDate]],
Table_SiteMilestoneTracking[SiteReadyForIntegration_AC],"&lt;"&amp;Table_SiteMilestoneTrackingSummary[[#This Row],[EndDate]:[EndDate]]+1)</f>
        <v>19950</v>
      </c>
      <c r="CF33" s="100">
        <f>CF32+Table_SiteMilestoneTrackingSummary[[#This Row],[c6_InstallationCostAC]]</f>
        <v>35350</v>
      </c>
      <c r="CG33" s="96">
        <f>COUNTIFS(Table_SiteMilestoneTracking[SiteReadyForIntegration_BL],"&gt;="&amp;Table_SiteMilestoneTrackingSummary[[#This Row],[StartDate]:[StartDate]],
Table_SiteMilestoneTracking[SiteReadyForIntegration_BL],"&lt;"&amp;Table_SiteMilestoneTrackingSummary[[#This Row],[EndDate]:[EndDate]]+1)</f>
        <v>10</v>
      </c>
      <c r="CH33" s="100">
        <f>CH32+Table_SiteMilestoneTrackingSummary[[#This Row],[ReadyForIntegration_BL]]</f>
        <v>26</v>
      </c>
      <c r="CI33" s="96">
        <f>COUNTIFS(Table_SiteMilestoneTracking[SiteReadyForIntegration_AC],"&gt;="&amp;Table_SiteMilestoneTrackingSummary[[#This Row],[StartDate]:[StartDate]],
Table_SiteMilestoneTracking[SiteReadyForIntegration_AC],"&lt;"&amp;Table_SiteMilestoneTrackingSummary[[#This Row],[EndDate]:[EndDate]]+1)</f>
        <v>9</v>
      </c>
      <c r="CJ33" s="100">
        <f>CJ32+Table_SiteMilestoneTrackingSummary[[#This Row],[ReadyForIntegration_AC]]</f>
        <v>16</v>
      </c>
      <c r="CK33" s="100">
        <f>$CK$2*Table_SiteMilestoneTrackingSummary[[#This Row],[SiteOnAir_AC]]</f>
        <v>2000</v>
      </c>
      <c r="CL33" s="100">
        <f>CL32+Table_SiteMilestoneTrackingSummary[[#This Row],[c7_IntegrationEV]]</f>
        <v>5000</v>
      </c>
      <c r="CM33" s="96">
        <f>SUMIFS(Table_SiteMilestoneTracking[c7_IntegrationCostBL],
Table_SiteMilestoneTracking[SiteOnAir_BL],"&gt;="&amp;Table_SiteMilestoneTrackingSummary[[#This Row],[StartDate]:[StartDate]],
Table_SiteMilestoneTracking[SiteOnAir_BL],"&lt;"&amp;Table_SiteMilestoneTrackingSummary[[#This Row],[EndDate]:[EndDate]]+1)</f>
        <v>4500</v>
      </c>
      <c r="CN33" s="100">
        <f>CN32+Table_SiteMilestoneTrackingSummary[[#This Row],[c7_IntegrationCostBL]]</f>
        <v>8000</v>
      </c>
      <c r="CO33" s="96">
        <f>SUMIFS(Table_SiteMilestoneTracking[c7_IntegrationCostAC],
Table_SiteMilestoneTracking[SiteOnAir_AC],"&gt;="&amp;Table_SiteMilestoneTrackingSummary[[#This Row],[StartDate]:[StartDate]],
Table_SiteMilestoneTracking[SiteOnAir_AC],"&lt;"&amp;Table_SiteMilestoneTrackingSummary[[#This Row],[EndDate]:[EndDate]]+1)</f>
        <v>1875</v>
      </c>
      <c r="CP33" s="100">
        <f>CP32+Table_SiteMilestoneTrackingSummary[[#This Row],[c7_IntegrationCostAC]]</f>
        <v>4680</v>
      </c>
      <c r="CQ33" s="96">
        <f>COUNTIFS(Table_SiteMilestoneTracking[SiteOnAir_BL],"&gt;="&amp;Table_SiteMilestoneTrackingSummary[[#This Row],[StartDate]:[StartDate]],
Table_SiteMilestoneTracking[SiteOnAir_BL],"&lt;"&amp;Table_SiteMilestoneTrackingSummary[[#This Row],[EndDate]:[EndDate]]+1)</f>
        <v>9</v>
      </c>
      <c r="CR33" s="100">
        <f>CR32+Table_SiteMilestoneTrackingSummary[[#This Row],[SiteOnAir_BL]]</f>
        <v>16</v>
      </c>
      <c r="CS33" s="96">
        <f>COUNTIFS(Table_SiteMilestoneTracking[SiteOnAir_AC],"&gt;="&amp;Table_SiteMilestoneTrackingSummary[[#This Row],[StartDate]:[StartDate]],
Table_SiteMilestoneTracking[SiteOnAir_AC],"&lt;"&amp;Table_SiteMilestoneTrackingSummary[[#This Row],[EndDate]:[EndDate]]+1)</f>
        <v>4</v>
      </c>
      <c r="CT33" s="100">
        <f>CT32+Table_SiteMilestoneTrackingSummary[[#This Row],[SiteOnAir_AC]]</f>
        <v>10</v>
      </c>
      <c r="CU33" s="100">
        <f>$CU$2*Table_SiteMilestoneTrackingSummary[[#This Row],[SiteAccepted_AC]]</f>
        <v>750</v>
      </c>
      <c r="CV33" s="100">
        <f>CV32+Table_SiteMilestoneTrackingSummary[[#This Row],[c8_AcceptanceEV]]</f>
        <v>1250</v>
      </c>
      <c r="CW33" s="96">
        <f>SUMIFS(Table_SiteMilestoneTracking[c8_AcceptanceCostBL],
Table_SiteMilestoneTracking[SiteAccepted_BL],"&gt;="&amp;Table_SiteMilestoneTrackingSummary[[#This Row],[StartDate]:[StartDate]],
Table_SiteMilestoneTracking[SiteAccepted_BL],"&lt;"&amp;Table_SiteMilestoneTrackingSummary[[#This Row],[EndDate]:[EndDate]]+1)</f>
        <v>2250</v>
      </c>
      <c r="CX33" s="100">
        <f>CX32+Table_SiteMilestoneTrackingSummary[[#This Row],[c8_AcceptanceCostBL]]</f>
        <v>4000</v>
      </c>
      <c r="CY33" s="96">
        <f>SUMIFS(Table_SiteMilestoneTracking[c8_AcceptanceCostAC],
Table_SiteMilestoneTracking[SiteAccepted_AC],"&gt;="&amp;Table_SiteMilestoneTrackingSummary[[#This Row],[StartDate]:[StartDate]],
Table_SiteMilestoneTracking[SiteAccepted_AC],"&lt;"&amp;Table_SiteMilestoneTrackingSummary[[#This Row],[EndDate]:[EndDate]]+1)</f>
        <v>750</v>
      </c>
      <c r="CZ33" s="100">
        <f>CZ32+Table_SiteMilestoneTrackingSummary[[#This Row],[c8_AcceptanceCostAC]]</f>
        <v>1250</v>
      </c>
      <c r="DA33" s="96">
        <f>COUNTIFS(Table_SiteMilestoneTracking[SiteAccepted_BL],"&gt;="&amp;Table_SiteMilestoneTrackingSummary[[#This Row],[StartDate]:[StartDate]],
Table_SiteMilestoneTracking[SiteAccepted_BL],"&lt;"&amp;Table_SiteMilestoneTrackingSummary[[#This Row],[EndDate]:[EndDate]]+1)</f>
        <v>9</v>
      </c>
      <c r="DB33" s="100">
        <f>DB32+Table_SiteMilestoneTrackingSummary[[#This Row],[SiteAccepted_BL]]</f>
        <v>16</v>
      </c>
      <c r="DC33" s="96">
        <f>COUNTIFS(Table_SiteMilestoneTracking[SiteAccepted_AC],"&gt;="&amp;Table_SiteMilestoneTrackingSummary[[#This Row],[StartDate]:[StartDate]],
Table_SiteMilestoneTracking[SiteAccepted_AC],"&lt;"&amp;Table_SiteMilestoneTrackingSummary[[#This Row],[EndDate]:[EndDate]]+1)</f>
        <v>3</v>
      </c>
      <c r="DD33" s="100">
        <f>DD32+Table_SiteMilestoneTrackingSummary[[#This Row],[SiteAccepted_AC]]</f>
        <v>5</v>
      </c>
      <c r="DE33" s="100">
        <f>$DE$2*Table_SiteMilestoneTrackingSummary[[#This Row],[SiteInOperations_AC]]</f>
        <v>200</v>
      </c>
      <c r="DF33" s="100">
        <f>DF32+Table_SiteMilestoneTrackingSummary[[#This Row],[c9_HandoverEV]]</f>
        <v>200</v>
      </c>
      <c r="DG33" s="96">
        <f>SUMIFS(Table_SiteMilestoneTracking[c9_HandoverCostBL],
Table_SiteMilestoneTracking[SiteInOperations_BL],"&gt;="&amp;Table_SiteMilestoneTrackingSummary[[#This Row],[StartDate]:[StartDate]],
Table_SiteMilestoneTracking[SiteInOperations_BL],"&lt;"&amp;Table_SiteMilestoneTrackingSummary[[#This Row],[EndDate]:[EndDate]]+1)</f>
        <v>1400</v>
      </c>
      <c r="DH33" s="100">
        <f>DH32+Table_SiteMilestoneTrackingSummary[[#This Row],[c9_HandoverCostBL2]]</f>
        <v>1400</v>
      </c>
      <c r="DI33" s="96">
        <f>SUMIFS(Table_SiteMilestoneTracking[c9_HandoverCostAC],
Table_SiteMilestoneTracking[SiteInOperations_AC],"&gt;="&amp;Table_SiteMilestoneTrackingSummary[[#This Row],[StartDate]:[StartDate]],
Table_SiteMilestoneTracking[SiteInOperations_AC],"&lt;"&amp;Table_SiteMilestoneTrackingSummary[[#This Row],[EndDate]:[EndDate]]+1)</f>
        <v>200</v>
      </c>
      <c r="DJ33" s="100">
        <f>DJ32+Table_SiteMilestoneTrackingSummary[[#This Row],[c9_HandoverCostAC]]</f>
        <v>200</v>
      </c>
      <c r="DK33" s="96">
        <f>COUNTIFS(Table_SiteMilestoneTracking[SiteInOperations_BL],"&gt;="&amp;Table_SiteMilestoneTrackingSummary[[#This Row],[StartDate]:[StartDate]],
Table_SiteMilestoneTracking[SiteInOperations_BL],"&lt;"&amp;Table_SiteMilestoneTrackingSummary[[#This Row],[EndDate]:[EndDate]]+1)</f>
        <v>7</v>
      </c>
      <c r="DL33" s="100">
        <f>DL32+Table_SiteMilestoneTrackingSummary[[#This Row],[SiteInOperations_BL]]</f>
        <v>7</v>
      </c>
      <c r="DM33" s="96">
        <f>COUNTIFS(Table_SiteMilestoneTracking[SiteInOperations_AC],"&gt;="&amp;Table_SiteMilestoneTrackingSummary[[#This Row],[StartDate]:[StartDate]],
Table_SiteMilestoneTracking[SiteInOperations_AC],"&lt;"&amp;Table_SiteMilestoneTrackingSummary[[#This Row],[EndDate]:[EndDate]]+1)</f>
        <v>1</v>
      </c>
      <c r="DN33" s="100">
        <f>DN32+Table_SiteMilestoneTrackingSummary[[#This Row],[SiteInOperations_AC]]</f>
        <v>1</v>
      </c>
      <c r="DO33" s="59">
        <f>Table_SiteMilestoneTrackingSummary[[#This Row],[c0_SiteDesignEV(SUM)]]+Table_SiteMilestoneTrackingSummary[[#This Row],[c1_SiteSurveyEV(SUM)]]+Table_SiteMilestoneTrackingSummary[[#This Row],[c2_SiteAcquisitionEV(SUM)]]+Table_SiteMilestoneTrackingSummary[[#This Row],[c2a_SiteCWReadinessEV(SUM)]]+Table_SiteMilestoneTrackingSummary[[#This Row],[c3_CivilWorksEV(SUM)]]+Table_SiteMilestoneTrackingSummary[[#This Row],[c4_PowerInstallEV(SUM)]]+Table_SiteMilestoneTrackingSummary[[#This Row],[c5_TxIntegrationEV(SUM)]]+Table_SiteMilestoneTrackingSummary[[#This Row],[c6_InstallationEV(SUM)]]+Table_SiteMilestoneTrackingSummary[[#This Row],[c7_IntegrationEV(SUM)]]+Table_SiteMilestoneTrackingSummary[[#This Row],[c8_AcceptanceEV(SUM)]]+Table_SiteMilestoneTrackingSummary[[#This Row],[c9_HandoverEV(SUM)]]</f>
        <v>296400</v>
      </c>
      <c r="DP33" s="59">
        <f>Table_SiteMilestoneTrackingSummary[[#This Row],[c0_SiteDesignCostBL(SUM)]]+Table_SiteMilestoneTrackingSummary[[#This Row],[c1_SiteSurveyCostBL(SUM)]]+Table_SiteMilestoneTrackingSummary[[#This Row],[c2_SiteAcquisitionCostBL(SUM)]]+Table_SiteMilestoneTrackingSummary[[#This Row],[c2a_SiteCWReadinessCostBL(SUM)]]+Table_SiteMilestoneTrackingSummary[[#This Row],[c3_CivilWorksCostBL(SUM)]]+Table_SiteMilestoneTrackingSummary[[#This Row],[c4_PowerInstallCostBL(SUM)]]+Table_SiteMilestoneTrackingSummary[[#This Row],[c5_TxIntegrationCostBL(SUM)]]+Table_SiteMilestoneTrackingSummary[[#This Row],[c6_InstallationCostBL(SUM)]]+Table_SiteMilestoneTrackingSummary[[#This Row],[c7_IntegrationCostBL(SUM)]]+Table_SiteMilestoneTrackingSummary[[#This Row],[c8_AcceptanceCostBL(SUM)]]+Table_SiteMilestoneTrackingSummary[[#This Row],[c9_HandoverCostBL(SUM)]]</f>
        <v>387900</v>
      </c>
      <c r="DQ33" s="59">
        <f>Table_SiteMilestoneTrackingSummary[[#This Row],[c0_SiteDesignCostAC(SUM)]]+Table_SiteMilestoneTrackingSummary[[#This Row],[c1_SiteSurveyCostAC(SUM)]]+Table_SiteMilestoneTrackingSummary[[#This Row],[c2_SiteAcquisitionCostAC(SUM)]]+Table_SiteMilestoneTrackingSummary[[#This Row],[c2a_SiteCWReadinessCostAC(SUM)]]+Table_SiteMilestoneTrackingSummary[[#This Row],[c3_CivilWorksCostAC(SUM)]]+Table_SiteMilestoneTrackingSummary[[#This Row],[c4_PowerInstallCostAC(SUM)]]+Table_SiteMilestoneTrackingSummary[[#This Row],[c5_TxIntegrationCostAC(SUM)]]+Table_SiteMilestoneTrackingSummary[[#This Row],[c6_InstallationCostAC(SUM)]]+Table_SiteMilestoneTrackingSummary[[#This Row],[c7_IntegrationCostAC(SUM)]]+Table_SiteMilestoneTrackingSummary[[#This Row],[c8_AcceptanceCostAC(SUM)]]+Table_SiteMilestoneTrackingSummary[[#This Row],[c9_HandoverCostAC(SUM)]]</f>
        <v>314305</v>
      </c>
      <c r="DR33" s="59">
        <f>Table_SiteMilestoneTrackingSummary[[#This Row],[AccumulatedEV]]-Table_SiteMilestoneTrackingSummary[[#This Row],[AccumulatedPV]]</f>
        <v>-91500</v>
      </c>
      <c r="DS33" s="59">
        <f>Table_SiteMilestoneTrackingSummary[[#This Row],[AccumulatedEV]]-Table_SiteMilestoneTrackingSummary[[#This Row],[AccumulatedAC]]</f>
        <v>-17905</v>
      </c>
      <c r="DT33" s="58">
        <f>IFERROR(Table_SiteMilestoneTrackingSummary[[#This Row],[AccumulatedEV]]/Table_SiteMilestoneTrackingSummary[[#This Row],[AccumulatedPV]],"/")</f>
        <v>0.76411446249033255</v>
      </c>
      <c r="DU33" s="101">
        <f>IFERROR(Table_SiteMilestoneTrackingSummary[[#This Row],[AccumulatedEV]]/Table_SiteMilestoneTrackingSummary[[#This Row],[AccumulatedAC]],"/")</f>
        <v>0.94303304115429276</v>
      </c>
    </row>
    <row r="34" spans="1:125" x14ac:dyDescent="0.3">
      <c r="A34" s="79">
        <v>2020</v>
      </c>
      <c r="B34" s="79">
        <v>31</v>
      </c>
      <c r="C34" s="95">
        <f>DATE(Table_SiteMilestoneTrackingSummary[[#This Row],[Year]],1,-2)-WEEKDAY(DATE(Table_SiteMilestoneTrackingSummary[[#This Row],[Year]],1,3))+Table_SiteMilestoneTrackingSummary[[#This Row],[Week]]*7</f>
        <v>44039</v>
      </c>
      <c r="D34" s="95">
        <f>Table_SiteMilestoneTrackingSummary[[#This Row],[StartDate]]+6</f>
        <v>44045</v>
      </c>
      <c r="E34" s="100">
        <f>COUNTIFS(Table_SiteMilestoneTracking[SiteDesignStarted_BL],"&gt;="&amp;Table_SiteMilestoneTrackingSummary[[#This Row],[StartDate]:[StartDate]],Table_SiteMilestoneTracking[SiteDesignStarted_BL],"&lt;"&amp;Table_SiteMilestoneTrackingSummary[[#This Row],[EndDate]:[EndDate]]+1)</f>
        <v>0</v>
      </c>
      <c r="F34" s="100">
        <f>F33+Table_SiteMilestoneTrackingSummary[[#This Row],[SiteDesignStarted_BL]]</f>
        <v>100</v>
      </c>
      <c r="G34" s="100">
        <f>COUNTIFS(Table_SiteMilestoneTracking[SiteDesignStarted_AC],"&gt;="&amp;Table_SiteMilestoneTrackingSummary[[#This Row],[StartDate]:[StartDate]],Table_SiteMilestoneTracking[SiteDesignStarted_AC],"&lt;"&amp;Table_SiteMilestoneTrackingSummary[[#This Row],[EndDate]:[EndDate]]+1)</f>
        <v>0</v>
      </c>
      <c r="H34" s="100">
        <f>H33+Table_SiteMilestoneTrackingSummary[[#This Row],[SiteDesignStarted_AC]]</f>
        <v>96</v>
      </c>
      <c r="I34" s="100">
        <f>Table_SiteMilestoneTrackingSummary[[#This Row],[SiteDesignReady_AC]]*$I$2</f>
        <v>0</v>
      </c>
      <c r="J34" s="100">
        <f>J33+Table_SiteMilestoneTrackingSummary[[#This Row],[c0_SiteDesignEV]]</f>
        <v>45000</v>
      </c>
      <c r="K34" s="97">
        <f>SUMIFS(Table_SiteMilestoneTracking[c0_SiteDesignCostBL],
Table_SiteMilestoneTracking[SiteDesignReady_BL],"&gt;="&amp;Table_SiteMilestoneTrackingSummary[[#This Row],[StartDate]:[StartDate]],
Table_SiteMilestoneTracking[SiteDesignReady_BL],"&lt;"&amp;Table_SiteMilestoneTrackingSummary[[#This Row],[EndDate]:[EndDate]]+1)</f>
        <v>0</v>
      </c>
      <c r="L34" s="59">
        <f>L33+Table_SiteMilestoneTrackingSummary[[#This Row],[c0_SiteDesignCostBL]]</f>
        <v>50000</v>
      </c>
      <c r="M34" s="97">
        <f>SUMIFS(Table_SiteMilestoneTracking[c0_SiteDesignCostAC],
Table_SiteMilestoneTracking[SiteDesignReady_AC],"&gt;="&amp;Table_SiteMilestoneTrackingSummary[[#This Row],[StartDate]:[StartDate]],
Table_SiteMilestoneTracking[SiteDesignReady_AC],"&lt;"&amp;Table_SiteMilestoneTrackingSummary[[#This Row],[EndDate]:[EndDate]]+1)</f>
        <v>0</v>
      </c>
      <c r="N34" s="59">
        <f>N33+Table_SiteMilestoneTrackingSummary[[#This Row],[c0_SiteDesignCostAC]]</f>
        <v>43180</v>
      </c>
      <c r="O34" s="96">
        <f>COUNTIFS(Table_SiteMilestoneTracking[SiteDesignReady_BL],"&gt;="&amp;Table_SiteMilestoneTrackingSummary[[#This Row],[StartDate]:[StartDate]],
Table_SiteMilestoneTracking[SiteDesignReady_BL],"&lt;"&amp;Table_SiteMilestoneTrackingSummary[[#This Row],[EndDate]:[EndDate]]+1)</f>
        <v>0</v>
      </c>
      <c r="P34" s="100">
        <f>P33+Table_SiteMilestoneTrackingSummary[[#This Row],[SiteDesignReady_BL]]</f>
        <v>100</v>
      </c>
      <c r="Q34" s="100">
        <f>COUNTIFS(Table_SiteMilestoneTracking[SiteDesignReady_AC],"&gt;="&amp;Table_SiteMilestoneTrackingSummary[[#This Row],[StartDate]:[StartDate]],Table_SiteMilestoneTracking[SiteDesignReady_AC],"&lt;"&amp;Table_SiteMilestoneTrackingSummary[[#This Row],[EndDate]:[EndDate]]+1)</f>
        <v>0</v>
      </c>
      <c r="R34" s="100">
        <f>R33+Table_SiteMilestoneTrackingSummary[[#This Row],[SiteDesignReady_AC]]</f>
        <v>90</v>
      </c>
      <c r="S34" s="100">
        <f>Table_SiteMilestoneTrackingSummary[[#This Row],[ReadyForCW_AC]]*$S$2</f>
        <v>4500</v>
      </c>
      <c r="T34" s="100">
        <f>T33+Table_SiteMilestoneTrackingSummary[[#This Row],[c1_SiteSurveyEV]]</f>
        <v>40000</v>
      </c>
      <c r="U34" s="96">
        <f>SUMIFS(Table_SiteMilestoneTracking[c1_SiteSurveyCostBL],
Table_SiteMilestoneTracking[SiteSurveyCompleted_BL],"&gt;="&amp;Table_SiteMilestoneTrackingSummary[[#This Row],[StartDate]:[StartDate]],
Table_SiteMilestoneTracking[SiteSurveyCompleted_BL],"&lt;"&amp;Table_SiteMilestoneTrackingSummary[[#This Row],[EndDate]:[EndDate]]+1)</f>
        <v>0</v>
      </c>
      <c r="V34" s="100">
        <f>V33+Table_SiteMilestoneTrackingSummary[[#This Row],[c1_SiteSurveyCostBL]]</f>
        <v>50000</v>
      </c>
      <c r="W34" s="96">
        <f>SUMIFS(Table_SiteMilestoneTracking[c1_SiteSurveyCostAC],
Table_SiteMilestoneTracking[SiteSurveyCompleted_AC],"&gt;="&amp;Table_SiteMilestoneTrackingSummary[[#This Row],[StartDate]:[StartDate]],
Table_SiteMilestoneTracking[SiteSurveyCompleted_AC],"&lt;"&amp;Table_SiteMilestoneTrackingSummary[[#This Row],[EndDate]:[EndDate]]+1)</f>
        <v>0</v>
      </c>
      <c r="X34" s="100">
        <f>X33+Table_SiteMilestoneTrackingSummary[[#This Row],[c1_SiteSurveyCostAC]]</f>
        <v>51800</v>
      </c>
      <c r="Y34" s="96">
        <f>COUNTIFS(Table_SiteMilestoneTracking[SiteSurveyCompleted_BL],"&gt;="&amp;Table_SiteMilestoneTrackingSummary[[#This Row],[StartDate]:[StartDate]],
Table_SiteMilestoneTracking[SiteSurveyCompleted_BL],"&lt;"&amp;Table_SiteMilestoneTrackingSummary[[#This Row],[EndDate]:[EndDate]]+1)</f>
        <v>0</v>
      </c>
      <c r="Z34" s="100">
        <f>Z33+Table_SiteMilestoneTrackingSummary[[#This Row],[SiteSurveyCompleted_BL]]</f>
        <v>100</v>
      </c>
      <c r="AA34" s="96">
        <f>COUNTIFS(Table_SiteMilestoneTracking[SiteSurveyCompleted_AC],"&gt;="&amp;Table_SiteMilestoneTrackingSummary[[#This Row],[StartDate]:[StartDate]],
Table_SiteMilestoneTracking[SiteSurveyCompleted_AC],"&lt;"&amp;Table_SiteMilestoneTrackingSummary[[#This Row],[EndDate]:[EndDate]]+1)</f>
        <v>0</v>
      </c>
      <c r="AB34" s="100">
        <f>AB33+Table_SiteMilestoneTrackingSummary[[#This Row],[SiteSurveyCompleted_AC]]</f>
        <v>86</v>
      </c>
      <c r="AC34" s="100">
        <f>$AC$2*Table_SiteMilestoneTrackingSummary[[#This Row],[SiteAcquired_AC]]</f>
        <v>600</v>
      </c>
      <c r="AD34" s="100">
        <f>AD33+Table_SiteMilestoneTrackingSummary[[#This Row],[c2_SiteAcquisitionEV]]</f>
        <v>50400</v>
      </c>
      <c r="AE34" s="96">
        <f>SUMIFS(Table_SiteMilestoneTracking[c2_SiteAcquisitionCostBL],
Table_SiteMilestoneTracking[SiteAcquired_BL],"&gt;="&amp;Table_SiteMilestoneTrackingSummary[[#This Row],[StartDate]:[StartDate]],
Table_SiteMilestoneTracking[SiteAcquired_BL],"&lt;"&amp;Table_SiteMilestoneTrackingSummary[[#This Row],[EndDate]:[EndDate]]+1)</f>
        <v>8400</v>
      </c>
      <c r="AF34" s="100">
        <f>AF33+Table_SiteMilestoneTrackingSummary[[#This Row],[c2_SiteAcquisitionCostBL]]</f>
        <v>60000</v>
      </c>
      <c r="AG34" s="96">
        <f>SUMIFS(Table_SiteMilestoneTracking[c2_SiteAcquisitionCostAC],
Table_SiteMilestoneTracking[SiteAcquired_AC],"&gt;="&amp;Table_SiteMilestoneTrackingSummary[[#This Row],[StartDate]:[StartDate]],
Table_SiteMilestoneTracking[SiteAcquired_AC],"&lt;"&amp;Table_SiteMilestoneTrackingSummary[[#This Row],[EndDate]:[EndDate]]+1)</f>
        <v>540</v>
      </c>
      <c r="AH34" s="100">
        <f>AH33+Table_SiteMilestoneTrackingSummary[[#This Row],[c2_SiteAcquisitionCostAC]]</f>
        <v>52800</v>
      </c>
      <c r="AI34" s="96">
        <f>COUNTIFS(Table_SiteMilestoneTracking[SiteAcquired_BL],"&gt;="&amp;Table_SiteMilestoneTrackingSummary[[#This Row],[StartDate]:[StartDate]],
Table_SiteMilestoneTracking[SiteAcquired_BL],"&lt;"&amp;Table_SiteMilestoneTrackingSummary[[#This Row],[EndDate]:[EndDate]]+1)</f>
        <v>14</v>
      </c>
      <c r="AJ34" s="100">
        <f>AJ33+Table_SiteMilestoneTrackingSummary[[#This Row],[SiteAcquired_BL]]</f>
        <v>100</v>
      </c>
      <c r="AK34" s="96">
        <f>COUNTIFS(Table_SiteMilestoneTracking[SiteAcquired_AC],"&gt;="&amp;Table_SiteMilestoneTrackingSummary[[#This Row],[StartDate]:[StartDate]],
Table_SiteMilestoneTracking[SiteAcquired_AC],"&lt;"&amp;Table_SiteMilestoneTrackingSummary[[#This Row],[EndDate]:[EndDate]]+1)</f>
        <v>1</v>
      </c>
      <c r="AL34" s="100">
        <f>AL33+Table_SiteMilestoneTrackingSummary[[#This Row],[SiteAcquired_AC]]</f>
        <v>84</v>
      </c>
      <c r="AM34" s="100">
        <f>Table_SiteMilestoneTrackingSummary[[#This Row],[ReadyForCW_AC]]*$AM$2</f>
        <v>1350</v>
      </c>
      <c r="AN34" s="100">
        <f>AN33+Table_SiteMilestoneTrackingSummary[[#This Row],[c2a_SiteCWReadinessEV]]</f>
        <v>12000</v>
      </c>
      <c r="AO34" s="96">
        <f>SUMIFS(Table_SiteMilestoneTracking[c2a_SiteCWReadinessCost_BL],
Table_SiteMilestoneTracking[SiteReadyForCW_BL],"&gt;="&amp;Table_SiteMilestoneTrackingSummary[[#This Row],[StartDate]:[StartDate]],
Table_SiteMilestoneTracking[SiteReadyForCW_BL],"&lt;"&amp;Table_SiteMilestoneTrackingSummary[[#This Row],[EndDate]:[EndDate]]+1)</f>
        <v>2100</v>
      </c>
      <c r="AP34" s="100">
        <f>AP33+Table_SiteMilestoneTrackingSummary[[#This Row],[c2a_SiteCWReadinessCostBL]]</f>
        <v>15000</v>
      </c>
      <c r="AQ34" s="96">
        <f>SUMIFS(Table_SiteMilestoneTracking[c2a_SiteCWReadinessCost_AC],
Table_SiteMilestoneTracking[SiteReadyForCW_AC],"&gt;="&amp;Table_SiteMilestoneTrackingSummary[[#This Row],[StartDate]:[StartDate]],
Table_SiteMilestoneTracking[SiteReadyForCW_AC],"&lt;"&amp;Table_SiteMilestoneTrackingSummary[[#This Row],[EndDate]:[EndDate]]+1)</f>
        <v>1410</v>
      </c>
      <c r="AR34" s="100">
        <f>AR33+Table_SiteMilestoneTrackingSummary[[#This Row],[c2a_SiteCWReadinessCostAC]]</f>
        <v>12045</v>
      </c>
      <c r="AS34" s="96">
        <f>COUNTIFS(Table_SiteMilestoneTracking[SiteReadyForCW_BL],"&gt;="&amp;Table_SiteMilestoneTrackingSummary[[#This Row],[StartDate]:[StartDate]],
Table_SiteMilestoneTracking[SiteReadyForCW_BL],"&lt;"&amp;Table_SiteMilestoneTrackingSummary[[#This Row],[EndDate]:[EndDate]]+1)</f>
        <v>14</v>
      </c>
      <c r="AT34" s="100">
        <f>AT33+Table_SiteMilestoneTrackingSummary[[#This Row],[ReadyForCW_BL]]</f>
        <v>100</v>
      </c>
      <c r="AU34" s="96">
        <f>COUNTIFS(Table_SiteMilestoneTracking[SiteReadyForCW_AC],"&gt;="&amp;Table_SiteMilestoneTrackingSummary[[#This Row],[StartDate]:[StartDate]],
Table_SiteMilestoneTracking[SiteReadyForCW_AC],"&lt;"&amp;Table_SiteMilestoneTrackingSummary[[#This Row],[EndDate]:[EndDate]]+1)</f>
        <v>9</v>
      </c>
      <c r="AV34" s="100">
        <f>AV33+Table_SiteMilestoneTrackingSummary[[#This Row],[ReadyForCW_AC]]</f>
        <v>80</v>
      </c>
      <c r="AW34" s="100">
        <f>$AW$2*Table_SiteMilestoneTrackingSummary[[#This Row],[ReadyForPower_AC]]</f>
        <v>22500</v>
      </c>
      <c r="AX34" s="100">
        <f>AX33+Table_SiteMilestoneTrackingSummary[[#This Row],[c3_CivilWorksEV]]</f>
        <v>100500</v>
      </c>
      <c r="AY34" s="96">
        <f>SUMIFS(Table_SiteMilestoneTracking[c3_CivilWorksCostBL],
Table_SiteMilestoneTracking[SiteReadyForPower_BL],"&gt;="&amp;Table_SiteMilestoneTrackingSummary[[#This Row],[StartDate]:[StartDate]],
Table_SiteMilestoneTracking[SiteReadyForPower_BL],"&lt;"&amp;Table_SiteMilestoneTrackingSummary[[#This Row],[EndDate]:[EndDate]]+1)</f>
        <v>28500</v>
      </c>
      <c r="AZ34" s="100">
        <f>AZ33+Table_SiteMilestoneTrackingSummary[[#This Row],[c3_CivilWorksCostBL]]</f>
        <v>129000</v>
      </c>
      <c r="BA34" s="96">
        <f>SUMIFS(Table_SiteMilestoneTracking[c3_CivilWorksCostAC],
Table_SiteMilestoneTracking[SiteReadyForPower_AC],"&gt;="&amp;Table_SiteMilestoneTrackingSummary[[#This Row],[StartDate]:[StartDate]],
Table_SiteMilestoneTracking[SiteReadyForPower_AC],"&lt;"&amp;Table_SiteMilestoneTrackingSummary[[#This Row],[EndDate]:[EndDate]]+1)</f>
        <v>22650</v>
      </c>
      <c r="BB34" s="100">
        <f>BB33+Table_SiteMilestoneTrackingSummary[[#This Row],[c3_CivilWorksCostAC]]</f>
        <v>107400</v>
      </c>
      <c r="BC34" s="96">
        <f>COUNTIFS(Table_SiteMilestoneTracking[SiteReadyForPower_BL],"&gt;="&amp;Table_SiteMilestoneTrackingSummary[[#This Row],[StartDate]:[StartDate]],
Table_SiteMilestoneTracking[SiteReadyForPower_BL],"&lt;"&amp;Table_SiteMilestoneTrackingSummary[[#This Row],[EndDate]:[EndDate]]+1)</f>
        <v>19</v>
      </c>
      <c r="BD34" s="100">
        <f>BD33+Table_SiteMilestoneTrackingSummary[[#This Row],[ReadyForPower_BL]]</f>
        <v>86</v>
      </c>
      <c r="BE34" s="96">
        <f>COUNTIFS(Table_SiteMilestoneTracking[SiteReadyForPower_AC],"&gt;="&amp;Table_SiteMilestoneTrackingSummary[[#This Row],[StartDate]:[StartDate]],
Table_SiteMilestoneTracking[SiteReadyForPower_AC],"&lt;"&amp;Table_SiteMilestoneTrackingSummary[[#This Row],[EndDate]:[EndDate]]+1)</f>
        <v>15</v>
      </c>
      <c r="BF34" s="100">
        <f>BF33+Table_SiteMilestoneTrackingSummary[[#This Row],[ReadyForPower_AC]]</f>
        <v>67</v>
      </c>
      <c r="BG34" s="100">
        <f>$BG$2*Table_SiteMilestoneTrackingSummary[[#This Row],[TXReady_AC]]</f>
        <v>8000</v>
      </c>
      <c r="BH34" s="100">
        <f>BH33+Table_SiteMilestoneTrackingSummary[[#This Row],[c4_PowerInstallEV]]</f>
        <v>27000</v>
      </c>
      <c r="BI34" s="96">
        <f>SUMIFS(Table_SiteMilestoneTracking[c4_PowerInstallCostBL],
Table_SiteMilestoneTracking[TXReady_BL],"&gt;="&amp;Table_SiteMilestoneTrackingSummary[[#This Row],[StartDate]:[StartDate]],
Table_SiteMilestoneTracking[TXReady_BL],"&lt;"&amp;Table_SiteMilestoneTrackingSummary[[#This Row],[EndDate]:[EndDate]]+1)</f>
        <v>8000</v>
      </c>
      <c r="BJ34" s="100">
        <f>BJ33+Table_SiteMilestoneTrackingSummary[[#This Row],[c4_PowerInstallCostBL]]</f>
        <v>33500</v>
      </c>
      <c r="BK34" s="96">
        <f>SUMIFS(Table_SiteMilestoneTracking[c4_PowerInstallCostAC],
Table_SiteMilestoneTracking[TXReady_AC],"&gt;="&amp;Table_SiteMilestoneTrackingSummary[[#This Row],[StartDate]:[StartDate]],
Table_SiteMilestoneTracking[TXReady_AC],"&lt;"&amp;Table_SiteMilestoneTrackingSummary[[#This Row],[EndDate]:[EndDate]]+1)</f>
        <v>7900</v>
      </c>
      <c r="BL34" s="100">
        <f>BL33+Table_SiteMilestoneTrackingSummary[[#This Row],[c4_PowerInstallCostAC]]</f>
        <v>25900</v>
      </c>
      <c r="BM34" s="96">
        <f>COUNTIFS(Table_SiteMilestoneTracking[TXReady_BL],"&gt;="&amp;Table_SiteMilestoneTrackingSummary[[#This Row],[StartDate]:[StartDate]],
Table_SiteMilestoneTracking[TXReady_BL],"&lt;"&amp;Table_SiteMilestoneTrackingSummary[[#This Row],[EndDate]:[EndDate]]+1)</f>
        <v>16</v>
      </c>
      <c r="BN34" s="100">
        <f>BN33+Table_SiteMilestoneTrackingSummary[[#This Row],[TXReady_BL]]</f>
        <v>67</v>
      </c>
      <c r="BO34" s="100">
        <f>COUNTIFS(Table_SiteMilestoneTracking[TXReady_AC],"&gt;="&amp;Table_SiteMilestoneTrackingSummary[[#This Row],[StartDate]:[StartDate]],Table_SiteMilestoneTracking[TXReady_AC],"&lt;"&amp;Table_SiteMilestoneTrackingSummary[[#This Row],[EndDate]:[EndDate]]+1)</f>
        <v>16</v>
      </c>
      <c r="BP34" s="100">
        <f>BP33+Table_SiteMilestoneTrackingSummary[[#This Row],[TXReady_AC]]</f>
        <v>54</v>
      </c>
      <c r="BQ34" s="100">
        <f>$BQ$2*Table_SiteMilestoneTrackingSummary[[#This Row],[ReadyForInstallation_AC]]</f>
        <v>7000</v>
      </c>
      <c r="BR34" s="100">
        <f>BR33+Table_SiteMilestoneTrackingSummary[[#This Row],[c5_TxIntegrationEV]]</f>
        <v>19000</v>
      </c>
      <c r="BS34" s="96">
        <f>SUMIFS(Table_SiteMilestoneTracking[c5_TxintegrationCostBL],
Table_SiteMilestoneTracking[SiteReadyForInstallation_BL],"&gt;="&amp;Table_SiteMilestoneTrackingSummary[[#This Row],[StartDate]:[StartDate]],
Table_SiteMilestoneTracking[SiteReadyForInstallation_BL],"&lt;"&amp;Table_SiteMilestoneTrackingSummary[[#This Row],[EndDate]:[EndDate]]+1)</f>
        <v>6500</v>
      </c>
      <c r="BT34" s="100">
        <f>BT33+Table_SiteMilestoneTrackingSummary[[#This Row],[c5_TxIntegrationCostBL]]</f>
        <v>25500</v>
      </c>
      <c r="BU34" s="96">
        <f>SUMIFS(Table_SiteMilestoneTracking[c5_TxintegrationCostAC],
Table_SiteMilestoneTracking[SiteReadyForInstallation_AC],"&gt;="&amp;Table_SiteMilestoneTrackingSummary[[#This Row],[StartDate]:[StartDate]],
Table_SiteMilestoneTracking[SiteReadyForInstallation_AC],"&lt;"&amp;Table_SiteMilestoneTrackingSummary[[#This Row],[EndDate]:[EndDate]]+1)</f>
        <v>6250</v>
      </c>
      <c r="BV34" s="100">
        <f>BV33+Table_SiteMilestoneTrackingSummary[[#This Row],[c5_TxIntegrationCostAC]]</f>
        <v>18450</v>
      </c>
      <c r="BW34" s="96">
        <f>COUNTIFS(Table_SiteMilestoneTracking[SiteReadyForInstallation_BL],"&gt;="&amp;Table_SiteMilestoneTrackingSummary[[#This Row],[StartDate]:[StartDate]],
Table_SiteMilestoneTracking[SiteReadyForInstallation_BL],"&lt;"&amp;Table_SiteMilestoneTrackingSummary[[#This Row],[EndDate]:[EndDate]]+1)</f>
        <v>13</v>
      </c>
      <c r="BX34" s="100">
        <f>BX33+Table_SiteMilestoneTrackingSummary[[#This Row],[ReadyForInstallation_BL]]</f>
        <v>51</v>
      </c>
      <c r="BY34" s="96">
        <f>COUNTIFS(Table_SiteMilestoneTracking[SiteReadyForInstallation_AC],"&gt;="&amp;Table_SiteMilestoneTrackingSummary[[#This Row],[StartDate]:[StartDate]],
Table_SiteMilestoneTracking[SiteReadyForInstallation_AC],"&lt;"&amp;Table_SiteMilestoneTrackingSummary[[#This Row],[EndDate]:[EndDate]]+1)</f>
        <v>14</v>
      </c>
      <c r="BZ34" s="100">
        <f>BZ33+Table_SiteMilestoneTrackingSummary[[#This Row],[ReadyForInstallation_AC]]</f>
        <v>38</v>
      </c>
      <c r="CA34" s="100">
        <f>$CA$2*Table_SiteMilestoneTrackingSummary[[#This Row],[ReadyForIntegration_AC]]</f>
        <v>30000</v>
      </c>
      <c r="CB34" s="100">
        <f>CB33+Table_SiteMilestoneTrackingSummary[[#This Row],[c6_InstallationEV]]</f>
        <v>70000</v>
      </c>
      <c r="CC34" s="96">
        <f>SUMIFS(Table_SiteMilestoneTracking[c6_InstallationCostBL],
Table_SiteMilestoneTracking[SiteReadyForIntegration_BL],"&gt;="&amp;Table_SiteMilestoneTrackingSummary[[#This Row],[StartDate]:[StartDate]],
Table_SiteMilestoneTracking[SiteReadyForIntegration_BL],"&lt;"&amp;Table_SiteMilestoneTrackingSummary[[#This Row],[EndDate]:[EndDate]]+1)</f>
        <v>30000</v>
      </c>
      <c r="CD34" s="100">
        <f>CD33+Table_SiteMilestoneTrackingSummary[[#This Row],[c6_InstallationCostBL]]</f>
        <v>95000</v>
      </c>
      <c r="CE34" s="96">
        <f>SUMIFS(Table_SiteMilestoneTracking[c6_InstallationCostAC],
Table_SiteMilestoneTracking[SiteReadyForIntegration_AC],"&gt;="&amp;Table_SiteMilestoneTrackingSummary[[#This Row],[StartDate]:[StartDate]],
Table_SiteMilestoneTracking[SiteReadyForIntegration_AC],"&lt;"&amp;Table_SiteMilestoneTrackingSummary[[#This Row],[EndDate]:[EndDate]]+1)</f>
        <v>26500</v>
      </c>
      <c r="CF34" s="100">
        <f>CF33+Table_SiteMilestoneTrackingSummary[[#This Row],[c6_InstallationCostAC]]</f>
        <v>61850</v>
      </c>
      <c r="CG34" s="96">
        <f>COUNTIFS(Table_SiteMilestoneTracking[SiteReadyForIntegration_BL],"&gt;="&amp;Table_SiteMilestoneTrackingSummary[[#This Row],[StartDate]:[StartDate]],
Table_SiteMilestoneTracking[SiteReadyForIntegration_BL],"&lt;"&amp;Table_SiteMilestoneTrackingSummary[[#This Row],[EndDate]:[EndDate]]+1)</f>
        <v>12</v>
      </c>
      <c r="CH34" s="100">
        <f>CH33+Table_SiteMilestoneTrackingSummary[[#This Row],[ReadyForIntegration_BL]]</f>
        <v>38</v>
      </c>
      <c r="CI34" s="96">
        <f>COUNTIFS(Table_SiteMilestoneTracking[SiteReadyForIntegration_AC],"&gt;="&amp;Table_SiteMilestoneTrackingSummary[[#This Row],[StartDate]:[StartDate]],
Table_SiteMilestoneTracking[SiteReadyForIntegration_AC],"&lt;"&amp;Table_SiteMilestoneTrackingSummary[[#This Row],[EndDate]:[EndDate]]+1)</f>
        <v>12</v>
      </c>
      <c r="CJ34" s="100">
        <f>CJ33+Table_SiteMilestoneTrackingSummary[[#This Row],[ReadyForIntegration_AC]]</f>
        <v>28</v>
      </c>
      <c r="CK34" s="100">
        <f>$CK$2*Table_SiteMilestoneTrackingSummary[[#This Row],[SiteOnAir_AC]]</f>
        <v>5500</v>
      </c>
      <c r="CL34" s="100">
        <f>CL33+Table_SiteMilestoneTrackingSummary[[#This Row],[c7_IntegrationEV]]</f>
        <v>10500</v>
      </c>
      <c r="CM34" s="96">
        <f>SUMIFS(Table_SiteMilestoneTracking[c7_IntegrationCostBL],
Table_SiteMilestoneTracking[SiteOnAir_BL],"&gt;="&amp;Table_SiteMilestoneTrackingSummary[[#This Row],[StartDate]:[StartDate]],
Table_SiteMilestoneTracking[SiteOnAir_BL],"&lt;"&amp;Table_SiteMilestoneTrackingSummary[[#This Row],[EndDate]:[EndDate]]+1)</f>
        <v>5000</v>
      </c>
      <c r="CN34" s="100">
        <f>CN33+Table_SiteMilestoneTrackingSummary[[#This Row],[c7_IntegrationCostBL]]</f>
        <v>13000</v>
      </c>
      <c r="CO34" s="96">
        <f>SUMIFS(Table_SiteMilestoneTracking[c7_IntegrationCostAC],
Table_SiteMilestoneTracking[SiteOnAir_AC],"&gt;="&amp;Table_SiteMilestoneTrackingSummary[[#This Row],[StartDate]:[StartDate]],
Table_SiteMilestoneTracking[SiteOnAir_AC],"&lt;"&amp;Table_SiteMilestoneTrackingSummary[[#This Row],[EndDate]:[EndDate]]+1)</f>
        <v>5200</v>
      </c>
      <c r="CP34" s="100">
        <f>CP33+Table_SiteMilestoneTrackingSummary[[#This Row],[c7_IntegrationCostAC]]</f>
        <v>9880</v>
      </c>
      <c r="CQ34" s="96">
        <f>COUNTIFS(Table_SiteMilestoneTracking[SiteOnAir_BL],"&gt;="&amp;Table_SiteMilestoneTrackingSummary[[#This Row],[StartDate]:[StartDate]],
Table_SiteMilestoneTracking[SiteOnAir_BL],"&lt;"&amp;Table_SiteMilestoneTrackingSummary[[#This Row],[EndDate]:[EndDate]]+1)</f>
        <v>10</v>
      </c>
      <c r="CR34" s="100">
        <f>CR33+Table_SiteMilestoneTrackingSummary[[#This Row],[SiteOnAir_BL]]</f>
        <v>26</v>
      </c>
      <c r="CS34" s="96">
        <f>COUNTIFS(Table_SiteMilestoneTracking[SiteOnAir_AC],"&gt;="&amp;Table_SiteMilestoneTrackingSummary[[#This Row],[StartDate]:[StartDate]],
Table_SiteMilestoneTracking[SiteOnAir_AC],"&lt;"&amp;Table_SiteMilestoneTrackingSummary[[#This Row],[EndDate]:[EndDate]]+1)</f>
        <v>11</v>
      </c>
      <c r="CT34" s="100">
        <f>CT33+Table_SiteMilestoneTrackingSummary[[#This Row],[SiteOnAir_AC]]</f>
        <v>21</v>
      </c>
      <c r="CU34" s="100">
        <f>$CU$2*Table_SiteMilestoneTrackingSummary[[#This Row],[SiteAccepted_AC]]</f>
        <v>2500</v>
      </c>
      <c r="CV34" s="100">
        <f>CV33+Table_SiteMilestoneTrackingSummary[[#This Row],[c8_AcceptanceEV]]</f>
        <v>3750</v>
      </c>
      <c r="CW34" s="96">
        <f>SUMIFS(Table_SiteMilestoneTracking[c8_AcceptanceCostBL],
Table_SiteMilestoneTracking[SiteAccepted_BL],"&gt;="&amp;Table_SiteMilestoneTrackingSummary[[#This Row],[StartDate]:[StartDate]],
Table_SiteMilestoneTracking[SiteAccepted_BL],"&lt;"&amp;Table_SiteMilestoneTrackingSummary[[#This Row],[EndDate]:[EndDate]]+1)</f>
        <v>2500</v>
      </c>
      <c r="CX34" s="100">
        <f>CX33+Table_SiteMilestoneTrackingSummary[[#This Row],[c8_AcceptanceCostBL]]</f>
        <v>6500</v>
      </c>
      <c r="CY34" s="96">
        <f>SUMIFS(Table_SiteMilestoneTracking[c8_AcceptanceCostAC],
Table_SiteMilestoneTracking[SiteAccepted_AC],"&gt;="&amp;Table_SiteMilestoneTrackingSummary[[#This Row],[StartDate]:[StartDate]],
Table_SiteMilestoneTracking[SiteAccepted_AC],"&lt;"&amp;Table_SiteMilestoneTrackingSummary[[#This Row],[EndDate]:[EndDate]]+1)</f>
        <v>2500</v>
      </c>
      <c r="CZ34" s="100">
        <f>CZ33+Table_SiteMilestoneTrackingSummary[[#This Row],[c8_AcceptanceCostAC]]</f>
        <v>3750</v>
      </c>
      <c r="DA34" s="96">
        <f>COUNTIFS(Table_SiteMilestoneTracking[SiteAccepted_BL],"&gt;="&amp;Table_SiteMilestoneTrackingSummary[[#This Row],[StartDate]:[StartDate]],
Table_SiteMilestoneTracking[SiteAccepted_BL],"&lt;"&amp;Table_SiteMilestoneTrackingSummary[[#This Row],[EndDate]:[EndDate]]+1)</f>
        <v>10</v>
      </c>
      <c r="DB34" s="100">
        <f>DB33+Table_SiteMilestoneTrackingSummary[[#This Row],[SiteAccepted_BL]]</f>
        <v>26</v>
      </c>
      <c r="DC34" s="96">
        <f>COUNTIFS(Table_SiteMilestoneTracking[SiteAccepted_AC],"&gt;="&amp;Table_SiteMilestoneTrackingSummary[[#This Row],[StartDate]:[StartDate]],
Table_SiteMilestoneTracking[SiteAccepted_AC],"&lt;"&amp;Table_SiteMilestoneTrackingSummary[[#This Row],[EndDate]:[EndDate]]+1)</f>
        <v>10</v>
      </c>
      <c r="DD34" s="100">
        <f>DD33+Table_SiteMilestoneTrackingSummary[[#This Row],[SiteAccepted_AC]]</f>
        <v>15</v>
      </c>
      <c r="DE34" s="100">
        <f>$DE$2*Table_SiteMilestoneTrackingSummary[[#This Row],[SiteInOperations_AC]]</f>
        <v>400</v>
      </c>
      <c r="DF34" s="100">
        <f>DF33+Table_SiteMilestoneTrackingSummary[[#This Row],[c9_HandoverEV]]</f>
        <v>600</v>
      </c>
      <c r="DG34" s="96">
        <f>SUMIFS(Table_SiteMilestoneTracking[c9_HandoverCostBL],
Table_SiteMilestoneTracking[SiteInOperations_BL],"&gt;="&amp;Table_SiteMilestoneTrackingSummary[[#This Row],[StartDate]:[StartDate]],
Table_SiteMilestoneTracking[SiteInOperations_BL],"&lt;"&amp;Table_SiteMilestoneTrackingSummary[[#This Row],[EndDate]:[EndDate]]+1)</f>
        <v>1800</v>
      </c>
      <c r="DH34" s="100">
        <f>DH33+Table_SiteMilestoneTrackingSummary[[#This Row],[c9_HandoverCostBL2]]</f>
        <v>3200</v>
      </c>
      <c r="DI34" s="96">
        <f>SUMIFS(Table_SiteMilestoneTracking[c9_HandoverCostAC],
Table_SiteMilestoneTracking[SiteInOperations_AC],"&gt;="&amp;Table_SiteMilestoneTrackingSummary[[#This Row],[StartDate]:[StartDate]],
Table_SiteMilestoneTracking[SiteInOperations_AC],"&lt;"&amp;Table_SiteMilestoneTrackingSummary[[#This Row],[EndDate]:[EndDate]]+1)</f>
        <v>400</v>
      </c>
      <c r="DJ34" s="100">
        <f>DJ33+Table_SiteMilestoneTrackingSummary[[#This Row],[c9_HandoverCostAC]]</f>
        <v>600</v>
      </c>
      <c r="DK34" s="96">
        <f>COUNTIFS(Table_SiteMilestoneTracking[SiteInOperations_BL],"&gt;="&amp;Table_SiteMilestoneTrackingSummary[[#This Row],[StartDate]:[StartDate]],
Table_SiteMilestoneTracking[SiteInOperations_BL],"&lt;"&amp;Table_SiteMilestoneTrackingSummary[[#This Row],[EndDate]:[EndDate]]+1)</f>
        <v>9</v>
      </c>
      <c r="DL34" s="100">
        <f>DL33+Table_SiteMilestoneTrackingSummary[[#This Row],[SiteInOperations_BL]]</f>
        <v>16</v>
      </c>
      <c r="DM34" s="96">
        <f>COUNTIFS(Table_SiteMilestoneTracking[SiteInOperations_AC],"&gt;="&amp;Table_SiteMilestoneTrackingSummary[[#This Row],[StartDate]:[StartDate]],
Table_SiteMilestoneTracking[SiteInOperations_AC],"&lt;"&amp;Table_SiteMilestoneTrackingSummary[[#This Row],[EndDate]:[EndDate]]+1)</f>
        <v>2</v>
      </c>
      <c r="DN34" s="100">
        <f>DN33+Table_SiteMilestoneTrackingSummary[[#This Row],[SiteInOperations_AC]]</f>
        <v>3</v>
      </c>
      <c r="DO34" s="59">
        <f>Table_SiteMilestoneTrackingSummary[[#This Row],[c0_SiteDesignEV(SUM)]]+Table_SiteMilestoneTrackingSummary[[#This Row],[c1_SiteSurveyEV(SUM)]]+Table_SiteMilestoneTrackingSummary[[#This Row],[c2_SiteAcquisitionEV(SUM)]]+Table_SiteMilestoneTrackingSummary[[#This Row],[c2a_SiteCWReadinessEV(SUM)]]+Table_SiteMilestoneTrackingSummary[[#This Row],[c3_CivilWorksEV(SUM)]]+Table_SiteMilestoneTrackingSummary[[#This Row],[c4_PowerInstallEV(SUM)]]+Table_SiteMilestoneTrackingSummary[[#This Row],[c5_TxIntegrationEV(SUM)]]+Table_SiteMilestoneTrackingSummary[[#This Row],[c6_InstallationEV(SUM)]]+Table_SiteMilestoneTrackingSummary[[#This Row],[c7_IntegrationEV(SUM)]]+Table_SiteMilestoneTrackingSummary[[#This Row],[c8_AcceptanceEV(SUM)]]+Table_SiteMilestoneTrackingSummary[[#This Row],[c9_HandoverEV(SUM)]]</f>
        <v>378750</v>
      </c>
      <c r="DP34" s="59">
        <f>Table_SiteMilestoneTrackingSummary[[#This Row],[c0_SiteDesignCostBL(SUM)]]+Table_SiteMilestoneTrackingSummary[[#This Row],[c1_SiteSurveyCostBL(SUM)]]+Table_SiteMilestoneTrackingSummary[[#This Row],[c2_SiteAcquisitionCostBL(SUM)]]+Table_SiteMilestoneTrackingSummary[[#This Row],[c2a_SiteCWReadinessCostBL(SUM)]]+Table_SiteMilestoneTrackingSummary[[#This Row],[c3_CivilWorksCostBL(SUM)]]+Table_SiteMilestoneTrackingSummary[[#This Row],[c4_PowerInstallCostBL(SUM)]]+Table_SiteMilestoneTrackingSummary[[#This Row],[c5_TxIntegrationCostBL(SUM)]]+Table_SiteMilestoneTrackingSummary[[#This Row],[c6_InstallationCostBL(SUM)]]+Table_SiteMilestoneTrackingSummary[[#This Row],[c7_IntegrationCostBL(SUM)]]+Table_SiteMilestoneTrackingSummary[[#This Row],[c8_AcceptanceCostBL(SUM)]]+Table_SiteMilestoneTrackingSummary[[#This Row],[c9_HandoverCostBL(SUM)]]</f>
        <v>480700</v>
      </c>
      <c r="DQ34" s="59">
        <f>Table_SiteMilestoneTrackingSummary[[#This Row],[c0_SiteDesignCostAC(SUM)]]+Table_SiteMilestoneTrackingSummary[[#This Row],[c1_SiteSurveyCostAC(SUM)]]+Table_SiteMilestoneTrackingSummary[[#This Row],[c2_SiteAcquisitionCostAC(SUM)]]+Table_SiteMilestoneTrackingSummary[[#This Row],[c2a_SiteCWReadinessCostAC(SUM)]]+Table_SiteMilestoneTrackingSummary[[#This Row],[c3_CivilWorksCostAC(SUM)]]+Table_SiteMilestoneTrackingSummary[[#This Row],[c4_PowerInstallCostAC(SUM)]]+Table_SiteMilestoneTrackingSummary[[#This Row],[c5_TxIntegrationCostAC(SUM)]]+Table_SiteMilestoneTrackingSummary[[#This Row],[c6_InstallationCostAC(SUM)]]+Table_SiteMilestoneTrackingSummary[[#This Row],[c7_IntegrationCostAC(SUM)]]+Table_SiteMilestoneTrackingSummary[[#This Row],[c8_AcceptanceCostAC(SUM)]]+Table_SiteMilestoneTrackingSummary[[#This Row],[c9_HandoverCostAC(SUM)]]</f>
        <v>387655</v>
      </c>
      <c r="DR34" s="59">
        <f>Table_SiteMilestoneTrackingSummary[[#This Row],[AccumulatedEV]]-Table_SiteMilestoneTrackingSummary[[#This Row],[AccumulatedPV]]</f>
        <v>-101950</v>
      </c>
      <c r="DS34" s="59">
        <f>Table_SiteMilestoneTrackingSummary[[#This Row],[AccumulatedEV]]-Table_SiteMilestoneTrackingSummary[[#This Row],[AccumulatedAC]]</f>
        <v>-8905</v>
      </c>
      <c r="DT34" s="58">
        <f>IFERROR(Table_SiteMilestoneTrackingSummary[[#This Row],[AccumulatedEV]]/Table_SiteMilestoneTrackingSummary[[#This Row],[AccumulatedPV]],"/")</f>
        <v>0.78791345953817349</v>
      </c>
      <c r="DU34" s="101">
        <f>IFERROR(Table_SiteMilestoneTrackingSummary[[#This Row],[AccumulatedEV]]/Table_SiteMilestoneTrackingSummary[[#This Row],[AccumulatedAC]],"/")</f>
        <v>0.97702854342134116</v>
      </c>
    </row>
    <row r="35" spans="1:125" x14ac:dyDescent="0.3">
      <c r="A35" s="79">
        <v>2020</v>
      </c>
      <c r="B35" s="79">
        <v>32</v>
      </c>
      <c r="C35" s="95">
        <f>DATE(Table_SiteMilestoneTrackingSummary[[#This Row],[Year]],1,-2)-WEEKDAY(DATE(Table_SiteMilestoneTrackingSummary[[#This Row],[Year]],1,3))+Table_SiteMilestoneTrackingSummary[[#This Row],[Week]]*7</f>
        <v>44046</v>
      </c>
      <c r="D35" s="95">
        <f>Table_SiteMilestoneTrackingSummary[[#This Row],[StartDate]]+6</f>
        <v>44052</v>
      </c>
      <c r="E35" s="100">
        <f>COUNTIFS(Table_SiteMilestoneTracking[SiteDesignStarted_BL],"&gt;="&amp;Table_SiteMilestoneTrackingSummary[[#This Row],[StartDate]:[StartDate]],Table_SiteMilestoneTracking[SiteDesignStarted_BL],"&lt;"&amp;Table_SiteMilestoneTrackingSummary[[#This Row],[EndDate]:[EndDate]]+1)</f>
        <v>0</v>
      </c>
      <c r="F35" s="100">
        <f>F34+Table_SiteMilestoneTrackingSummary[[#This Row],[SiteDesignStarted_BL]]</f>
        <v>100</v>
      </c>
      <c r="G35" s="100">
        <f>COUNTIFS(Table_SiteMilestoneTracking[SiteDesignStarted_AC],"&gt;="&amp;Table_SiteMilestoneTrackingSummary[[#This Row],[StartDate]:[StartDate]],Table_SiteMilestoneTracking[SiteDesignStarted_AC],"&lt;"&amp;Table_SiteMilestoneTrackingSummary[[#This Row],[EndDate]:[EndDate]]+1)</f>
        <v>0</v>
      </c>
      <c r="H35" s="100">
        <f>H34+Table_SiteMilestoneTrackingSummary[[#This Row],[SiteDesignStarted_AC]]</f>
        <v>96</v>
      </c>
      <c r="I35" s="100">
        <f>Table_SiteMilestoneTrackingSummary[[#This Row],[SiteDesignReady_AC]]*$I$2</f>
        <v>0</v>
      </c>
      <c r="J35" s="100">
        <f>J34+Table_SiteMilestoneTrackingSummary[[#This Row],[c0_SiteDesignEV]]</f>
        <v>45000</v>
      </c>
      <c r="K35" s="97">
        <f>SUMIFS(Table_SiteMilestoneTracking[c0_SiteDesignCostBL],
Table_SiteMilestoneTracking[SiteDesignReady_BL],"&gt;="&amp;Table_SiteMilestoneTrackingSummary[[#This Row],[StartDate]:[StartDate]],
Table_SiteMilestoneTracking[SiteDesignReady_BL],"&lt;"&amp;Table_SiteMilestoneTrackingSummary[[#This Row],[EndDate]:[EndDate]]+1)</f>
        <v>0</v>
      </c>
      <c r="L35" s="59">
        <f>L34+Table_SiteMilestoneTrackingSummary[[#This Row],[c0_SiteDesignCostBL]]</f>
        <v>50000</v>
      </c>
      <c r="M35" s="97">
        <f>SUMIFS(Table_SiteMilestoneTracking[c0_SiteDesignCostAC],
Table_SiteMilestoneTracking[SiteDesignReady_AC],"&gt;="&amp;Table_SiteMilestoneTrackingSummary[[#This Row],[StartDate]:[StartDate]],
Table_SiteMilestoneTracking[SiteDesignReady_AC],"&lt;"&amp;Table_SiteMilestoneTrackingSummary[[#This Row],[EndDate]:[EndDate]]+1)</f>
        <v>0</v>
      </c>
      <c r="N35" s="59">
        <f>N34+Table_SiteMilestoneTrackingSummary[[#This Row],[c0_SiteDesignCostAC]]</f>
        <v>43180</v>
      </c>
      <c r="O35" s="96">
        <f>COUNTIFS(Table_SiteMilestoneTracking[SiteDesignReady_BL],"&gt;="&amp;Table_SiteMilestoneTrackingSummary[[#This Row],[StartDate]:[StartDate]],
Table_SiteMilestoneTracking[SiteDesignReady_BL],"&lt;"&amp;Table_SiteMilestoneTrackingSummary[[#This Row],[EndDate]:[EndDate]]+1)</f>
        <v>0</v>
      </c>
      <c r="P35" s="100">
        <f>P34+Table_SiteMilestoneTrackingSummary[[#This Row],[SiteDesignReady_BL]]</f>
        <v>100</v>
      </c>
      <c r="Q35" s="100">
        <f>COUNTIFS(Table_SiteMilestoneTracking[SiteDesignReady_AC],"&gt;="&amp;Table_SiteMilestoneTrackingSummary[[#This Row],[StartDate]:[StartDate]],Table_SiteMilestoneTracking[SiteDesignReady_AC],"&lt;"&amp;Table_SiteMilestoneTrackingSummary[[#This Row],[EndDate]:[EndDate]]+1)</f>
        <v>0</v>
      </c>
      <c r="R35" s="100">
        <f>R34+Table_SiteMilestoneTrackingSummary[[#This Row],[SiteDesignReady_AC]]</f>
        <v>90</v>
      </c>
      <c r="S35" s="100">
        <f>Table_SiteMilestoneTrackingSummary[[#This Row],[ReadyForCW_AC]]*$S$2</f>
        <v>0</v>
      </c>
      <c r="T35" s="100">
        <f>T34+Table_SiteMilestoneTrackingSummary[[#This Row],[c1_SiteSurveyEV]]</f>
        <v>40000</v>
      </c>
      <c r="U35" s="96">
        <f>SUMIFS(Table_SiteMilestoneTracking[c1_SiteSurveyCostBL],
Table_SiteMilestoneTracking[SiteSurveyCompleted_BL],"&gt;="&amp;Table_SiteMilestoneTrackingSummary[[#This Row],[StartDate]:[StartDate]],
Table_SiteMilestoneTracking[SiteSurveyCompleted_BL],"&lt;"&amp;Table_SiteMilestoneTrackingSummary[[#This Row],[EndDate]:[EndDate]]+1)</f>
        <v>0</v>
      </c>
      <c r="V35" s="100">
        <f>V34+Table_SiteMilestoneTrackingSummary[[#This Row],[c1_SiteSurveyCostBL]]</f>
        <v>50000</v>
      </c>
      <c r="W35" s="96">
        <f>SUMIFS(Table_SiteMilestoneTracking[c1_SiteSurveyCostAC],
Table_SiteMilestoneTracking[SiteSurveyCompleted_AC],"&gt;="&amp;Table_SiteMilestoneTrackingSummary[[#This Row],[StartDate]:[StartDate]],
Table_SiteMilestoneTracking[SiteSurveyCompleted_AC],"&lt;"&amp;Table_SiteMilestoneTrackingSummary[[#This Row],[EndDate]:[EndDate]]+1)</f>
        <v>0</v>
      </c>
      <c r="X35" s="100">
        <f>X34+Table_SiteMilestoneTrackingSummary[[#This Row],[c1_SiteSurveyCostAC]]</f>
        <v>51800</v>
      </c>
      <c r="Y35" s="96">
        <f>COUNTIFS(Table_SiteMilestoneTracking[SiteSurveyCompleted_BL],"&gt;="&amp;Table_SiteMilestoneTrackingSummary[[#This Row],[StartDate]:[StartDate]],
Table_SiteMilestoneTracking[SiteSurveyCompleted_BL],"&lt;"&amp;Table_SiteMilestoneTrackingSummary[[#This Row],[EndDate]:[EndDate]]+1)</f>
        <v>0</v>
      </c>
      <c r="Z35" s="100">
        <f>Z34+Table_SiteMilestoneTrackingSummary[[#This Row],[SiteSurveyCompleted_BL]]</f>
        <v>100</v>
      </c>
      <c r="AA35" s="96">
        <f>COUNTIFS(Table_SiteMilestoneTracking[SiteSurveyCompleted_AC],"&gt;="&amp;Table_SiteMilestoneTrackingSummary[[#This Row],[StartDate]:[StartDate]],
Table_SiteMilestoneTracking[SiteSurveyCompleted_AC],"&lt;"&amp;Table_SiteMilestoneTrackingSummary[[#This Row],[EndDate]:[EndDate]]+1)</f>
        <v>0</v>
      </c>
      <c r="AB35" s="100">
        <f>AB34+Table_SiteMilestoneTrackingSummary[[#This Row],[SiteSurveyCompleted_AC]]</f>
        <v>86</v>
      </c>
      <c r="AC35" s="100">
        <f>$AC$2*Table_SiteMilestoneTrackingSummary[[#This Row],[SiteAcquired_AC]]</f>
        <v>0</v>
      </c>
      <c r="AD35" s="100">
        <f>AD34+Table_SiteMilestoneTrackingSummary[[#This Row],[c2_SiteAcquisitionEV]]</f>
        <v>50400</v>
      </c>
      <c r="AE35" s="96">
        <f>SUMIFS(Table_SiteMilestoneTracking[c2_SiteAcquisitionCostBL],
Table_SiteMilestoneTracking[SiteAcquired_BL],"&gt;="&amp;Table_SiteMilestoneTrackingSummary[[#This Row],[StartDate]:[StartDate]],
Table_SiteMilestoneTracking[SiteAcquired_BL],"&lt;"&amp;Table_SiteMilestoneTrackingSummary[[#This Row],[EndDate]:[EndDate]]+1)</f>
        <v>0</v>
      </c>
      <c r="AF35" s="100">
        <f>AF34+Table_SiteMilestoneTrackingSummary[[#This Row],[c2_SiteAcquisitionCostBL]]</f>
        <v>60000</v>
      </c>
      <c r="AG35" s="96">
        <f>SUMIFS(Table_SiteMilestoneTracking[c2_SiteAcquisitionCostAC],
Table_SiteMilestoneTracking[SiteAcquired_AC],"&gt;="&amp;Table_SiteMilestoneTrackingSummary[[#This Row],[StartDate]:[StartDate]],
Table_SiteMilestoneTracking[SiteAcquired_AC],"&lt;"&amp;Table_SiteMilestoneTrackingSummary[[#This Row],[EndDate]:[EndDate]]+1)</f>
        <v>0</v>
      </c>
      <c r="AH35" s="100">
        <f>AH34+Table_SiteMilestoneTrackingSummary[[#This Row],[c2_SiteAcquisitionCostAC]]</f>
        <v>52800</v>
      </c>
      <c r="AI35" s="96">
        <f>COUNTIFS(Table_SiteMilestoneTracking[SiteAcquired_BL],"&gt;="&amp;Table_SiteMilestoneTrackingSummary[[#This Row],[StartDate]:[StartDate]],
Table_SiteMilestoneTracking[SiteAcquired_BL],"&lt;"&amp;Table_SiteMilestoneTrackingSummary[[#This Row],[EndDate]:[EndDate]]+1)</f>
        <v>0</v>
      </c>
      <c r="AJ35" s="100">
        <f>AJ34+Table_SiteMilestoneTrackingSummary[[#This Row],[SiteAcquired_BL]]</f>
        <v>100</v>
      </c>
      <c r="AK35" s="96">
        <f>COUNTIFS(Table_SiteMilestoneTracking[SiteAcquired_AC],"&gt;="&amp;Table_SiteMilestoneTrackingSummary[[#This Row],[StartDate]:[StartDate]],
Table_SiteMilestoneTracking[SiteAcquired_AC],"&lt;"&amp;Table_SiteMilestoneTrackingSummary[[#This Row],[EndDate]:[EndDate]]+1)</f>
        <v>0</v>
      </c>
      <c r="AL35" s="100">
        <f>AL34+Table_SiteMilestoneTrackingSummary[[#This Row],[SiteAcquired_AC]]</f>
        <v>84</v>
      </c>
      <c r="AM35" s="100">
        <f>Table_SiteMilestoneTrackingSummary[[#This Row],[ReadyForCW_AC]]*$AM$2</f>
        <v>0</v>
      </c>
      <c r="AN35" s="100">
        <f>AN34+Table_SiteMilestoneTrackingSummary[[#This Row],[c2a_SiteCWReadinessEV]]</f>
        <v>12000</v>
      </c>
      <c r="AO35" s="96">
        <f>SUMIFS(Table_SiteMilestoneTracking[c2a_SiteCWReadinessCost_BL],
Table_SiteMilestoneTracking[SiteReadyForCW_BL],"&gt;="&amp;Table_SiteMilestoneTrackingSummary[[#This Row],[StartDate]:[StartDate]],
Table_SiteMilestoneTracking[SiteReadyForCW_BL],"&lt;"&amp;Table_SiteMilestoneTrackingSummary[[#This Row],[EndDate]:[EndDate]]+1)</f>
        <v>0</v>
      </c>
      <c r="AP35" s="100">
        <f>AP34+Table_SiteMilestoneTrackingSummary[[#This Row],[c2a_SiteCWReadinessCostBL]]</f>
        <v>15000</v>
      </c>
      <c r="AQ35" s="96">
        <f>SUMIFS(Table_SiteMilestoneTracking[c2a_SiteCWReadinessCost_AC],
Table_SiteMilestoneTracking[SiteReadyForCW_AC],"&gt;="&amp;Table_SiteMilestoneTrackingSummary[[#This Row],[StartDate]:[StartDate]],
Table_SiteMilestoneTracking[SiteReadyForCW_AC],"&lt;"&amp;Table_SiteMilestoneTrackingSummary[[#This Row],[EndDate]:[EndDate]]+1)</f>
        <v>0</v>
      </c>
      <c r="AR35" s="100">
        <f>AR34+Table_SiteMilestoneTrackingSummary[[#This Row],[c2a_SiteCWReadinessCostAC]]</f>
        <v>12045</v>
      </c>
      <c r="AS35" s="96">
        <f>COUNTIFS(Table_SiteMilestoneTracking[SiteReadyForCW_BL],"&gt;="&amp;Table_SiteMilestoneTrackingSummary[[#This Row],[StartDate]:[StartDate]],
Table_SiteMilestoneTracking[SiteReadyForCW_BL],"&lt;"&amp;Table_SiteMilestoneTrackingSummary[[#This Row],[EndDate]:[EndDate]]+1)</f>
        <v>0</v>
      </c>
      <c r="AT35" s="100">
        <f>AT34+Table_SiteMilestoneTrackingSummary[[#This Row],[ReadyForCW_BL]]</f>
        <v>100</v>
      </c>
      <c r="AU35" s="96">
        <f>COUNTIFS(Table_SiteMilestoneTracking[SiteReadyForCW_AC],"&gt;="&amp;Table_SiteMilestoneTrackingSummary[[#This Row],[StartDate]:[StartDate]],
Table_SiteMilestoneTracking[SiteReadyForCW_AC],"&lt;"&amp;Table_SiteMilestoneTrackingSummary[[#This Row],[EndDate]:[EndDate]]+1)</f>
        <v>0</v>
      </c>
      <c r="AV35" s="100">
        <f>AV34+Table_SiteMilestoneTrackingSummary[[#This Row],[ReadyForCW_AC]]</f>
        <v>80</v>
      </c>
      <c r="AW35" s="100">
        <f>$AW$2*Table_SiteMilestoneTrackingSummary[[#This Row],[ReadyForPower_AC]]</f>
        <v>4500</v>
      </c>
      <c r="AX35" s="100">
        <f>AX34+Table_SiteMilestoneTrackingSummary[[#This Row],[c3_CivilWorksEV]]</f>
        <v>105000</v>
      </c>
      <c r="AY35" s="96">
        <f>SUMIFS(Table_SiteMilestoneTracking[c3_CivilWorksCostBL],
Table_SiteMilestoneTracking[SiteReadyForPower_BL],"&gt;="&amp;Table_SiteMilestoneTrackingSummary[[#This Row],[StartDate]:[StartDate]],
Table_SiteMilestoneTracking[SiteReadyForPower_BL],"&lt;"&amp;Table_SiteMilestoneTrackingSummary[[#This Row],[EndDate]:[EndDate]]+1)</f>
        <v>21000</v>
      </c>
      <c r="AZ35" s="100">
        <f>AZ34+Table_SiteMilestoneTrackingSummary[[#This Row],[c3_CivilWorksCostBL]]</f>
        <v>150000</v>
      </c>
      <c r="BA35" s="96">
        <f>SUMIFS(Table_SiteMilestoneTracking[c3_CivilWorksCostAC],
Table_SiteMilestoneTracking[SiteReadyForPower_AC],"&gt;="&amp;Table_SiteMilestoneTrackingSummary[[#This Row],[StartDate]:[StartDate]],
Table_SiteMilestoneTracking[SiteReadyForPower_AC],"&lt;"&amp;Table_SiteMilestoneTrackingSummary[[#This Row],[EndDate]:[EndDate]]+1)</f>
        <v>4950</v>
      </c>
      <c r="BB35" s="100">
        <f>BB34+Table_SiteMilestoneTrackingSummary[[#This Row],[c3_CivilWorksCostAC]]</f>
        <v>112350</v>
      </c>
      <c r="BC35" s="96">
        <f>COUNTIFS(Table_SiteMilestoneTracking[SiteReadyForPower_BL],"&gt;="&amp;Table_SiteMilestoneTrackingSummary[[#This Row],[StartDate]:[StartDate]],
Table_SiteMilestoneTracking[SiteReadyForPower_BL],"&lt;"&amp;Table_SiteMilestoneTrackingSummary[[#This Row],[EndDate]:[EndDate]]+1)</f>
        <v>14</v>
      </c>
      <c r="BD35" s="100">
        <f>BD34+Table_SiteMilestoneTrackingSummary[[#This Row],[ReadyForPower_BL]]</f>
        <v>100</v>
      </c>
      <c r="BE35" s="96">
        <f>COUNTIFS(Table_SiteMilestoneTracking[SiteReadyForPower_AC],"&gt;="&amp;Table_SiteMilestoneTrackingSummary[[#This Row],[StartDate]:[StartDate]],
Table_SiteMilestoneTracking[SiteReadyForPower_AC],"&lt;"&amp;Table_SiteMilestoneTrackingSummary[[#This Row],[EndDate]:[EndDate]]+1)</f>
        <v>3</v>
      </c>
      <c r="BF35" s="100">
        <f>BF34+Table_SiteMilestoneTrackingSummary[[#This Row],[ReadyForPower_AC]]</f>
        <v>70</v>
      </c>
      <c r="BG35" s="100">
        <f>$BG$2*Table_SiteMilestoneTrackingSummary[[#This Row],[TXReady_AC]]</f>
        <v>2500</v>
      </c>
      <c r="BH35" s="100">
        <f>BH34+Table_SiteMilestoneTrackingSummary[[#This Row],[c4_PowerInstallEV]]</f>
        <v>29500</v>
      </c>
      <c r="BI35" s="96">
        <f>SUMIFS(Table_SiteMilestoneTracking[c4_PowerInstallCostBL],
Table_SiteMilestoneTracking[TXReady_BL],"&gt;="&amp;Table_SiteMilestoneTrackingSummary[[#This Row],[StartDate]:[StartDate]],
Table_SiteMilestoneTracking[TXReady_BL],"&lt;"&amp;Table_SiteMilestoneTrackingSummary[[#This Row],[EndDate]:[EndDate]]+1)</f>
        <v>9500</v>
      </c>
      <c r="BJ35" s="100">
        <f>BJ34+Table_SiteMilestoneTrackingSummary[[#This Row],[c4_PowerInstallCostBL]]</f>
        <v>43000</v>
      </c>
      <c r="BK35" s="96">
        <f>SUMIFS(Table_SiteMilestoneTracking[c4_PowerInstallCostAC],
Table_SiteMilestoneTracking[TXReady_AC],"&gt;="&amp;Table_SiteMilestoneTrackingSummary[[#This Row],[StartDate]:[StartDate]],
Table_SiteMilestoneTracking[TXReady_AC],"&lt;"&amp;Table_SiteMilestoneTrackingSummary[[#This Row],[EndDate]:[EndDate]]+1)</f>
        <v>1900</v>
      </c>
      <c r="BL35" s="100">
        <f>BL34+Table_SiteMilestoneTrackingSummary[[#This Row],[c4_PowerInstallCostAC]]</f>
        <v>27800</v>
      </c>
      <c r="BM35" s="96">
        <f>COUNTIFS(Table_SiteMilestoneTracking[TXReady_BL],"&gt;="&amp;Table_SiteMilestoneTrackingSummary[[#This Row],[StartDate]:[StartDate]],
Table_SiteMilestoneTracking[TXReady_BL],"&lt;"&amp;Table_SiteMilestoneTrackingSummary[[#This Row],[EndDate]:[EndDate]]+1)</f>
        <v>19</v>
      </c>
      <c r="BN35" s="100">
        <f>BN34+Table_SiteMilestoneTrackingSummary[[#This Row],[TXReady_BL]]</f>
        <v>86</v>
      </c>
      <c r="BO35" s="100">
        <f>COUNTIFS(Table_SiteMilestoneTracking[TXReady_AC],"&gt;="&amp;Table_SiteMilestoneTrackingSummary[[#This Row],[StartDate]:[StartDate]],Table_SiteMilestoneTracking[TXReady_AC],"&lt;"&amp;Table_SiteMilestoneTrackingSummary[[#This Row],[EndDate]:[EndDate]]+1)</f>
        <v>5</v>
      </c>
      <c r="BP35" s="100">
        <f>BP34+Table_SiteMilestoneTrackingSummary[[#This Row],[TXReady_AC]]</f>
        <v>59</v>
      </c>
      <c r="BQ35" s="100">
        <f>$BQ$2*Table_SiteMilestoneTrackingSummary[[#This Row],[ReadyForInstallation_AC]]</f>
        <v>5500</v>
      </c>
      <c r="BR35" s="100">
        <f>BR34+Table_SiteMilestoneTrackingSummary[[#This Row],[c5_TxIntegrationEV]]</f>
        <v>24500</v>
      </c>
      <c r="BS35" s="96">
        <f>SUMIFS(Table_SiteMilestoneTracking[c5_TxintegrationCostBL],
Table_SiteMilestoneTracking[SiteReadyForInstallation_BL],"&gt;="&amp;Table_SiteMilestoneTrackingSummary[[#This Row],[StartDate]:[StartDate]],
Table_SiteMilestoneTracking[SiteReadyForInstallation_BL],"&lt;"&amp;Table_SiteMilestoneTrackingSummary[[#This Row],[EndDate]:[EndDate]]+1)</f>
        <v>8000</v>
      </c>
      <c r="BT35" s="100">
        <f>BT34+Table_SiteMilestoneTrackingSummary[[#This Row],[c5_TxIntegrationCostBL]]</f>
        <v>33500</v>
      </c>
      <c r="BU35" s="96">
        <f>SUMIFS(Table_SiteMilestoneTracking[c5_TxintegrationCostAC],
Table_SiteMilestoneTracking[SiteReadyForInstallation_AC],"&gt;="&amp;Table_SiteMilestoneTrackingSummary[[#This Row],[StartDate]:[StartDate]],
Table_SiteMilestoneTracking[SiteReadyForInstallation_AC],"&lt;"&amp;Table_SiteMilestoneTrackingSummary[[#This Row],[EndDate]:[EndDate]]+1)</f>
        <v>5250</v>
      </c>
      <c r="BV35" s="100">
        <f>BV34+Table_SiteMilestoneTrackingSummary[[#This Row],[c5_TxIntegrationCostAC]]</f>
        <v>23700</v>
      </c>
      <c r="BW35" s="96">
        <f>COUNTIFS(Table_SiteMilestoneTracking[SiteReadyForInstallation_BL],"&gt;="&amp;Table_SiteMilestoneTrackingSummary[[#This Row],[StartDate]:[StartDate]],
Table_SiteMilestoneTracking[SiteReadyForInstallation_BL],"&lt;"&amp;Table_SiteMilestoneTrackingSummary[[#This Row],[EndDate]:[EndDate]]+1)</f>
        <v>16</v>
      </c>
      <c r="BX35" s="100">
        <f>BX34+Table_SiteMilestoneTrackingSummary[[#This Row],[ReadyForInstallation_BL]]</f>
        <v>67</v>
      </c>
      <c r="BY35" s="96">
        <f>COUNTIFS(Table_SiteMilestoneTracking[SiteReadyForInstallation_AC],"&gt;="&amp;Table_SiteMilestoneTrackingSummary[[#This Row],[StartDate]:[StartDate]],
Table_SiteMilestoneTracking[SiteReadyForInstallation_AC],"&lt;"&amp;Table_SiteMilestoneTrackingSummary[[#This Row],[EndDate]:[EndDate]]+1)</f>
        <v>11</v>
      </c>
      <c r="BZ35" s="100">
        <f>BZ34+Table_SiteMilestoneTrackingSummary[[#This Row],[ReadyForInstallation_AC]]</f>
        <v>49</v>
      </c>
      <c r="CA35" s="100">
        <f>$CA$2*Table_SiteMilestoneTrackingSummary[[#This Row],[ReadyForIntegration_AC]]</f>
        <v>25000</v>
      </c>
      <c r="CB35" s="100">
        <f>CB34+Table_SiteMilestoneTrackingSummary[[#This Row],[c6_InstallationEV]]</f>
        <v>95000</v>
      </c>
      <c r="CC35" s="96">
        <f>SUMIFS(Table_SiteMilestoneTracking[c6_InstallationCostBL],
Table_SiteMilestoneTracking[SiteReadyForIntegration_BL],"&gt;="&amp;Table_SiteMilestoneTrackingSummary[[#This Row],[StartDate]:[StartDate]],
Table_SiteMilestoneTracking[SiteReadyForIntegration_BL],"&lt;"&amp;Table_SiteMilestoneTrackingSummary[[#This Row],[EndDate]:[EndDate]]+1)</f>
        <v>72500</v>
      </c>
      <c r="CD35" s="100">
        <f>CD34+Table_SiteMilestoneTrackingSummary[[#This Row],[c6_InstallationCostBL]]</f>
        <v>167500</v>
      </c>
      <c r="CE35" s="96">
        <f>SUMIFS(Table_SiteMilestoneTracking[c6_InstallationCostAC],
Table_SiteMilestoneTracking[SiteReadyForIntegration_AC],"&gt;="&amp;Table_SiteMilestoneTrackingSummary[[#This Row],[StartDate]:[StartDate]],
Table_SiteMilestoneTracking[SiteReadyForIntegration_AC],"&lt;"&amp;Table_SiteMilestoneTrackingSummary[[#This Row],[EndDate]:[EndDate]]+1)</f>
        <v>21350</v>
      </c>
      <c r="CF35" s="100">
        <f>CF34+Table_SiteMilestoneTrackingSummary[[#This Row],[c6_InstallationCostAC]]</f>
        <v>83200</v>
      </c>
      <c r="CG35" s="96">
        <f>COUNTIFS(Table_SiteMilestoneTracking[SiteReadyForIntegration_BL],"&gt;="&amp;Table_SiteMilestoneTrackingSummary[[#This Row],[StartDate]:[StartDate]],
Table_SiteMilestoneTracking[SiteReadyForIntegration_BL],"&lt;"&amp;Table_SiteMilestoneTrackingSummary[[#This Row],[EndDate]:[EndDate]]+1)</f>
        <v>29</v>
      </c>
      <c r="CH35" s="100">
        <f>CH34+Table_SiteMilestoneTrackingSummary[[#This Row],[ReadyForIntegration_BL]]</f>
        <v>67</v>
      </c>
      <c r="CI35" s="96">
        <f>COUNTIFS(Table_SiteMilestoneTracking[SiteReadyForIntegration_AC],"&gt;="&amp;Table_SiteMilestoneTrackingSummary[[#This Row],[StartDate]:[StartDate]],
Table_SiteMilestoneTracking[SiteReadyForIntegration_AC],"&lt;"&amp;Table_SiteMilestoneTrackingSummary[[#This Row],[EndDate]:[EndDate]]+1)</f>
        <v>10</v>
      </c>
      <c r="CJ35" s="100">
        <f>CJ34+Table_SiteMilestoneTrackingSummary[[#This Row],[ReadyForIntegration_AC]]</f>
        <v>38</v>
      </c>
      <c r="CK35" s="100">
        <f>$CK$2*Table_SiteMilestoneTrackingSummary[[#This Row],[SiteOnAir_AC]]</f>
        <v>3500</v>
      </c>
      <c r="CL35" s="100">
        <f>CL34+Table_SiteMilestoneTrackingSummary[[#This Row],[c7_IntegrationEV]]</f>
        <v>14000</v>
      </c>
      <c r="CM35" s="96">
        <f>SUMIFS(Table_SiteMilestoneTracking[c7_IntegrationCostBL],
Table_SiteMilestoneTracking[SiteOnAir_BL],"&gt;="&amp;Table_SiteMilestoneTrackingSummary[[#This Row],[StartDate]:[StartDate]],
Table_SiteMilestoneTracking[SiteOnAir_BL],"&lt;"&amp;Table_SiteMilestoneTrackingSummary[[#This Row],[EndDate]:[EndDate]]+1)</f>
        <v>6000</v>
      </c>
      <c r="CN35" s="100">
        <f>CN34+Table_SiteMilestoneTrackingSummary[[#This Row],[c7_IntegrationCostBL]]</f>
        <v>19000</v>
      </c>
      <c r="CO35" s="96">
        <f>SUMIFS(Table_SiteMilestoneTracking[c7_IntegrationCostAC],
Table_SiteMilestoneTracking[SiteOnAir_AC],"&gt;="&amp;Table_SiteMilestoneTrackingSummary[[#This Row],[StartDate]:[StartDate]],
Table_SiteMilestoneTracking[SiteOnAir_AC],"&lt;"&amp;Table_SiteMilestoneTrackingSummary[[#This Row],[EndDate]:[EndDate]]+1)</f>
        <v>3340</v>
      </c>
      <c r="CP35" s="100">
        <f>CP34+Table_SiteMilestoneTrackingSummary[[#This Row],[c7_IntegrationCostAC]]</f>
        <v>13220</v>
      </c>
      <c r="CQ35" s="96">
        <f>COUNTIFS(Table_SiteMilestoneTracking[SiteOnAir_BL],"&gt;="&amp;Table_SiteMilestoneTrackingSummary[[#This Row],[StartDate]:[StartDate]],
Table_SiteMilestoneTracking[SiteOnAir_BL],"&lt;"&amp;Table_SiteMilestoneTrackingSummary[[#This Row],[EndDate]:[EndDate]]+1)</f>
        <v>12</v>
      </c>
      <c r="CR35" s="100">
        <f>CR34+Table_SiteMilestoneTrackingSummary[[#This Row],[SiteOnAir_BL]]</f>
        <v>38</v>
      </c>
      <c r="CS35" s="96">
        <f>COUNTIFS(Table_SiteMilestoneTracking[SiteOnAir_AC],"&gt;="&amp;Table_SiteMilestoneTrackingSummary[[#This Row],[StartDate]:[StartDate]],
Table_SiteMilestoneTracking[SiteOnAir_AC],"&lt;"&amp;Table_SiteMilestoneTrackingSummary[[#This Row],[EndDate]:[EndDate]]+1)</f>
        <v>7</v>
      </c>
      <c r="CT35" s="100">
        <f>CT34+Table_SiteMilestoneTrackingSummary[[#This Row],[SiteOnAir_AC]]</f>
        <v>28</v>
      </c>
      <c r="CU35" s="100">
        <f>$CU$2*Table_SiteMilestoneTrackingSummary[[#This Row],[SiteAccepted_AC]]</f>
        <v>1000</v>
      </c>
      <c r="CV35" s="100">
        <f>CV34+Table_SiteMilestoneTrackingSummary[[#This Row],[c8_AcceptanceEV]]</f>
        <v>4750</v>
      </c>
      <c r="CW35" s="96">
        <f>SUMIFS(Table_SiteMilestoneTracking[c8_AcceptanceCostBL],
Table_SiteMilestoneTracking[SiteAccepted_BL],"&gt;="&amp;Table_SiteMilestoneTrackingSummary[[#This Row],[StartDate]:[StartDate]],
Table_SiteMilestoneTracking[SiteAccepted_BL],"&lt;"&amp;Table_SiteMilestoneTrackingSummary[[#This Row],[EndDate]:[EndDate]]+1)</f>
        <v>3000</v>
      </c>
      <c r="CX35" s="100">
        <f>CX34+Table_SiteMilestoneTrackingSummary[[#This Row],[c8_AcceptanceCostBL]]</f>
        <v>9500</v>
      </c>
      <c r="CY35" s="96">
        <f>SUMIFS(Table_SiteMilestoneTracking[c8_AcceptanceCostAC],
Table_SiteMilestoneTracking[SiteAccepted_AC],"&gt;="&amp;Table_SiteMilestoneTrackingSummary[[#This Row],[StartDate]:[StartDate]],
Table_SiteMilestoneTracking[SiteAccepted_AC],"&lt;"&amp;Table_SiteMilestoneTrackingSummary[[#This Row],[EndDate]:[EndDate]]+1)</f>
        <v>1000</v>
      </c>
      <c r="CZ35" s="100">
        <f>CZ34+Table_SiteMilestoneTrackingSummary[[#This Row],[c8_AcceptanceCostAC]]</f>
        <v>4750</v>
      </c>
      <c r="DA35" s="96">
        <f>COUNTIFS(Table_SiteMilestoneTracking[SiteAccepted_BL],"&gt;="&amp;Table_SiteMilestoneTrackingSummary[[#This Row],[StartDate]:[StartDate]],
Table_SiteMilestoneTracking[SiteAccepted_BL],"&lt;"&amp;Table_SiteMilestoneTrackingSummary[[#This Row],[EndDate]:[EndDate]]+1)</f>
        <v>12</v>
      </c>
      <c r="DB35" s="100">
        <f>DB34+Table_SiteMilestoneTrackingSummary[[#This Row],[SiteAccepted_BL]]</f>
        <v>38</v>
      </c>
      <c r="DC35" s="96">
        <f>COUNTIFS(Table_SiteMilestoneTracking[SiteAccepted_AC],"&gt;="&amp;Table_SiteMilestoneTrackingSummary[[#This Row],[StartDate]:[StartDate]],
Table_SiteMilestoneTracking[SiteAccepted_AC],"&lt;"&amp;Table_SiteMilestoneTrackingSummary[[#This Row],[EndDate]:[EndDate]]+1)</f>
        <v>4</v>
      </c>
      <c r="DD35" s="100">
        <f>DD34+Table_SiteMilestoneTrackingSummary[[#This Row],[SiteAccepted_AC]]</f>
        <v>19</v>
      </c>
      <c r="DE35" s="100">
        <f>$DE$2*Table_SiteMilestoneTrackingSummary[[#This Row],[SiteInOperations_AC]]</f>
        <v>800</v>
      </c>
      <c r="DF35" s="100">
        <f>DF34+Table_SiteMilestoneTrackingSummary[[#This Row],[c9_HandoverEV]]</f>
        <v>1400</v>
      </c>
      <c r="DG35" s="96">
        <f>SUMIFS(Table_SiteMilestoneTracking[c9_HandoverCostBL],
Table_SiteMilestoneTracking[SiteInOperations_BL],"&gt;="&amp;Table_SiteMilestoneTrackingSummary[[#This Row],[StartDate]:[StartDate]],
Table_SiteMilestoneTracking[SiteInOperations_BL],"&lt;"&amp;Table_SiteMilestoneTrackingSummary[[#This Row],[EndDate]:[EndDate]]+1)</f>
        <v>2000</v>
      </c>
      <c r="DH35" s="100">
        <f>DH34+Table_SiteMilestoneTrackingSummary[[#This Row],[c9_HandoverCostBL2]]</f>
        <v>5200</v>
      </c>
      <c r="DI35" s="96">
        <f>SUMIFS(Table_SiteMilestoneTracking[c9_HandoverCostAC],
Table_SiteMilestoneTracking[SiteInOperations_AC],"&gt;="&amp;Table_SiteMilestoneTrackingSummary[[#This Row],[StartDate]:[StartDate]],
Table_SiteMilestoneTracking[SiteInOperations_AC],"&lt;"&amp;Table_SiteMilestoneTrackingSummary[[#This Row],[EndDate]:[EndDate]]+1)</f>
        <v>800</v>
      </c>
      <c r="DJ35" s="100">
        <f>DJ34+Table_SiteMilestoneTrackingSummary[[#This Row],[c9_HandoverCostAC]]</f>
        <v>1400</v>
      </c>
      <c r="DK35" s="96">
        <f>COUNTIFS(Table_SiteMilestoneTracking[SiteInOperations_BL],"&gt;="&amp;Table_SiteMilestoneTrackingSummary[[#This Row],[StartDate]:[StartDate]],
Table_SiteMilestoneTracking[SiteInOperations_BL],"&lt;"&amp;Table_SiteMilestoneTrackingSummary[[#This Row],[EndDate]:[EndDate]]+1)</f>
        <v>10</v>
      </c>
      <c r="DL35" s="100">
        <f>DL34+Table_SiteMilestoneTrackingSummary[[#This Row],[SiteInOperations_BL]]</f>
        <v>26</v>
      </c>
      <c r="DM35" s="96">
        <f>COUNTIFS(Table_SiteMilestoneTracking[SiteInOperations_AC],"&gt;="&amp;Table_SiteMilestoneTrackingSummary[[#This Row],[StartDate]:[StartDate]],
Table_SiteMilestoneTracking[SiteInOperations_AC],"&lt;"&amp;Table_SiteMilestoneTrackingSummary[[#This Row],[EndDate]:[EndDate]]+1)</f>
        <v>4</v>
      </c>
      <c r="DN35" s="100">
        <f>DN34+Table_SiteMilestoneTrackingSummary[[#This Row],[SiteInOperations_AC]]</f>
        <v>7</v>
      </c>
      <c r="DO35" s="59">
        <f>Table_SiteMilestoneTrackingSummary[[#This Row],[c0_SiteDesignEV(SUM)]]+Table_SiteMilestoneTrackingSummary[[#This Row],[c1_SiteSurveyEV(SUM)]]+Table_SiteMilestoneTrackingSummary[[#This Row],[c2_SiteAcquisitionEV(SUM)]]+Table_SiteMilestoneTrackingSummary[[#This Row],[c2a_SiteCWReadinessEV(SUM)]]+Table_SiteMilestoneTrackingSummary[[#This Row],[c3_CivilWorksEV(SUM)]]+Table_SiteMilestoneTrackingSummary[[#This Row],[c4_PowerInstallEV(SUM)]]+Table_SiteMilestoneTrackingSummary[[#This Row],[c5_TxIntegrationEV(SUM)]]+Table_SiteMilestoneTrackingSummary[[#This Row],[c6_InstallationEV(SUM)]]+Table_SiteMilestoneTrackingSummary[[#This Row],[c7_IntegrationEV(SUM)]]+Table_SiteMilestoneTrackingSummary[[#This Row],[c8_AcceptanceEV(SUM)]]+Table_SiteMilestoneTrackingSummary[[#This Row],[c9_HandoverEV(SUM)]]</f>
        <v>421550</v>
      </c>
      <c r="DP35" s="59">
        <f>Table_SiteMilestoneTrackingSummary[[#This Row],[c0_SiteDesignCostBL(SUM)]]+Table_SiteMilestoneTrackingSummary[[#This Row],[c1_SiteSurveyCostBL(SUM)]]+Table_SiteMilestoneTrackingSummary[[#This Row],[c2_SiteAcquisitionCostBL(SUM)]]+Table_SiteMilestoneTrackingSummary[[#This Row],[c2a_SiteCWReadinessCostBL(SUM)]]+Table_SiteMilestoneTrackingSummary[[#This Row],[c3_CivilWorksCostBL(SUM)]]+Table_SiteMilestoneTrackingSummary[[#This Row],[c4_PowerInstallCostBL(SUM)]]+Table_SiteMilestoneTrackingSummary[[#This Row],[c5_TxIntegrationCostBL(SUM)]]+Table_SiteMilestoneTrackingSummary[[#This Row],[c6_InstallationCostBL(SUM)]]+Table_SiteMilestoneTrackingSummary[[#This Row],[c7_IntegrationCostBL(SUM)]]+Table_SiteMilestoneTrackingSummary[[#This Row],[c8_AcceptanceCostBL(SUM)]]+Table_SiteMilestoneTrackingSummary[[#This Row],[c9_HandoverCostBL(SUM)]]</f>
        <v>602700</v>
      </c>
      <c r="DQ35" s="59">
        <f>Table_SiteMilestoneTrackingSummary[[#This Row],[c0_SiteDesignCostAC(SUM)]]+Table_SiteMilestoneTrackingSummary[[#This Row],[c1_SiteSurveyCostAC(SUM)]]+Table_SiteMilestoneTrackingSummary[[#This Row],[c2_SiteAcquisitionCostAC(SUM)]]+Table_SiteMilestoneTrackingSummary[[#This Row],[c2a_SiteCWReadinessCostAC(SUM)]]+Table_SiteMilestoneTrackingSummary[[#This Row],[c3_CivilWorksCostAC(SUM)]]+Table_SiteMilestoneTrackingSummary[[#This Row],[c4_PowerInstallCostAC(SUM)]]+Table_SiteMilestoneTrackingSummary[[#This Row],[c5_TxIntegrationCostAC(SUM)]]+Table_SiteMilestoneTrackingSummary[[#This Row],[c6_InstallationCostAC(SUM)]]+Table_SiteMilestoneTrackingSummary[[#This Row],[c7_IntegrationCostAC(SUM)]]+Table_SiteMilestoneTrackingSummary[[#This Row],[c8_AcceptanceCostAC(SUM)]]+Table_SiteMilestoneTrackingSummary[[#This Row],[c9_HandoverCostAC(SUM)]]</f>
        <v>426245</v>
      </c>
      <c r="DR35" s="59">
        <f>Table_SiteMilestoneTrackingSummary[[#This Row],[AccumulatedEV]]-Table_SiteMilestoneTrackingSummary[[#This Row],[AccumulatedPV]]</f>
        <v>-181150</v>
      </c>
      <c r="DS35" s="59">
        <f>Table_SiteMilestoneTrackingSummary[[#This Row],[AccumulatedEV]]-Table_SiteMilestoneTrackingSummary[[#This Row],[AccumulatedAC]]</f>
        <v>-4695</v>
      </c>
      <c r="DT35" s="58">
        <f>IFERROR(Table_SiteMilestoneTrackingSummary[[#This Row],[AccumulatedEV]]/Table_SiteMilestoneTrackingSummary[[#This Row],[AccumulatedPV]],"/")</f>
        <v>0.69943587190973955</v>
      </c>
      <c r="DU35" s="101">
        <f>IFERROR(Table_SiteMilestoneTrackingSummary[[#This Row],[AccumulatedEV]]/Table_SiteMilestoneTrackingSummary[[#This Row],[AccumulatedAC]],"/")</f>
        <v>0.9889852080376309</v>
      </c>
    </row>
    <row r="36" spans="1:125" x14ac:dyDescent="0.3">
      <c r="A36" s="79">
        <v>2020</v>
      </c>
      <c r="B36" s="79">
        <v>33</v>
      </c>
      <c r="C36" s="95">
        <f>DATE(Table_SiteMilestoneTrackingSummary[[#This Row],[Year]],1,-2)-WEEKDAY(DATE(Table_SiteMilestoneTrackingSummary[[#This Row],[Year]],1,3))+Table_SiteMilestoneTrackingSummary[[#This Row],[Week]]*7</f>
        <v>44053</v>
      </c>
      <c r="D36" s="95">
        <f>Table_SiteMilestoneTrackingSummary[[#This Row],[StartDate]]+6</f>
        <v>44059</v>
      </c>
      <c r="E36" s="100">
        <f>COUNTIFS(Table_SiteMilestoneTracking[SiteDesignStarted_BL],"&gt;="&amp;Table_SiteMilestoneTrackingSummary[[#This Row],[StartDate]:[StartDate]],Table_SiteMilestoneTracking[SiteDesignStarted_BL],"&lt;"&amp;Table_SiteMilestoneTrackingSummary[[#This Row],[EndDate]:[EndDate]]+1)</f>
        <v>0</v>
      </c>
      <c r="F36" s="100">
        <f>F35+Table_SiteMilestoneTrackingSummary[[#This Row],[SiteDesignStarted_BL]]</f>
        <v>100</v>
      </c>
      <c r="G36" s="100">
        <f>COUNTIFS(Table_SiteMilestoneTracking[SiteDesignStarted_AC],"&gt;="&amp;Table_SiteMilestoneTrackingSummary[[#This Row],[StartDate]:[StartDate]],Table_SiteMilestoneTracking[SiteDesignStarted_AC],"&lt;"&amp;Table_SiteMilestoneTrackingSummary[[#This Row],[EndDate]:[EndDate]]+1)</f>
        <v>0</v>
      </c>
      <c r="H36" s="100">
        <f>H35+Table_SiteMilestoneTrackingSummary[[#This Row],[SiteDesignStarted_AC]]</f>
        <v>96</v>
      </c>
      <c r="I36" s="100">
        <f>Table_SiteMilestoneTrackingSummary[[#This Row],[SiteDesignReady_AC]]*$I$2</f>
        <v>0</v>
      </c>
      <c r="J36" s="100">
        <f>J35+Table_SiteMilestoneTrackingSummary[[#This Row],[c0_SiteDesignEV]]</f>
        <v>45000</v>
      </c>
      <c r="K36" s="97">
        <f>SUMIFS(Table_SiteMilestoneTracking[c0_SiteDesignCostBL],
Table_SiteMilestoneTracking[SiteDesignReady_BL],"&gt;="&amp;Table_SiteMilestoneTrackingSummary[[#This Row],[StartDate]:[StartDate]],
Table_SiteMilestoneTracking[SiteDesignReady_BL],"&lt;"&amp;Table_SiteMilestoneTrackingSummary[[#This Row],[EndDate]:[EndDate]]+1)</f>
        <v>0</v>
      </c>
      <c r="L36" s="59">
        <f>L35+Table_SiteMilestoneTrackingSummary[[#This Row],[c0_SiteDesignCostBL]]</f>
        <v>50000</v>
      </c>
      <c r="M36" s="97">
        <f>SUMIFS(Table_SiteMilestoneTracking[c0_SiteDesignCostAC],
Table_SiteMilestoneTracking[SiteDesignReady_AC],"&gt;="&amp;Table_SiteMilestoneTrackingSummary[[#This Row],[StartDate]:[StartDate]],
Table_SiteMilestoneTracking[SiteDesignReady_AC],"&lt;"&amp;Table_SiteMilestoneTrackingSummary[[#This Row],[EndDate]:[EndDate]]+1)</f>
        <v>0</v>
      </c>
      <c r="N36" s="59">
        <f>N35+Table_SiteMilestoneTrackingSummary[[#This Row],[c0_SiteDesignCostAC]]</f>
        <v>43180</v>
      </c>
      <c r="O36" s="96">
        <f>COUNTIFS(Table_SiteMilestoneTracking[SiteDesignReady_BL],"&gt;="&amp;Table_SiteMilestoneTrackingSummary[[#This Row],[StartDate]:[StartDate]],
Table_SiteMilestoneTracking[SiteDesignReady_BL],"&lt;"&amp;Table_SiteMilestoneTrackingSummary[[#This Row],[EndDate]:[EndDate]]+1)</f>
        <v>0</v>
      </c>
      <c r="P36" s="100">
        <f>P35+Table_SiteMilestoneTrackingSummary[[#This Row],[SiteDesignReady_BL]]</f>
        <v>100</v>
      </c>
      <c r="Q36" s="100">
        <f>COUNTIFS(Table_SiteMilestoneTracking[SiteDesignReady_AC],"&gt;="&amp;Table_SiteMilestoneTrackingSummary[[#This Row],[StartDate]:[StartDate]],Table_SiteMilestoneTracking[SiteDesignReady_AC],"&lt;"&amp;Table_SiteMilestoneTrackingSummary[[#This Row],[EndDate]:[EndDate]]+1)</f>
        <v>0</v>
      </c>
      <c r="R36" s="100">
        <f>R35+Table_SiteMilestoneTrackingSummary[[#This Row],[SiteDesignReady_AC]]</f>
        <v>90</v>
      </c>
      <c r="S36" s="100">
        <f>Table_SiteMilestoneTrackingSummary[[#This Row],[ReadyForCW_AC]]*$S$2</f>
        <v>0</v>
      </c>
      <c r="T36" s="100">
        <f>T35+Table_SiteMilestoneTrackingSummary[[#This Row],[c1_SiteSurveyEV]]</f>
        <v>40000</v>
      </c>
      <c r="U36" s="96">
        <f>SUMIFS(Table_SiteMilestoneTracking[c1_SiteSurveyCostBL],
Table_SiteMilestoneTracking[SiteSurveyCompleted_BL],"&gt;="&amp;Table_SiteMilestoneTrackingSummary[[#This Row],[StartDate]:[StartDate]],
Table_SiteMilestoneTracking[SiteSurveyCompleted_BL],"&lt;"&amp;Table_SiteMilestoneTrackingSummary[[#This Row],[EndDate]:[EndDate]]+1)</f>
        <v>0</v>
      </c>
      <c r="V36" s="100">
        <f>V35+Table_SiteMilestoneTrackingSummary[[#This Row],[c1_SiteSurveyCostBL]]</f>
        <v>50000</v>
      </c>
      <c r="W36" s="96">
        <f>SUMIFS(Table_SiteMilestoneTracking[c1_SiteSurveyCostAC],
Table_SiteMilestoneTracking[SiteSurveyCompleted_AC],"&gt;="&amp;Table_SiteMilestoneTrackingSummary[[#This Row],[StartDate]:[StartDate]],
Table_SiteMilestoneTracking[SiteSurveyCompleted_AC],"&lt;"&amp;Table_SiteMilestoneTrackingSummary[[#This Row],[EndDate]:[EndDate]]+1)</f>
        <v>0</v>
      </c>
      <c r="X36" s="100">
        <f>X35+Table_SiteMilestoneTrackingSummary[[#This Row],[c1_SiteSurveyCostAC]]</f>
        <v>51800</v>
      </c>
      <c r="Y36" s="96">
        <f>COUNTIFS(Table_SiteMilestoneTracking[SiteSurveyCompleted_BL],"&gt;="&amp;Table_SiteMilestoneTrackingSummary[[#This Row],[StartDate]:[StartDate]],
Table_SiteMilestoneTracking[SiteSurveyCompleted_BL],"&lt;"&amp;Table_SiteMilestoneTrackingSummary[[#This Row],[EndDate]:[EndDate]]+1)</f>
        <v>0</v>
      </c>
      <c r="Z36" s="100">
        <f>Z35+Table_SiteMilestoneTrackingSummary[[#This Row],[SiteSurveyCompleted_BL]]</f>
        <v>100</v>
      </c>
      <c r="AA36" s="96">
        <f>COUNTIFS(Table_SiteMilestoneTracking[SiteSurveyCompleted_AC],"&gt;="&amp;Table_SiteMilestoneTrackingSummary[[#This Row],[StartDate]:[StartDate]],
Table_SiteMilestoneTracking[SiteSurveyCompleted_AC],"&lt;"&amp;Table_SiteMilestoneTrackingSummary[[#This Row],[EndDate]:[EndDate]]+1)</f>
        <v>0</v>
      </c>
      <c r="AB36" s="100">
        <f>AB35+Table_SiteMilestoneTrackingSummary[[#This Row],[SiteSurveyCompleted_AC]]</f>
        <v>86</v>
      </c>
      <c r="AC36" s="100">
        <f>$AC$2*Table_SiteMilestoneTrackingSummary[[#This Row],[SiteAcquired_AC]]</f>
        <v>0</v>
      </c>
      <c r="AD36" s="100">
        <f>AD35+Table_SiteMilestoneTrackingSummary[[#This Row],[c2_SiteAcquisitionEV]]</f>
        <v>50400</v>
      </c>
      <c r="AE36" s="96">
        <f>SUMIFS(Table_SiteMilestoneTracking[c2_SiteAcquisitionCostBL],
Table_SiteMilestoneTracking[SiteAcquired_BL],"&gt;="&amp;Table_SiteMilestoneTrackingSummary[[#This Row],[StartDate]:[StartDate]],
Table_SiteMilestoneTracking[SiteAcquired_BL],"&lt;"&amp;Table_SiteMilestoneTrackingSummary[[#This Row],[EndDate]:[EndDate]]+1)</f>
        <v>0</v>
      </c>
      <c r="AF36" s="100">
        <f>AF35+Table_SiteMilestoneTrackingSummary[[#This Row],[c2_SiteAcquisitionCostBL]]</f>
        <v>60000</v>
      </c>
      <c r="AG36" s="96">
        <f>SUMIFS(Table_SiteMilestoneTracking[c2_SiteAcquisitionCostAC],
Table_SiteMilestoneTracking[SiteAcquired_AC],"&gt;="&amp;Table_SiteMilestoneTrackingSummary[[#This Row],[StartDate]:[StartDate]],
Table_SiteMilestoneTracking[SiteAcquired_AC],"&lt;"&amp;Table_SiteMilestoneTrackingSummary[[#This Row],[EndDate]:[EndDate]]+1)</f>
        <v>0</v>
      </c>
      <c r="AH36" s="100">
        <f>AH35+Table_SiteMilestoneTrackingSummary[[#This Row],[c2_SiteAcquisitionCostAC]]</f>
        <v>52800</v>
      </c>
      <c r="AI36" s="96">
        <f>COUNTIFS(Table_SiteMilestoneTracking[SiteAcquired_BL],"&gt;="&amp;Table_SiteMilestoneTrackingSummary[[#This Row],[StartDate]:[StartDate]],
Table_SiteMilestoneTracking[SiteAcquired_BL],"&lt;"&amp;Table_SiteMilestoneTrackingSummary[[#This Row],[EndDate]:[EndDate]]+1)</f>
        <v>0</v>
      </c>
      <c r="AJ36" s="100">
        <f>AJ35+Table_SiteMilestoneTrackingSummary[[#This Row],[SiteAcquired_BL]]</f>
        <v>100</v>
      </c>
      <c r="AK36" s="96">
        <f>COUNTIFS(Table_SiteMilestoneTracking[SiteAcquired_AC],"&gt;="&amp;Table_SiteMilestoneTrackingSummary[[#This Row],[StartDate]:[StartDate]],
Table_SiteMilestoneTracking[SiteAcquired_AC],"&lt;"&amp;Table_SiteMilestoneTrackingSummary[[#This Row],[EndDate]:[EndDate]]+1)</f>
        <v>0</v>
      </c>
      <c r="AL36" s="100">
        <f>AL35+Table_SiteMilestoneTrackingSummary[[#This Row],[SiteAcquired_AC]]</f>
        <v>84</v>
      </c>
      <c r="AM36" s="100">
        <f>Table_SiteMilestoneTrackingSummary[[#This Row],[ReadyForCW_AC]]*$AM$2</f>
        <v>0</v>
      </c>
      <c r="AN36" s="100">
        <f>AN35+Table_SiteMilestoneTrackingSummary[[#This Row],[c2a_SiteCWReadinessEV]]</f>
        <v>12000</v>
      </c>
      <c r="AO36" s="96">
        <f>SUMIFS(Table_SiteMilestoneTracking[c2a_SiteCWReadinessCost_BL],
Table_SiteMilestoneTracking[SiteReadyForCW_BL],"&gt;="&amp;Table_SiteMilestoneTrackingSummary[[#This Row],[StartDate]:[StartDate]],
Table_SiteMilestoneTracking[SiteReadyForCW_BL],"&lt;"&amp;Table_SiteMilestoneTrackingSummary[[#This Row],[EndDate]:[EndDate]]+1)</f>
        <v>0</v>
      </c>
      <c r="AP36" s="100">
        <f>AP35+Table_SiteMilestoneTrackingSummary[[#This Row],[c2a_SiteCWReadinessCostBL]]</f>
        <v>15000</v>
      </c>
      <c r="AQ36" s="96">
        <f>SUMIFS(Table_SiteMilestoneTracking[c2a_SiteCWReadinessCost_AC],
Table_SiteMilestoneTracking[SiteReadyForCW_AC],"&gt;="&amp;Table_SiteMilestoneTrackingSummary[[#This Row],[StartDate]:[StartDate]],
Table_SiteMilestoneTracking[SiteReadyForCW_AC],"&lt;"&amp;Table_SiteMilestoneTrackingSummary[[#This Row],[EndDate]:[EndDate]]+1)</f>
        <v>0</v>
      </c>
      <c r="AR36" s="100">
        <f>AR35+Table_SiteMilestoneTrackingSummary[[#This Row],[c2a_SiteCWReadinessCostAC]]</f>
        <v>12045</v>
      </c>
      <c r="AS36" s="96">
        <f>COUNTIFS(Table_SiteMilestoneTracking[SiteReadyForCW_BL],"&gt;="&amp;Table_SiteMilestoneTrackingSummary[[#This Row],[StartDate]:[StartDate]],
Table_SiteMilestoneTracking[SiteReadyForCW_BL],"&lt;"&amp;Table_SiteMilestoneTrackingSummary[[#This Row],[EndDate]:[EndDate]]+1)</f>
        <v>0</v>
      </c>
      <c r="AT36" s="100">
        <f>AT35+Table_SiteMilestoneTrackingSummary[[#This Row],[ReadyForCW_BL]]</f>
        <v>100</v>
      </c>
      <c r="AU36" s="96">
        <f>COUNTIFS(Table_SiteMilestoneTracking[SiteReadyForCW_AC],"&gt;="&amp;Table_SiteMilestoneTrackingSummary[[#This Row],[StartDate]:[StartDate]],
Table_SiteMilestoneTracking[SiteReadyForCW_AC],"&lt;"&amp;Table_SiteMilestoneTrackingSummary[[#This Row],[EndDate]:[EndDate]]+1)</f>
        <v>0</v>
      </c>
      <c r="AV36" s="100">
        <f>AV35+Table_SiteMilestoneTrackingSummary[[#This Row],[ReadyForCW_AC]]</f>
        <v>80</v>
      </c>
      <c r="AW36" s="100">
        <f>$AW$2*Table_SiteMilestoneTrackingSummary[[#This Row],[ReadyForPower_AC]]</f>
        <v>0</v>
      </c>
      <c r="AX36" s="100">
        <f>AX35+Table_SiteMilestoneTrackingSummary[[#This Row],[c3_CivilWorksEV]]</f>
        <v>105000</v>
      </c>
      <c r="AY36" s="96">
        <f>SUMIFS(Table_SiteMilestoneTracking[c3_CivilWorksCostBL],
Table_SiteMilestoneTracking[SiteReadyForPower_BL],"&gt;="&amp;Table_SiteMilestoneTrackingSummary[[#This Row],[StartDate]:[StartDate]],
Table_SiteMilestoneTracking[SiteReadyForPower_BL],"&lt;"&amp;Table_SiteMilestoneTrackingSummary[[#This Row],[EndDate]:[EndDate]]+1)</f>
        <v>0</v>
      </c>
      <c r="AZ36" s="100">
        <f>AZ35+Table_SiteMilestoneTrackingSummary[[#This Row],[c3_CivilWorksCostBL]]</f>
        <v>150000</v>
      </c>
      <c r="BA36" s="96">
        <f>SUMIFS(Table_SiteMilestoneTracking[c3_CivilWorksCostAC],
Table_SiteMilestoneTracking[SiteReadyForPower_AC],"&gt;="&amp;Table_SiteMilestoneTrackingSummary[[#This Row],[StartDate]:[StartDate]],
Table_SiteMilestoneTracking[SiteReadyForPower_AC],"&lt;"&amp;Table_SiteMilestoneTrackingSummary[[#This Row],[EndDate]:[EndDate]]+1)</f>
        <v>0</v>
      </c>
      <c r="BB36" s="100">
        <f>BB35+Table_SiteMilestoneTrackingSummary[[#This Row],[c3_CivilWorksCostAC]]</f>
        <v>112350</v>
      </c>
      <c r="BC36" s="96">
        <f>COUNTIFS(Table_SiteMilestoneTracking[SiteReadyForPower_BL],"&gt;="&amp;Table_SiteMilestoneTrackingSummary[[#This Row],[StartDate]:[StartDate]],
Table_SiteMilestoneTracking[SiteReadyForPower_BL],"&lt;"&amp;Table_SiteMilestoneTrackingSummary[[#This Row],[EndDate]:[EndDate]]+1)</f>
        <v>0</v>
      </c>
      <c r="BD36" s="100">
        <f>BD35+Table_SiteMilestoneTrackingSummary[[#This Row],[ReadyForPower_BL]]</f>
        <v>100</v>
      </c>
      <c r="BE36" s="96">
        <f>COUNTIFS(Table_SiteMilestoneTracking[SiteReadyForPower_AC],"&gt;="&amp;Table_SiteMilestoneTrackingSummary[[#This Row],[StartDate]:[StartDate]],
Table_SiteMilestoneTracking[SiteReadyForPower_AC],"&lt;"&amp;Table_SiteMilestoneTrackingSummary[[#This Row],[EndDate]:[EndDate]]+1)</f>
        <v>0</v>
      </c>
      <c r="BF36" s="100">
        <f>BF35+Table_SiteMilestoneTrackingSummary[[#This Row],[ReadyForPower_AC]]</f>
        <v>70</v>
      </c>
      <c r="BG36" s="100">
        <f>$BG$2*Table_SiteMilestoneTrackingSummary[[#This Row],[TXReady_AC]]</f>
        <v>500</v>
      </c>
      <c r="BH36" s="100">
        <f>BH35+Table_SiteMilestoneTrackingSummary[[#This Row],[c4_PowerInstallEV]]</f>
        <v>30000</v>
      </c>
      <c r="BI36" s="96">
        <f>SUMIFS(Table_SiteMilestoneTracking[c4_PowerInstallCostBL],
Table_SiteMilestoneTracking[TXReady_BL],"&gt;="&amp;Table_SiteMilestoneTrackingSummary[[#This Row],[StartDate]:[StartDate]],
Table_SiteMilestoneTracking[TXReady_BL],"&lt;"&amp;Table_SiteMilestoneTrackingSummary[[#This Row],[EndDate]:[EndDate]]+1)</f>
        <v>7000</v>
      </c>
      <c r="BJ36" s="100">
        <f>BJ35+Table_SiteMilestoneTrackingSummary[[#This Row],[c4_PowerInstallCostBL]]</f>
        <v>50000</v>
      </c>
      <c r="BK36" s="96">
        <f>SUMIFS(Table_SiteMilestoneTracking[c4_PowerInstallCostAC],
Table_SiteMilestoneTracking[TXReady_AC],"&gt;="&amp;Table_SiteMilestoneTrackingSummary[[#This Row],[StartDate]:[StartDate]],
Table_SiteMilestoneTracking[TXReady_AC],"&lt;"&amp;Table_SiteMilestoneTrackingSummary[[#This Row],[EndDate]:[EndDate]]+1)</f>
        <v>250</v>
      </c>
      <c r="BL36" s="100">
        <f>BL35+Table_SiteMilestoneTrackingSummary[[#This Row],[c4_PowerInstallCostAC]]</f>
        <v>28050</v>
      </c>
      <c r="BM36" s="96">
        <f>COUNTIFS(Table_SiteMilestoneTracking[TXReady_BL],"&gt;="&amp;Table_SiteMilestoneTrackingSummary[[#This Row],[StartDate]:[StartDate]],
Table_SiteMilestoneTracking[TXReady_BL],"&lt;"&amp;Table_SiteMilestoneTrackingSummary[[#This Row],[EndDate]:[EndDate]]+1)</f>
        <v>14</v>
      </c>
      <c r="BN36" s="100">
        <f>BN35+Table_SiteMilestoneTrackingSummary[[#This Row],[TXReady_BL]]</f>
        <v>100</v>
      </c>
      <c r="BO36" s="100">
        <f>COUNTIFS(Table_SiteMilestoneTracking[TXReady_AC],"&gt;="&amp;Table_SiteMilestoneTrackingSummary[[#This Row],[StartDate]:[StartDate]],Table_SiteMilestoneTracking[TXReady_AC],"&lt;"&amp;Table_SiteMilestoneTrackingSummary[[#This Row],[EndDate]:[EndDate]]+1)</f>
        <v>1</v>
      </c>
      <c r="BP36" s="100">
        <f>BP35+Table_SiteMilestoneTrackingSummary[[#This Row],[TXReady_AC]]</f>
        <v>60</v>
      </c>
      <c r="BQ36" s="100">
        <f>$BQ$2*Table_SiteMilestoneTrackingSummary[[#This Row],[ReadyForInstallation_AC]]</f>
        <v>1000</v>
      </c>
      <c r="BR36" s="100">
        <f>BR35+Table_SiteMilestoneTrackingSummary[[#This Row],[c5_TxIntegrationEV]]</f>
        <v>25500</v>
      </c>
      <c r="BS36" s="96">
        <f>SUMIFS(Table_SiteMilestoneTracking[c5_TxintegrationCostBL],
Table_SiteMilestoneTracking[SiteReadyForInstallation_BL],"&gt;="&amp;Table_SiteMilestoneTrackingSummary[[#This Row],[StartDate]:[StartDate]],
Table_SiteMilestoneTracking[SiteReadyForInstallation_BL],"&lt;"&amp;Table_SiteMilestoneTrackingSummary[[#This Row],[EndDate]:[EndDate]]+1)</f>
        <v>9500</v>
      </c>
      <c r="BT36" s="100">
        <f>BT35+Table_SiteMilestoneTrackingSummary[[#This Row],[c5_TxIntegrationCostBL]]</f>
        <v>43000</v>
      </c>
      <c r="BU36" s="96">
        <f>SUMIFS(Table_SiteMilestoneTracking[c5_TxintegrationCostAC],
Table_SiteMilestoneTracking[SiteReadyForInstallation_AC],"&gt;="&amp;Table_SiteMilestoneTrackingSummary[[#This Row],[StartDate]:[StartDate]],
Table_SiteMilestoneTracking[SiteReadyForInstallation_AC],"&lt;"&amp;Table_SiteMilestoneTrackingSummary[[#This Row],[EndDate]:[EndDate]]+1)</f>
        <v>1150</v>
      </c>
      <c r="BV36" s="100">
        <f>BV35+Table_SiteMilestoneTrackingSummary[[#This Row],[c5_TxIntegrationCostAC]]</f>
        <v>24850</v>
      </c>
      <c r="BW36" s="96">
        <f>COUNTIFS(Table_SiteMilestoneTracking[SiteReadyForInstallation_BL],"&gt;="&amp;Table_SiteMilestoneTrackingSummary[[#This Row],[StartDate]:[StartDate]],
Table_SiteMilestoneTracking[SiteReadyForInstallation_BL],"&lt;"&amp;Table_SiteMilestoneTrackingSummary[[#This Row],[EndDate]:[EndDate]]+1)</f>
        <v>19</v>
      </c>
      <c r="BX36" s="100">
        <f>BX35+Table_SiteMilestoneTrackingSummary[[#This Row],[ReadyForInstallation_BL]]</f>
        <v>86</v>
      </c>
      <c r="BY36" s="96">
        <f>COUNTIFS(Table_SiteMilestoneTracking[SiteReadyForInstallation_AC],"&gt;="&amp;Table_SiteMilestoneTrackingSummary[[#This Row],[StartDate]:[StartDate]],
Table_SiteMilestoneTracking[SiteReadyForInstallation_AC],"&lt;"&amp;Table_SiteMilestoneTrackingSummary[[#This Row],[EndDate]:[EndDate]]+1)</f>
        <v>2</v>
      </c>
      <c r="BZ36" s="100">
        <f>BZ35+Table_SiteMilestoneTrackingSummary[[#This Row],[ReadyForInstallation_AC]]</f>
        <v>51</v>
      </c>
      <c r="CA36" s="100">
        <f>$CA$2*Table_SiteMilestoneTrackingSummary[[#This Row],[ReadyForIntegration_AC]]</f>
        <v>5000</v>
      </c>
      <c r="CB36" s="100">
        <f>CB35+Table_SiteMilestoneTrackingSummary[[#This Row],[c6_InstallationEV]]</f>
        <v>100000</v>
      </c>
      <c r="CC36" s="96">
        <f>SUMIFS(Table_SiteMilestoneTracking[c6_InstallationCostBL],
Table_SiteMilestoneTracking[SiteReadyForIntegration_BL],"&gt;="&amp;Table_SiteMilestoneTrackingSummary[[#This Row],[StartDate]:[StartDate]],
Table_SiteMilestoneTracking[SiteReadyForIntegration_BL],"&lt;"&amp;Table_SiteMilestoneTrackingSummary[[#This Row],[EndDate]:[EndDate]]+1)</f>
        <v>47500</v>
      </c>
      <c r="CD36" s="100">
        <f>CD35+Table_SiteMilestoneTrackingSummary[[#This Row],[c6_InstallationCostBL]]</f>
        <v>215000</v>
      </c>
      <c r="CE36" s="96">
        <f>SUMIFS(Table_SiteMilestoneTracking[c6_InstallationCostAC],
Table_SiteMilestoneTracking[SiteReadyForIntegration_AC],"&gt;="&amp;Table_SiteMilestoneTrackingSummary[[#This Row],[StartDate]:[StartDate]],
Table_SiteMilestoneTracking[SiteReadyForIntegration_AC],"&lt;"&amp;Table_SiteMilestoneTrackingSummary[[#This Row],[EndDate]:[EndDate]]+1)</f>
        <v>4400.0000000000009</v>
      </c>
      <c r="CF36" s="100">
        <f>CF35+Table_SiteMilestoneTrackingSummary[[#This Row],[c6_InstallationCostAC]]</f>
        <v>87600</v>
      </c>
      <c r="CG36" s="96">
        <f>COUNTIFS(Table_SiteMilestoneTracking[SiteReadyForIntegration_BL],"&gt;="&amp;Table_SiteMilestoneTrackingSummary[[#This Row],[StartDate]:[StartDate]],
Table_SiteMilestoneTracking[SiteReadyForIntegration_BL],"&lt;"&amp;Table_SiteMilestoneTrackingSummary[[#This Row],[EndDate]:[EndDate]]+1)</f>
        <v>19</v>
      </c>
      <c r="CH36" s="100">
        <f>CH35+Table_SiteMilestoneTrackingSummary[[#This Row],[ReadyForIntegration_BL]]</f>
        <v>86</v>
      </c>
      <c r="CI36" s="96">
        <f>COUNTIFS(Table_SiteMilestoneTracking[SiteReadyForIntegration_AC],"&gt;="&amp;Table_SiteMilestoneTrackingSummary[[#This Row],[StartDate]:[StartDate]],
Table_SiteMilestoneTracking[SiteReadyForIntegration_AC],"&lt;"&amp;Table_SiteMilestoneTrackingSummary[[#This Row],[EndDate]:[EndDate]]+1)</f>
        <v>2</v>
      </c>
      <c r="CJ36" s="100">
        <f>CJ35+Table_SiteMilestoneTrackingSummary[[#This Row],[ReadyForIntegration_AC]]</f>
        <v>40</v>
      </c>
      <c r="CK36" s="100">
        <f>$CK$2*Table_SiteMilestoneTrackingSummary[[#This Row],[SiteOnAir_AC]]</f>
        <v>1000</v>
      </c>
      <c r="CL36" s="100">
        <f>CL35+Table_SiteMilestoneTrackingSummary[[#This Row],[c7_IntegrationEV]]</f>
        <v>15000</v>
      </c>
      <c r="CM36" s="96">
        <f>SUMIFS(Table_SiteMilestoneTracking[c7_IntegrationCostBL],
Table_SiteMilestoneTracking[SiteOnAir_BL],"&gt;="&amp;Table_SiteMilestoneTrackingSummary[[#This Row],[StartDate]:[StartDate]],
Table_SiteMilestoneTracking[SiteOnAir_BL],"&lt;"&amp;Table_SiteMilestoneTrackingSummary[[#This Row],[EndDate]:[EndDate]]+1)</f>
        <v>14500</v>
      </c>
      <c r="CN36" s="100">
        <f>CN35+Table_SiteMilestoneTrackingSummary[[#This Row],[c7_IntegrationCostBL]]</f>
        <v>33500</v>
      </c>
      <c r="CO36" s="96">
        <f>SUMIFS(Table_SiteMilestoneTracking[c7_IntegrationCostAC],
Table_SiteMilestoneTracking[SiteOnAir_AC],"&gt;="&amp;Table_SiteMilestoneTrackingSummary[[#This Row],[StartDate]:[StartDate]],
Table_SiteMilestoneTracking[SiteOnAir_AC],"&lt;"&amp;Table_SiteMilestoneTrackingSummary[[#This Row],[EndDate]:[EndDate]]+1)</f>
        <v>930</v>
      </c>
      <c r="CP36" s="100">
        <f>CP35+Table_SiteMilestoneTrackingSummary[[#This Row],[c7_IntegrationCostAC]]</f>
        <v>14150</v>
      </c>
      <c r="CQ36" s="96">
        <f>COUNTIFS(Table_SiteMilestoneTracking[SiteOnAir_BL],"&gt;="&amp;Table_SiteMilestoneTrackingSummary[[#This Row],[StartDate]:[StartDate]],
Table_SiteMilestoneTracking[SiteOnAir_BL],"&lt;"&amp;Table_SiteMilestoneTrackingSummary[[#This Row],[EndDate]:[EndDate]]+1)</f>
        <v>29</v>
      </c>
      <c r="CR36" s="100">
        <f>CR35+Table_SiteMilestoneTrackingSummary[[#This Row],[SiteOnAir_BL]]</f>
        <v>67</v>
      </c>
      <c r="CS36" s="96">
        <f>COUNTIFS(Table_SiteMilestoneTracking[SiteOnAir_AC],"&gt;="&amp;Table_SiteMilestoneTrackingSummary[[#This Row],[StartDate]:[StartDate]],
Table_SiteMilestoneTracking[SiteOnAir_AC],"&lt;"&amp;Table_SiteMilestoneTrackingSummary[[#This Row],[EndDate]:[EndDate]]+1)</f>
        <v>2</v>
      </c>
      <c r="CT36" s="100">
        <f>CT35+Table_SiteMilestoneTrackingSummary[[#This Row],[SiteOnAir_AC]]</f>
        <v>30</v>
      </c>
      <c r="CU36" s="100">
        <f>$CU$2*Table_SiteMilestoneTrackingSummary[[#This Row],[SiteAccepted_AC]]</f>
        <v>250</v>
      </c>
      <c r="CV36" s="100">
        <f>CV35+Table_SiteMilestoneTrackingSummary[[#This Row],[c8_AcceptanceEV]]</f>
        <v>5000</v>
      </c>
      <c r="CW36" s="96">
        <f>SUMIFS(Table_SiteMilestoneTracking[c8_AcceptanceCostBL],
Table_SiteMilestoneTracking[SiteAccepted_BL],"&gt;="&amp;Table_SiteMilestoneTrackingSummary[[#This Row],[StartDate]:[StartDate]],
Table_SiteMilestoneTracking[SiteAccepted_BL],"&lt;"&amp;Table_SiteMilestoneTrackingSummary[[#This Row],[EndDate]:[EndDate]]+1)</f>
        <v>3250</v>
      </c>
      <c r="CX36" s="100">
        <f>CX35+Table_SiteMilestoneTrackingSummary[[#This Row],[c8_AcceptanceCostBL]]</f>
        <v>12750</v>
      </c>
      <c r="CY36" s="96">
        <f>SUMIFS(Table_SiteMilestoneTracking[c8_AcceptanceCostAC],
Table_SiteMilestoneTracking[SiteAccepted_AC],"&gt;="&amp;Table_SiteMilestoneTrackingSummary[[#This Row],[StartDate]:[StartDate]],
Table_SiteMilestoneTracking[SiteAccepted_AC],"&lt;"&amp;Table_SiteMilestoneTrackingSummary[[#This Row],[EndDate]:[EndDate]]+1)</f>
        <v>250</v>
      </c>
      <c r="CZ36" s="100">
        <f>CZ35+Table_SiteMilestoneTrackingSummary[[#This Row],[c8_AcceptanceCostAC]]</f>
        <v>5000</v>
      </c>
      <c r="DA36" s="96">
        <f>COUNTIFS(Table_SiteMilestoneTracking[SiteAccepted_BL],"&gt;="&amp;Table_SiteMilestoneTrackingSummary[[#This Row],[StartDate]:[StartDate]],
Table_SiteMilestoneTracking[SiteAccepted_BL],"&lt;"&amp;Table_SiteMilestoneTrackingSummary[[#This Row],[EndDate]:[EndDate]]+1)</f>
        <v>13</v>
      </c>
      <c r="DB36" s="100">
        <f>DB35+Table_SiteMilestoneTrackingSummary[[#This Row],[SiteAccepted_BL]]</f>
        <v>51</v>
      </c>
      <c r="DC36" s="96">
        <f>COUNTIFS(Table_SiteMilestoneTracking[SiteAccepted_AC],"&gt;="&amp;Table_SiteMilestoneTrackingSummary[[#This Row],[StartDate]:[StartDate]],
Table_SiteMilestoneTracking[SiteAccepted_AC],"&lt;"&amp;Table_SiteMilestoneTrackingSummary[[#This Row],[EndDate]:[EndDate]]+1)</f>
        <v>1</v>
      </c>
      <c r="DD36" s="100">
        <f>DD35+Table_SiteMilestoneTrackingSummary[[#This Row],[SiteAccepted_AC]]</f>
        <v>20</v>
      </c>
      <c r="DE36" s="100">
        <f>$DE$2*Table_SiteMilestoneTrackingSummary[[#This Row],[SiteInOperations_AC]]</f>
        <v>400</v>
      </c>
      <c r="DF36" s="100">
        <f>DF35+Table_SiteMilestoneTrackingSummary[[#This Row],[c9_HandoverEV]]</f>
        <v>1800</v>
      </c>
      <c r="DG36" s="96">
        <f>SUMIFS(Table_SiteMilestoneTracking[c9_HandoverCostBL],
Table_SiteMilestoneTracking[SiteInOperations_BL],"&gt;="&amp;Table_SiteMilestoneTrackingSummary[[#This Row],[StartDate]:[StartDate]],
Table_SiteMilestoneTracking[SiteInOperations_BL],"&lt;"&amp;Table_SiteMilestoneTrackingSummary[[#This Row],[EndDate]:[EndDate]]+1)</f>
        <v>2400</v>
      </c>
      <c r="DH36" s="100">
        <f>DH35+Table_SiteMilestoneTrackingSummary[[#This Row],[c9_HandoverCostBL2]]</f>
        <v>7600</v>
      </c>
      <c r="DI36" s="96">
        <f>SUMIFS(Table_SiteMilestoneTracking[c9_HandoverCostAC],
Table_SiteMilestoneTracking[SiteInOperations_AC],"&gt;="&amp;Table_SiteMilestoneTrackingSummary[[#This Row],[StartDate]:[StartDate]],
Table_SiteMilestoneTracking[SiteInOperations_AC],"&lt;"&amp;Table_SiteMilestoneTrackingSummary[[#This Row],[EndDate]:[EndDate]]+1)</f>
        <v>400</v>
      </c>
      <c r="DJ36" s="100">
        <f>DJ35+Table_SiteMilestoneTrackingSummary[[#This Row],[c9_HandoverCostAC]]</f>
        <v>1800</v>
      </c>
      <c r="DK36" s="96">
        <f>COUNTIFS(Table_SiteMilestoneTracking[SiteInOperations_BL],"&gt;="&amp;Table_SiteMilestoneTrackingSummary[[#This Row],[StartDate]:[StartDate]],
Table_SiteMilestoneTracking[SiteInOperations_BL],"&lt;"&amp;Table_SiteMilestoneTrackingSummary[[#This Row],[EndDate]:[EndDate]]+1)</f>
        <v>12</v>
      </c>
      <c r="DL36" s="100">
        <f>DL35+Table_SiteMilestoneTrackingSummary[[#This Row],[SiteInOperations_BL]]</f>
        <v>38</v>
      </c>
      <c r="DM36" s="96">
        <f>COUNTIFS(Table_SiteMilestoneTracking[SiteInOperations_AC],"&gt;="&amp;Table_SiteMilestoneTrackingSummary[[#This Row],[StartDate]:[StartDate]],
Table_SiteMilestoneTracking[SiteInOperations_AC],"&lt;"&amp;Table_SiteMilestoneTrackingSummary[[#This Row],[EndDate]:[EndDate]]+1)</f>
        <v>2</v>
      </c>
      <c r="DN36" s="100">
        <f>DN35+Table_SiteMilestoneTrackingSummary[[#This Row],[SiteInOperations_AC]]</f>
        <v>9</v>
      </c>
      <c r="DO36" s="59">
        <f>Table_SiteMilestoneTrackingSummary[[#This Row],[c0_SiteDesignEV(SUM)]]+Table_SiteMilestoneTrackingSummary[[#This Row],[c1_SiteSurveyEV(SUM)]]+Table_SiteMilestoneTrackingSummary[[#This Row],[c2_SiteAcquisitionEV(SUM)]]+Table_SiteMilestoneTrackingSummary[[#This Row],[c2a_SiteCWReadinessEV(SUM)]]+Table_SiteMilestoneTrackingSummary[[#This Row],[c3_CivilWorksEV(SUM)]]+Table_SiteMilestoneTrackingSummary[[#This Row],[c4_PowerInstallEV(SUM)]]+Table_SiteMilestoneTrackingSummary[[#This Row],[c5_TxIntegrationEV(SUM)]]+Table_SiteMilestoneTrackingSummary[[#This Row],[c6_InstallationEV(SUM)]]+Table_SiteMilestoneTrackingSummary[[#This Row],[c7_IntegrationEV(SUM)]]+Table_SiteMilestoneTrackingSummary[[#This Row],[c8_AcceptanceEV(SUM)]]+Table_SiteMilestoneTrackingSummary[[#This Row],[c9_HandoverEV(SUM)]]</f>
        <v>429700</v>
      </c>
      <c r="DP36" s="59">
        <f>Table_SiteMilestoneTrackingSummary[[#This Row],[c0_SiteDesignCostBL(SUM)]]+Table_SiteMilestoneTrackingSummary[[#This Row],[c1_SiteSurveyCostBL(SUM)]]+Table_SiteMilestoneTrackingSummary[[#This Row],[c2_SiteAcquisitionCostBL(SUM)]]+Table_SiteMilestoneTrackingSummary[[#This Row],[c2a_SiteCWReadinessCostBL(SUM)]]+Table_SiteMilestoneTrackingSummary[[#This Row],[c3_CivilWorksCostBL(SUM)]]+Table_SiteMilestoneTrackingSummary[[#This Row],[c4_PowerInstallCostBL(SUM)]]+Table_SiteMilestoneTrackingSummary[[#This Row],[c5_TxIntegrationCostBL(SUM)]]+Table_SiteMilestoneTrackingSummary[[#This Row],[c6_InstallationCostBL(SUM)]]+Table_SiteMilestoneTrackingSummary[[#This Row],[c7_IntegrationCostBL(SUM)]]+Table_SiteMilestoneTrackingSummary[[#This Row],[c8_AcceptanceCostBL(SUM)]]+Table_SiteMilestoneTrackingSummary[[#This Row],[c9_HandoverCostBL(SUM)]]</f>
        <v>686850</v>
      </c>
      <c r="DQ36" s="59">
        <f>Table_SiteMilestoneTrackingSummary[[#This Row],[c0_SiteDesignCostAC(SUM)]]+Table_SiteMilestoneTrackingSummary[[#This Row],[c1_SiteSurveyCostAC(SUM)]]+Table_SiteMilestoneTrackingSummary[[#This Row],[c2_SiteAcquisitionCostAC(SUM)]]+Table_SiteMilestoneTrackingSummary[[#This Row],[c2a_SiteCWReadinessCostAC(SUM)]]+Table_SiteMilestoneTrackingSummary[[#This Row],[c3_CivilWorksCostAC(SUM)]]+Table_SiteMilestoneTrackingSummary[[#This Row],[c4_PowerInstallCostAC(SUM)]]+Table_SiteMilestoneTrackingSummary[[#This Row],[c5_TxIntegrationCostAC(SUM)]]+Table_SiteMilestoneTrackingSummary[[#This Row],[c6_InstallationCostAC(SUM)]]+Table_SiteMilestoneTrackingSummary[[#This Row],[c7_IntegrationCostAC(SUM)]]+Table_SiteMilestoneTrackingSummary[[#This Row],[c8_AcceptanceCostAC(SUM)]]+Table_SiteMilestoneTrackingSummary[[#This Row],[c9_HandoverCostAC(SUM)]]</f>
        <v>433625</v>
      </c>
      <c r="DR36" s="59">
        <f>Table_SiteMilestoneTrackingSummary[[#This Row],[AccumulatedEV]]-Table_SiteMilestoneTrackingSummary[[#This Row],[AccumulatedPV]]</f>
        <v>-257150</v>
      </c>
      <c r="DS36" s="59">
        <f>Table_SiteMilestoneTrackingSummary[[#This Row],[AccumulatedEV]]-Table_SiteMilestoneTrackingSummary[[#This Row],[AccumulatedAC]]</f>
        <v>-3925</v>
      </c>
      <c r="DT36" s="58">
        <f>IFERROR(Table_SiteMilestoneTrackingSummary[[#This Row],[AccumulatedEV]]/Table_SiteMilestoneTrackingSummary[[#This Row],[AccumulatedPV]],"/")</f>
        <v>0.62560966732183154</v>
      </c>
      <c r="DU36" s="101">
        <f>IFERROR(Table_SiteMilestoneTrackingSummary[[#This Row],[AccumulatedEV]]/Table_SiteMilestoneTrackingSummary[[#This Row],[AccumulatedAC]],"/")</f>
        <v>0.99094840011530705</v>
      </c>
    </row>
    <row r="37" spans="1:125" x14ac:dyDescent="0.3">
      <c r="A37" s="79">
        <v>2020</v>
      </c>
      <c r="B37" s="79">
        <v>34</v>
      </c>
      <c r="C37" s="95">
        <f>DATE(Table_SiteMilestoneTrackingSummary[[#This Row],[Year]],1,-2)-WEEKDAY(DATE(Table_SiteMilestoneTrackingSummary[[#This Row],[Year]],1,3))+Table_SiteMilestoneTrackingSummary[[#This Row],[Week]]*7</f>
        <v>44060</v>
      </c>
      <c r="D37" s="95">
        <f>Table_SiteMilestoneTrackingSummary[[#This Row],[StartDate]]+6</f>
        <v>44066</v>
      </c>
      <c r="E37" s="100">
        <f>COUNTIFS(Table_SiteMilestoneTracking[SiteDesignStarted_BL],"&gt;="&amp;Table_SiteMilestoneTrackingSummary[[#This Row],[StartDate]:[StartDate]],Table_SiteMilestoneTracking[SiteDesignStarted_BL],"&lt;"&amp;Table_SiteMilestoneTrackingSummary[[#This Row],[EndDate]:[EndDate]]+1)</f>
        <v>0</v>
      </c>
      <c r="F37" s="100">
        <f>F36+Table_SiteMilestoneTrackingSummary[[#This Row],[SiteDesignStarted_BL]]</f>
        <v>100</v>
      </c>
      <c r="G37" s="100">
        <f>COUNTIFS(Table_SiteMilestoneTracking[SiteDesignStarted_AC],"&gt;="&amp;Table_SiteMilestoneTrackingSummary[[#This Row],[StartDate]:[StartDate]],Table_SiteMilestoneTracking[SiteDesignStarted_AC],"&lt;"&amp;Table_SiteMilestoneTrackingSummary[[#This Row],[EndDate]:[EndDate]]+1)</f>
        <v>0</v>
      </c>
      <c r="H37" s="100">
        <f>H36+Table_SiteMilestoneTrackingSummary[[#This Row],[SiteDesignStarted_AC]]</f>
        <v>96</v>
      </c>
      <c r="I37" s="100">
        <f>Table_SiteMilestoneTrackingSummary[[#This Row],[SiteDesignReady_AC]]*$I$2</f>
        <v>0</v>
      </c>
      <c r="J37" s="100">
        <f>J36+Table_SiteMilestoneTrackingSummary[[#This Row],[c0_SiteDesignEV]]</f>
        <v>45000</v>
      </c>
      <c r="K37" s="97">
        <f>SUMIFS(Table_SiteMilestoneTracking[c0_SiteDesignCostBL],
Table_SiteMilestoneTracking[SiteDesignReady_BL],"&gt;="&amp;Table_SiteMilestoneTrackingSummary[[#This Row],[StartDate]:[StartDate]],
Table_SiteMilestoneTracking[SiteDesignReady_BL],"&lt;"&amp;Table_SiteMilestoneTrackingSummary[[#This Row],[EndDate]:[EndDate]]+1)</f>
        <v>0</v>
      </c>
      <c r="L37" s="59">
        <f>L36+Table_SiteMilestoneTrackingSummary[[#This Row],[c0_SiteDesignCostBL]]</f>
        <v>50000</v>
      </c>
      <c r="M37" s="97">
        <f>SUMIFS(Table_SiteMilestoneTracking[c0_SiteDesignCostAC],
Table_SiteMilestoneTracking[SiteDesignReady_AC],"&gt;="&amp;Table_SiteMilestoneTrackingSummary[[#This Row],[StartDate]:[StartDate]],
Table_SiteMilestoneTracking[SiteDesignReady_AC],"&lt;"&amp;Table_SiteMilestoneTrackingSummary[[#This Row],[EndDate]:[EndDate]]+1)</f>
        <v>0</v>
      </c>
      <c r="N37" s="59">
        <f>N36+Table_SiteMilestoneTrackingSummary[[#This Row],[c0_SiteDesignCostAC]]</f>
        <v>43180</v>
      </c>
      <c r="O37" s="96">
        <f>COUNTIFS(Table_SiteMilestoneTracking[SiteDesignReady_BL],"&gt;="&amp;Table_SiteMilestoneTrackingSummary[[#This Row],[StartDate]:[StartDate]],
Table_SiteMilestoneTracking[SiteDesignReady_BL],"&lt;"&amp;Table_SiteMilestoneTrackingSummary[[#This Row],[EndDate]:[EndDate]]+1)</f>
        <v>0</v>
      </c>
      <c r="P37" s="100">
        <f>P36+Table_SiteMilestoneTrackingSummary[[#This Row],[SiteDesignReady_BL]]</f>
        <v>100</v>
      </c>
      <c r="Q37" s="100">
        <f>COUNTIFS(Table_SiteMilestoneTracking[SiteDesignReady_AC],"&gt;="&amp;Table_SiteMilestoneTrackingSummary[[#This Row],[StartDate]:[StartDate]],Table_SiteMilestoneTracking[SiteDesignReady_AC],"&lt;"&amp;Table_SiteMilestoneTrackingSummary[[#This Row],[EndDate]:[EndDate]]+1)</f>
        <v>0</v>
      </c>
      <c r="R37" s="100">
        <f>R36+Table_SiteMilestoneTrackingSummary[[#This Row],[SiteDesignReady_AC]]</f>
        <v>90</v>
      </c>
      <c r="S37" s="100">
        <f>Table_SiteMilestoneTrackingSummary[[#This Row],[ReadyForCW_AC]]*$S$2</f>
        <v>0</v>
      </c>
      <c r="T37" s="100">
        <f>T36+Table_SiteMilestoneTrackingSummary[[#This Row],[c1_SiteSurveyEV]]</f>
        <v>40000</v>
      </c>
      <c r="U37" s="96">
        <f>SUMIFS(Table_SiteMilestoneTracking[c1_SiteSurveyCostBL],
Table_SiteMilestoneTracking[SiteSurveyCompleted_BL],"&gt;="&amp;Table_SiteMilestoneTrackingSummary[[#This Row],[StartDate]:[StartDate]],
Table_SiteMilestoneTracking[SiteSurveyCompleted_BL],"&lt;"&amp;Table_SiteMilestoneTrackingSummary[[#This Row],[EndDate]:[EndDate]]+1)</f>
        <v>0</v>
      </c>
      <c r="V37" s="100">
        <f>V36+Table_SiteMilestoneTrackingSummary[[#This Row],[c1_SiteSurveyCostBL]]</f>
        <v>50000</v>
      </c>
      <c r="W37" s="96">
        <f>SUMIFS(Table_SiteMilestoneTracking[c1_SiteSurveyCostAC],
Table_SiteMilestoneTracking[SiteSurveyCompleted_AC],"&gt;="&amp;Table_SiteMilestoneTrackingSummary[[#This Row],[StartDate]:[StartDate]],
Table_SiteMilestoneTracking[SiteSurveyCompleted_AC],"&lt;"&amp;Table_SiteMilestoneTrackingSummary[[#This Row],[EndDate]:[EndDate]]+1)</f>
        <v>0</v>
      </c>
      <c r="X37" s="100">
        <f>X36+Table_SiteMilestoneTrackingSummary[[#This Row],[c1_SiteSurveyCostAC]]</f>
        <v>51800</v>
      </c>
      <c r="Y37" s="96">
        <f>COUNTIFS(Table_SiteMilestoneTracking[SiteSurveyCompleted_BL],"&gt;="&amp;Table_SiteMilestoneTrackingSummary[[#This Row],[StartDate]:[StartDate]],
Table_SiteMilestoneTracking[SiteSurveyCompleted_BL],"&lt;"&amp;Table_SiteMilestoneTrackingSummary[[#This Row],[EndDate]:[EndDate]]+1)</f>
        <v>0</v>
      </c>
      <c r="Z37" s="100">
        <f>Z36+Table_SiteMilestoneTrackingSummary[[#This Row],[SiteSurveyCompleted_BL]]</f>
        <v>100</v>
      </c>
      <c r="AA37" s="96">
        <f>COUNTIFS(Table_SiteMilestoneTracking[SiteSurveyCompleted_AC],"&gt;="&amp;Table_SiteMilestoneTrackingSummary[[#This Row],[StartDate]:[StartDate]],
Table_SiteMilestoneTracking[SiteSurveyCompleted_AC],"&lt;"&amp;Table_SiteMilestoneTrackingSummary[[#This Row],[EndDate]:[EndDate]]+1)</f>
        <v>0</v>
      </c>
      <c r="AB37" s="100">
        <f>AB36+Table_SiteMilestoneTrackingSummary[[#This Row],[SiteSurveyCompleted_AC]]</f>
        <v>86</v>
      </c>
      <c r="AC37" s="100">
        <f>$AC$2*Table_SiteMilestoneTrackingSummary[[#This Row],[SiteAcquired_AC]]</f>
        <v>0</v>
      </c>
      <c r="AD37" s="100">
        <f>AD36+Table_SiteMilestoneTrackingSummary[[#This Row],[c2_SiteAcquisitionEV]]</f>
        <v>50400</v>
      </c>
      <c r="AE37" s="96">
        <f>SUMIFS(Table_SiteMilestoneTracking[c2_SiteAcquisitionCostBL],
Table_SiteMilestoneTracking[SiteAcquired_BL],"&gt;="&amp;Table_SiteMilestoneTrackingSummary[[#This Row],[StartDate]:[StartDate]],
Table_SiteMilestoneTracking[SiteAcquired_BL],"&lt;"&amp;Table_SiteMilestoneTrackingSummary[[#This Row],[EndDate]:[EndDate]]+1)</f>
        <v>0</v>
      </c>
      <c r="AF37" s="100">
        <f>AF36+Table_SiteMilestoneTrackingSummary[[#This Row],[c2_SiteAcquisitionCostBL]]</f>
        <v>60000</v>
      </c>
      <c r="AG37" s="96">
        <f>SUMIFS(Table_SiteMilestoneTracking[c2_SiteAcquisitionCostAC],
Table_SiteMilestoneTracking[SiteAcquired_AC],"&gt;="&amp;Table_SiteMilestoneTrackingSummary[[#This Row],[StartDate]:[StartDate]],
Table_SiteMilestoneTracking[SiteAcquired_AC],"&lt;"&amp;Table_SiteMilestoneTrackingSummary[[#This Row],[EndDate]:[EndDate]]+1)</f>
        <v>0</v>
      </c>
      <c r="AH37" s="100">
        <f>AH36+Table_SiteMilestoneTrackingSummary[[#This Row],[c2_SiteAcquisitionCostAC]]</f>
        <v>52800</v>
      </c>
      <c r="AI37" s="96">
        <f>COUNTIFS(Table_SiteMilestoneTracking[SiteAcquired_BL],"&gt;="&amp;Table_SiteMilestoneTrackingSummary[[#This Row],[StartDate]:[StartDate]],
Table_SiteMilestoneTracking[SiteAcquired_BL],"&lt;"&amp;Table_SiteMilestoneTrackingSummary[[#This Row],[EndDate]:[EndDate]]+1)</f>
        <v>0</v>
      </c>
      <c r="AJ37" s="100">
        <f>AJ36+Table_SiteMilestoneTrackingSummary[[#This Row],[SiteAcquired_BL]]</f>
        <v>100</v>
      </c>
      <c r="AK37" s="96">
        <f>COUNTIFS(Table_SiteMilestoneTracking[SiteAcquired_AC],"&gt;="&amp;Table_SiteMilestoneTrackingSummary[[#This Row],[StartDate]:[StartDate]],
Table_SiteMilestoneTracking[SiteAcquired_AC],"&lt;"&amp;Table_SiteMilestoneTrackingSummary[[#This Row],[EndDate]:[EndDate]]+1)</f>
        <v>0</v>
      </c>
      <c r="AL37" s="100">
        <f>AL36+Table_SiteMilestoneTrackingSummary[[#This Row],[SiteAcquired_AC]]</f>
        <v>84</v>
      </c>
      <c r="AM37" s="100">
        <f>Table_SiteMilestoneTrackingSummary[[#This Row],[ReadyForCW_AC]]*$AM$2</f>
        <v>0</v>
      </c>
      <c r="AN37" s="100">
        <f>AN36+Table_SiteMilestoneTrackingSummary[[#This Row],[c2a_SiteCWReadinessEV]]</f>
        <v>12000</v>
      </c>
      <c r="AO37" s="96">
        <f>SUMIFS(Table_SiteMilestoneTracking[c2a_SiteCWReadinessCost_BL],
Table_SiteMilestoneTracking[SiteReadyForCW_BL],"&gt;="&amp;Table_SiteMilestoneTrackingSummary[[#This Row],[StartDate]:[StartDate]],
Table_SiteMilestoneTracking[SiteReadyForCW_BL],"&lt;"&amp;Table_SiteMilestoneTrackingSummary[[#This Row],[EndDate]:[EndDate]]+1)</f>
        <v>0</v>
      </c>
      <c r="AP37" s="100">
        <f>AP36+Table_SiteMilestoneTrackingSummary[[#This Row],[c2a_SiteCWReadinessCostBL]]</f>
        <v>15000</v>
      </c>
      <c r="AQ37" s="96">
        <f>SUMIFS(Table_SiteMilestoneTracking[c2a_SiteCWReadinessCost_AC],
Table_SiteMilestoneTracking[SiteReadyForCW_AC],"&gt;="&amp;Table_SiteMilestoneTrackingSummary[[#This Row],[StartDate]:[StartDate]],
Table_SiteMilestoneTracking[SiteReadyForCW_AC],"&lt;"&amp;Table_SiteMilestoneTrackingSummary[[#This Row],[EndDate]:[EndDate]]+1)</f>
        <v>0</v>
      </c>
      <c r="AR37" s="100">
        <f>AR36+Table_SiteMilestoneTrackingSummary[[#This Row],[c2a_SiteCWReadinessCostAC]]</f>
        <v>12045</v>
      </c>
      <c r="AS37" s="96">
        <f>COUNTIFS(Table_SiteMilestoneTracking[SiteReadyForCW_BL],"&gt;="&amp;Table_SiteMilestoneTrackingSummary[[#This Row],[StartDate]:[StartDate]],
Table_SiteMilestoneTracking[SiteReadyForCW_BL],"&lt;"&amp;Table_SiteMilestoneTrackingSummary[[#This Row],[EndDate]:[EndDate]]+1)</f>
        <v>0</v>
      </c>
      <c r="AT37" s="100">
        <f>AT36+Table_SiteMilestoneTrackingSummary[[#This Row],[ReadyForCW_BL]]</f>
        <v>100</v>
      </c>
      <c r="AU37" s="96">
        <f>COUNTIFS(Table_SiteMilestoneTracking[SiteReadyForCW_AC],"&gt;="&amp;Table_SiteMilestoneTrackingSummary[[#This Row],[StartDate]:[StartDate]],
Table_SiteMilestoneTracking[SiteReadyForCW_AC],"&lt;"&amp;Table_SiteMilestoneTrackingSummary[[#This Row],[EndDate]:[EndDate]]+1)</f>
        <v>0</v>
      </c>
      <c r="AV37" s="100">
        <f>AV36+Table_SiteMilestoneTrackingSummary[[#This Row],[ReadyForCW_AC]]</f>
        <v>80</v>
      </c>
      <c r="AW37" s="100">
        <f>$AW$2*Table_SiteMilestoneTrackingSummary[[#This Row],[ReadyForPower_AC]]</f>
        <v>0</v>
      </c>
      <c r="AX37" s="100">
        <f>AX36+Table_SiteMilestoneTrackingSummary[[#This Row],[c3_CivilWorksEV]]</f>
        <v>105000</v>
      </c>
      <c r="AY37" s="96">
        <f>SUMIFS(Table_SiteMilestoneTracking[c3_CivilWorksCostBL],
Table_SiteMilestoneTracking[SiteReadyForPower_BL],"&gt;="&amp;Table_SiteMilestoneTrackingSummary[[#This Row],[StartDate]:[StartDate]],
Table_SiteMilestoneTracking[SiteReadyForPower_BL],"&lt;"&amp;Table_SiteMilestoneTrackingSummary[[#This Row],[EndDate]:[EndDate]]+1)</f>
        <v>0</v>
      </c>
      <c r="AZ37" s="100">
        <f>AZ36+Table_SiteMilestoneTrackingSummary[[#This Row],[c3_CivilWorksCostBL]]</f>
        <v>150000</v>
      </c>
      <c r="BA37" s="96">
        <f>SUMIFS(Table_SiteMilestoneTracking[c3_CivilWorksCostAC],
Table_SiteMilestoneTracking[SiteReadyForPower_AC],"&gt;="&amp;Table_SiteMilestoneTrackingSummary[[#This Row],[StartDate]:[StartDate]],
Table_SiteMilestoneTracking[SiteReadyForPower_AC],"&lt;"&amp;Table_SiteMilestoneTrackingSummary[[#This Row],[EndDate]:[EndDate]]+1)</f>
        <v>0</v>
      </c>
      <c r="BB37" s="100">
        <f>BB36+Table_SiteMilestoneTrackingSummary[[#This Row],[c3_CivilWorksCostAC]]</f>
        <v>112350</v>
      </c>
      <c r="BC37" s="96">
        <f>COUNTIFS(Table_SiteMilestoneTracking[SiteReadyForPower_BL],"&gt;="&amp;Table_SiteMilestoneTrackingSummary[[#This Row],[StartDate]:[StartDate]],
Table_SiteMilestoneTracking[SiteReadyForPower_BL],"&lt;"&amp;Table_SiteMilestoneTrackingSummary[[#This Row],[EndDate]:[EndDate]]+1)</f>
        <v>0</v>
      </c>
      <c r="BD37" s="100">
        <f>BD36+Table_SiteMilestoneTrackingSummary[[#This Row],[ReadyForPower_BL]]</f>
        <v>100</v>
      </c>
      <c r="BE37" s="96">
        <f>COUNTIFS(Table_SiteMilestoneTracking[SiteReadyForPower_AC],"&gt;="&amp;Table_SiteMilestoneTrackingSummary[[#This Row],[StartDate]:[StartDate]],
Table_SiteMilestoneTracking[SiteReadyForPower_AC],"&lt;"&amp;Table_SiteMilestoneTrackingSummary[[#This Row],[EndDate]:[EndDate]]+1)</f>
        <v>0</v>
      </c>
      <c r="BF37" s="100">
        <f>BF36+Table_SiteMilestoneTrackingSummary[[#This Row],[ReadyForPower_AC]]</f>
        <v>70</v>
      </c>
      <c r="BG37" s="100">
        <f>$BG$2*Table_SiteMilestoneTrackingSummary[[#This Row],[TXReady_AC]]</f>
        <v>0</v>
      </c>
      <c r="BH37" s="100">
        <f>BH36+Table_SiteMilestoneTrackingSummary[[#This Row],[c4_PowerInstallEV]]</f>
        <v>30000</v>
      </c>
      <c r="BI37" s="96">
        <f>SUMIFS(Table_SiteMilestoneTracking[c4_PowerInstallCostBL],
Table_SiteMilestoneTracking[TXReady_BL],"&gt;="&amp;Table_SiteMilestoneTrackingSummary[[#This Row],[StartDate]:[StartDate]],
Table_SiteMilestoneTracking[TXReady_BL],"&lt;"&amp;Table_SiteMilestoneTrackingSummary[[#This Row],[EndDate]:[EndDate]]+1)</f>
        <v>0</v>
      </c>
      <c r="BJ37" s="100">
        <f>BJ36+Table_SiteMilestoneTrackingSummary[[#This Row],[c4_PowerInstallCostBL]]</f>
        <v>50000</v>
      </c>
      <c r="BK37" s="96">
        <f>SUMIFS(Table_SiteMilestoneTracking[c4_PowerInstallCostAC],
Table_SiteMilestoneTracking[TXReady_AC],"&gt;="&amp;Table_SiteMilestoneTrackingSummary[[#This Row],[StartDate]:[StartDate]],
Table_SiteMilestoneTracking[TXReady_AC],"&lt;"&amp;Table_SiteMilestoneTrackingSummary[[#This Row],[EndDate]:[EndDate]]+1)</f>
        <v>0</v>
      </c>
      <c r="BL37" s="100">
        <f>BL36+Table_SiteMilestoneTrackingSummary[[#This Row],[c4_PowerInstallCostAC]]</f>
        <v>28050</v>
      </c>
      <c r="BM37" s="96">
        <f>COUNTIFS(Table_SiteMilestoneTracking[TXReady_BL],"&gt;="&amp;Table_SiteMilestoneTrackingSummary[[#This Row],[StartDate]:[StartDate]],
Table_SiteMilestoneTracking[TXReady_BL],"&lt;"&amp;Table_SiteMilestoneTrackingSummary[[#This Row],[EndDate]:[EndDate]]+1)</f>
        <v>0</v>
      </c>
      <c r="BN37" s="100">
        <f>BN36+Table_SiteMilestoneTrackingSummary[[#This Row],[TXReady_BL]]</f>
        <v>100</v>
      </c>
      <c r="BO37" s="100">
        <f>COUNTIFS(Table_SiteMilestoneTracking[TXReady_AC],"&gt;="&amp;Table_SiteMilestoneTrackingSummary[[#This Row],[StartDate]:[StartDate]],Table_SiteMilestoneTracking[TXReady_AC],"&lt;"&amp;Table_SiteMilestoneTrackingSummary[[#This Row],[EndDate]:[EndDate]]+1)</f>
        <v>0</v>
      </c>
      <c r="BP37" s="100">
        <f>BP36+Table_SiteMilestoneTrackingSummary[[#This Row],[TXReady_AC]]</f>
        <v>60</v>
      </c>
      <c r="BQ37" s="100">
        <f>$BQ$2*Table_SiteMilestoneTrackingSummary[[#This Row],[ReadyForInstallation_AC]]</f>
        <v>0</v>
      </c>
      <c r="BR37" s="100">
        <f>BR36+Table_SiteMilestoneTrackingSummary[[#This Row],[c5_TxIntegrationEV]]</f>
        <v>25500</v>
      </c>
      <c r="BS37" s="96">
        <f>SUMIFS(Table_SiteMilestoneTracking[c5_TxintegrationCostBL],
Table_SiteMilestoneTracking[SiteReadyForInstallation_BL],"&gt;="&amp;Table_SiteMilestoneTrackingSummary[[#This Row],[StartDate]:[StartDate]],
Table_SiteMilestoneTracking[SiteReadyForInstallation_BL],"&lt;"&amp;Table_SiteMilestoneTrackingSummary[[#This Row],[EndDate]:[EndDate]]+1)</f>
        <v>7000</v>
      </c>
      <c r="BT37" s="100">
        <f>BT36+Table_SiteMilestoneTrackingSummary[[#This Row],[c5_TxIntegrationCostBL]]</f>
        <v>50000</v>
      </c>
      <c r="BU37" s="96">
        <f>SUMIFS(Table_SiteMilestoneTracking[c5_TxintegrationCostAC],
Table_SiteMilestoneTracking[SiteReadyForInstallation_AC],"&gt;="&amp;Table_SiteMilestoneTrackingSummary[[#This Row],[StartDate]:[StartDate]],
Table_SiteMilestoneTracking[SiteReadyForInstallation_AC],"&lt;"&amp;Table_SiteMilestoneTrackingSummary[[#This Row],[EndDate]:[EndDate]]+1)</f>
        <v>0</v>
      </c>
      <c r="BV37" s="100">
        <f>BV36+Table_SiteMilestoneTrackingSummary[[#This Row],[c5_TxIntegrationCostAC]]</f>
        <v>24850</v>
      </c>
      <c r="BW37" s="96">
        <f>COUNTIFS(Table_SiteMilestoneTracking[SiteReadyForInstallation_BL],"&gt;="&amp;Table_SiteMilestoneTrackingSummary[[#This Row],[StartDate]:[StartDate]],
Table_SiteMilestoneTracking[SiteReadyForInstallation_BL],"&lt;"&amp;Table_SiteMilestoneTrackingSummary[[#This Row],[EndDate]:[EndDate]]+1)</f>
        <v>14</v>
      </c>
      <c r="BX37" s="100">
        <f>BX36+Table_SiteMilestoneTrackingSummary[[#This Row],[ReadyForInstallation_BL]]</f>
        <v>100</v>
      </c>
      <c r="BY37" s="96">
        <f>COUNTIFS(Table_SiteMilestoneTracking[SiteReadyForInstallation_AC],"&gt;="&amp;Table_SiteMilestoneTrackingSummary[[#This Row],[StartDate]:[StartDate]],
Table_SiteMilestoneTracking[SiteReadyForInstallation_AC],"&lt;"&amp;Table_SiteMilestoneTrackingSummary[[#This Row],[EndDate]:[EndDate]]+1)</f>
        <v>0</v>
      </c>
      <c r="BZ37" s="100">
        <f>BZ36+Table_SiteMilestoneTrackingSummary[[#This Row],[ReadyForInstallation_AC]]</f>
        <v>51</v>
      </c>
      <c r="CA37" s="100">
        <f>$CA$2*Table_SiteMilestoneTrackingSummary[[#This Row],[ReadyForIntegration_AC]]</f>
        <v>0</v>
      </c>
      <c r="CB37" s="100">
        <f>CB36+Table_SiteMilestoneTrackingSummary[[#This Row],[c6_InstallationEV]]</f>
        <v>100000</v>
      </c>
      <c r="CC37" s="96">
        <f>SUMIFS(Table_SiteMilestoneTracking[c6_InstallationCostBL],
Table_SiteMilestoneTracking[SiteReadyForIntegration_BL],"&gt;="&amp;Table_SiteMilestoneTrackingSummary[[#This Row],[StartDate]:[StartDate]],
Table_SiteMilestoneTracking[SiteReadyForIntegration_BL],"&lt;"&amp;Table_SiteMilestoneTrackingSummary[[#This Row],[EndDate]:[EndDate]]+1)</f>
        <v>32500</v>
      </c>
      <c r="CD37" s="100">
        <f>CD36+Table_SiteMilestoneTrackingSummary[[#This Row],[c6_InstallationCostBL]]</f>
        <v>247500</v>
      </c>
      <c r="CE37" s="96">
        <f>SUMIFS(Table_SiteMilestoneTracking[c6_InstallationCostAC],
Table_SiteMilestoneTracking[SiteReadyForIntegration_AC],"&gt;="&amp;Table_SiteMilestoneTrackingSummary[[#This Row],[StartDate]:[StartDate]],
Table_SiteMilestoneTracking[SiteReadyForIntegration_AC],"&lt;"&amp;Table_SiteMilestoneTrackingSummary[[#This Row],[EndDate]:[EndDate]]+1)</f>
        <v>0</v>
      </c>
      <c r="CF37" s="100">
        <f>CF36+Table_SiteMilestoneTrackingSummary[[#This Row],[c6_InstallationCostAC]]</f>
        <v>87600</v>
      </c>
      <c r="CG37" s="96">
        <f>COUNTIFS(Table_SiteMilestoneTracking[SiteReadyForIntegration_BL],"&gt;="&amp;Table_SiteMilestoneTrackingSummary[[#This Row],[StartDate]:[StartDate]],
Table_SiteMilestoneTracking[SiteReadyForIntegration_BL],"&lt;"&amp;Table_SiteMilestoneTrackingSummary[[#This Row],[EndDate]:[EndDate]]+1)</f>
        <v>13</v>
      </c>
      <c r="CH37" s="100">
        <f>CH36+Table_SiteMilestoneTrackingSummary[[#This Row],[ReadyForIntegration_BL]]</f>
        <v>99</v>
      </c>
      <c r="CI37" s="96">
        <f>COUNTIFS(Table_SiteMilestoneTracking[SiteReadyForIntegration_AC],"&gt;="&amp;Table_SiteMilestoneTrackingSummary[[#This Row],[StartDate]:[StartDate]],
Table_SiteMilestoneTracking[SiteReadyForIntegration_AC],"&lt;"&amp;Table_SiteMilestoneTrackingSummary[[#This Row],[EndDate]:[EndDate]]+1)</f>
        <v>0</v>
      </c>
      <c r="CJ37" s="100">
        <f>CJ36+Table_SiteMilestoneTrackingSummary[[#This Row],[ReadyForIntegration_AC]]</f>
        <v>40</v>
      </c>
      <c r="CK37" s="100">
        <f>$CK$2*Table_SiteMilestoneTrackingSummary[[#This Row],[SiteOnAir_AC]]</f>
        <v>0</v>
      </c>
      <c r="CL37" s="100">
        <f>CL36+Table_SiteMilestoneTrackingSummary[[#This Row],[c7_IntegrationEV]]</f>
        <v>15000</v>
      </c>
      <c r="CM37" s="96">
        <f>SUMIFS(Table_SiteMilestoneTracking[c7_IntegrationCostBL],
Table_SiteMilestoneTracking[SiteOnAir_BL],"&gt;="&amp;Table_SiteMilestoneTrackingSummary[[#This Row],[StartDate]:[StartDate]],
Table_SiteMilestoneTracking[SiteOnAir_BL],"&lt;"&amp;Table_SiteMilestoneTrackingSummary[[#This Row],[EndDate]:[EndDate]]+1)</f>
        <v>9500</v>
      </c>
      <c r="CN37" s="100">
        <f>CN36+Table_SiteMilestoneTrackingSummary[[#This Row],[c7_IntegrationCostBL]]</f>
        <v>43000</v>
      </c>
      <c r="CO37" s="96">
        <f>SUMIFS(Table_SiteMilestoneTracking[c7_IntegrationCostAC],
Table_SiteMilestoneTracking[SiteOnAir_AC],"&gt;="&amp;Table_SiteMilestoneTrackingSummary[[#This Row],[StartDate]:[StartDate]],
Table_SiteMilestoneTracking[SiteOnAir_AC],"&lt;"&amp;Table_SiteMilestoneTrackingSummary[[#This Row],[EndDate]:[EndDate]]+1)</f>
        <v>0</v>
      </c>
      <c r="CP37" s="100">
        <f>CP36+Table_SiteMilestoneTrackingSummary[[#This Row],[c7_IntegrationCostAC]]</f>
        <v>14150</v>
      </c>
      <c r="CQ37" s="96">
        <f>COUNTIFS(Table_SiteMilestoneTracking[SiteOnAir_BL],"&gt;="&amp;Table_SiteMilestoneTrackingSummary[[#This Row],[StartDate]:[StartDate]],
Table_SiteMilestoneTracking[SiteOnAir_BL],"&lt;"&amp;Table_SiteMilestoneTrackingSummary[[#This Row],[EndDate]:[EndDate]]+1)</f>
        <v>19</v>
      </c>
      <c r="CR37" s="100">
        <f>CR36+Table_SiteMilestoneTrackingSummary[[#This Row],[SiteOnAir_BL]]</f>
        <v>86</v>
      </c>
      <c r="CS37" s="96">
        <f>COUNTIFS(Table_SiteMilestoneTracking[SiteOnAir_AC],"&gt;="&amp;Table_SiteMilestoneTrackingSummary[[#This Row],[StartDate]:[StartDate]],
Table_SiteMilestoneTracking[SiteOnAir_AC],"&lt;"&amp;Table_SiteMilestoneTrackingSummary[[#This Row],[EndDate]:[EndDate]]+1)</f>
        <v>0</v>
      </c>
      <c r="CT37" s="100">
        <f>CT36+Table_SiteMilestoneTrackingSummary[[#This Row],[SiteOnAir_AC]]</f>
        <v>30</v>
      </c>
      <c r="CU37" s="100">
        <f>$CU$2*Table_SiteMilestoneTrackingSummary[[#This Row],[SiteAccepted_AC]]</f>
        <v>0</v>
      </c>
      <c r="CV37" s="100">
        <f>CV36+Table_SiteMilestoneTrackingSummary[[#This Row],[c8_AcceptanceEV]]</f>
        <v>5000</v>
      </c>
      <c r="CW37" s="96">
        <f>SUMIFS(Table_SiteMilestoneTracking[c8_AcceptanceCostBL],
Table_SiteMilestoneTracking[SiteAccepted_BL],"&gt;="&amp;Table_SiteMilestoneTrackingSummary[[#This Row],[StartDate]:[StartDate]],
Table_SiteMilestoneTracking[SiteAccepted_BL],"&lt;"&amp;Table_SiteMilestoneTrackingSummary[[#This Row],[EndDate]:[EndDate]]+1)</f>
        <v>4000</v>
      </c>
      <c r="CX37" s="100">
        <f>CX36+Table_SiteMilestoneTrackingSummary[[#This Row],[c8_AcceptanceCostBL]]</f>
        <v>16750</v>
      </c>
      <c r="CY37" s="96">
        <f>SUMIFS(Table_SiteMilestoneTracking[c8_AcceptanceCostAC],
Table_SiteMilestoneTracking[SiteAccepted_AC],"&gt;="&amp;Table_SiteMilestoneTrackingSummary[[#This Row],[StartDate]:[StartDate]],
Table_SiteMilestoneTracking[SiteAccepted_AC],"&lt;"&amp;Table_SiteMilestoneTrackingSummary[[#This Row],[EndDate]:[EndDate]]+1)</f>
        <v>0</v>
      </c>
      <c r="CZ37" s="100">
        <f>CZ36+Table_SiteMilestoneTrackingSummary[[#This Row],[c8_AcceptanceCostAC]]</f>
        <v>5000</v>
      </c>
      <c r="DA37" s="96">
        <f>COUNTIFS(Table_SiteMilestoneTracking[SiteAccepted_BL],"&gt;="&amp;Table_SiteMilestoneTrackingSummary[[#This Row],[StartDate]:[StartDate]],
Table_SiteMilestoneTracking[SiteAccepted_BL],"&lt;"&amp;Table_SiteMilestoneTrackingSummary[[#This Row],[EndDate]:[EndDate]]+1)</f>
        <v>16</v>
      </c>
      <c r="DB37" s="100">
        <f>DB36+Table_SiteMilestoneTrackingSummary[[#This Row],[SiteAccepted_BL]]</f>
        <v>67</v>
      </c>
      <c r="DC37" s="96">
        <f>COUNTIFS(Table_SiteMilestoneTracking[SiteAccepted_AC],"&gt;="&amp;Table_SiteMilestoneTrackingSummary[[#This Row],[StartDate]:[StartDate]],
Table_SiteMilestoneTracking[SiteAccepted_AC],"&lt;"&amp;Table_SiteMilestoneTrackingSummary[[#This Row],[EndDate]:[EndDate]]+1)</f>
        <v>0</v>
      </c>
      <c r="DD37" s="100">
        <f>DD36+Table_SiteMilestoneTrackingSummary[[#This Row],[SiteAccepted_AC]]</f>
        <v>20</v>
      </c>
      <c r="DE37" s="100">
        <f>$DE$2*Table_SiteMilestoneTrackingSummary[[#This Row],[SiteInOperations_AC]]</f>
        <v>200</v>
      </c>
      <c r="DF37" s="100">
        <f>DF36+Table_SiteMilestoneTrackingSummary[[#This Row],[c9_HandoverEV]]</f>
        <v>2000</v>
      </c>
      <c r="DG37" s="96">
        <f>SUMIFS(Table_SiteMilestoneTracking[c9_HandoverCostBL],
Table_SiteMilestoneTracking[SiteInOperations_BL],"&gt;="&amp;Table_SiteMilestoneTrackingSummary[[#This Row],[StartDate]:[StartDate]],
Table_SiteMilestoneTracking[SiteInOperations_BL],"&lt;"&amp;Table_SiteMilestoneTrackingSummary[[#This Row],[EndDate]:[EndDate]]+1)</f>
        <v>2600</v>
      </c>
      <c r="DH37" s="100">
        <f>DH36+Table_SiteMilestoneTrackingSummary[[#This Row],[c9_HandoverCostBL2]]</f>
        <v>10200</v>
      </c>
      <c r="DI37" s="96">
        <f>SUMIFS(Table_SiteMilestoneTracking[c9_HandoverCostAC],
Table_SiteMilestoneTracking[SiteInOperations_AC],"&gt;="&amp;Table_SiteMilestoneTrackingSummary[[#This Row],[StartDate]:[StartDate]],
Table_SiteMilestoneTracking[SiteInOperations_AC],"&lt;"&amp;Table_SiteMilestoneTrackingSummary[[#This Row],[EndDate]:[EndDate]]+1)</f>
        <v>200</v>
      </c>
      <c r="DJ37" s="100">
        <f>DJ36+Table_SiteMilestoneTrackingSummary[[#This Row],[c9_HandoverCostAC]]</f>
        <v>2000</v>
      </c>
      <c r="DK37" s="96">
        <f>COUNTIFS(Table_SiteMilestoneTracking[SiteInOperations_BL],"&gt;="&amp;Table_SiteMilestoneTrackingSummary[[#This Row],[StartDate]:[StartDate]],
Table_SiteMilestoneTracking[SiteInOperations_BL],"&lt;"&amp;Table_SiteMilestoneTrackingSummary[[#This Row],[EndDate]:[EndDate]]+1)</f>
        <v>13</v>
      </c>
      <c r="DL37" s="100">
        <f>DL36+Table_SiteMilestoneTrackingSummary[[#This Row],[SiteInOperations_BL]]</f>
        <v>51</v>
      </c>
      <c r="DM37" s="96">
        <f>COUNTIFS(Table_SiteMilestoneTracking[SiteInOperations_AC],"&gt;="&amp;Table_SiteMilestoneTrackingSummary[[#This Row],[StartDate]:[StartDate]],
Table_SiteMilestoneTracking[SiteInOperations_AC],"&lt;"&amp;Table_SiteMilestoneTrackingSummary[[#This Row],[EndDate]:[EndDate]]+1)</f>
        <v>1</v>
      </c>
      <c r="DN37" s="100">
        <f>DN36+Table_SiteMilestoneTrackingSummary[[#This Row],[SiteInOperations_AC]]</f>
        <v>10</v>
      </c>
      <c r="DO37" s="59">
        <f>Table_SiteMilestoneTrackingSummary[[#This Row],[c0_SiteDesignEV(SUM)]]+Table_SiteMilestoneTrackingSummary[[#This Row],[c1_SiteSurveyEV(SUM)]]+Table_SiteMilestoneTrackingSummary[[#This Row],[c2_SiteAcquisitionEV(SUM)]]+Table_SiteMilestoneTrackingSummary[[#This Row],[c2a_SiteCWReadinessEV(SUM)]]+Table_SiteMilestoneTrackingSummary[[#This Row],[c3_CivilWorksEV(SUM)]]+Table_SiteMilestoneTrackingSummary[[#This Row],[c4_PowerInstallEV(SUM)]]+Table_SiteMilestoneTrackingSummary[[#This Row],[c5_TxIntegrationEV(SUM)]]+Table_SiteMilestoneTrackingSummary[[#This Row],[c6_InstallationEV(SUM)]]+Table_SiteMilestoneTrackingSummary[[#This Row],[c7_IntegrationEV(SUM)]]+Table_SiteMilestoneTrackingSummary[[#This Row],[c8_AcceptanceEV(SUM)]]+Table_SiteMilestoneTrackingSummary[[#This Row],[c9_HandoverEV(SUM)]]</f>
        <v>429900</v>
      </c>
      <c r="DP37" s="59">
        <f>Table_SiteMilestoneTrackingSummary[[#This Row],[c0_SiteDesignCostBL(SUM)]]+Table_SiteMilestoneTrackingSummary[[#This Row],[c1_SiteSurveyCostBL(SUM)]]+Table_SiteMilestoneTrackingSummary[[#This Row],[c2_SiteAcquisitionCostBL(SUM)]]+Table_SiteMilestoneTrackingSummary[[#This Row],[c2a_SiteCWReadinessCostBL(SUM)]]+Table_SiteMilestoneTrackingSummary[[#This Row],[c3_CivilWorksCostBL(SUM)]]+Table_SiteMilestoneTrackingSummary[[#This Row],[c4_PowerInstallCostBL(SUM)]]+Table_SiteMilestoneTrackingSummary[[#This Row],[c5_TxIntegrationCostBL(SUM)]]+Table_SiteMilestoneTrackingSummary[[#This Row],[c6_InstallationCostBL(SUM)]]+Table_SiteMilestoneTrackingSummary[[#This Row],[c7_IntegrationCostBL(SUM)]]+Table_SiteMilestoneTrackingSummary[[#This Row],[c8_AcceptanceCostBL(SUM)]]+Table_SiteMilestoneTrackingSummary[[#This Row],[c9_HandoverCostBL(SUM)]]</f>
        <v>742450</v>
      </c>
      <c r="DQ37" s="59">
        <f>Table_SiteMilestoneTrackingSummary[[#This Row],[c0_SiteDesignCostAC(SUM)]]+Table_SiteMilestoneTrackingSummary[[#This Row],[c1_SiteSurveyCostAC(SUM)]]+Table_SiteMilestoneTrackingSummary[[#This Row],[c2_SiteAcquisitionCostAC(SUM)]]+Table_SiteMilestoneTrackingSummary[[#This Row],[c2a_SiteCWReadinessCostAC(SUM)]]+Table_SiteMilestoneTrackingSummary[[#This Row],[c3_CivilWorksCostAC(SUM)]]+Table_SiteMilestoneTrackingSummary[[#This Row],[c4_PowerInstallCostAC(SUM)]]+Table_SiteMilestoneTrackingSummary[[#This Row],[c5_TxIntegrationCostAC(SUM)]]+Table_SiteMilestoneTrackingSummary[[#This Row],[c6_InstallationCostAC(SUM)]]+Table_SiteMilestoneTrackingSummary[[#This Row],[c7_IntegrationCostAC(SUM)]]+Table_SiteMilestoneTrackingSummary[[#This Row],[c8_AcceptanceCostAC(SUM)]]+Table_SiteMilestoneTrackingSummary[[#This Row],[c9_HandoverCostAC(SUM)]]</f>
        <v>433825</v>
      </c>
      <c r="DR37" s="59">
        <f>Table_SiteMilestoneTrackingSummary[[#This Row],[AccumulatedEV]]-Table_SiteMilestoneTrackingSummary[[#This Row],[AccumulatedPV]]</f>
        <v>-312550</v>
      </c>
      <c r="DS37" s="59">
        <f>Table_SiteMilestoneTrackingSummary[[#This Row],[AccumulatedEV]]-Table_SiteMilestoneTrackingSummary[[#This Row],[AccumulatedAC]]</f>
        <v>-3925</v>
      </c>
      <c r="DT37" s="58">
        <f>IFERROR(Table_SiteMilestoneTrackingSummary[[#This Row],[AccumulatedEV]]/Table_SiteMilestoneTrackingSummary[[#This Row],[AccumulatedPV]],"/")</f>
        <v>0.57902889083439957</v>
      </c>
      <c r="DU37" s="101">
        <f>IFERROR(Table_SiteMilestoneTrackingSummary[[#This Row],[AccumulatedEV]]/Table_SiteMilestoneTrackingSummary[[#This Row],[AccumulatedAC]],"/")</f>
        <v>0.99095257304212525</v>
      </c>
    </row>
    <row r="38" spans="1:125" x14ac:dyDescent="0.3">
      <c r="A38" s="79">
        <v>2020</v>
      </c>
      <c r="B38" s="79">
        <v>35</v>
      </c>
      <c r="C38" s="95">
        <f>DATE(Table_SiteMilestoneTrackingSummary[[#This Row],[Year]],1,-2)-WEEKDAY(DATE(Table_SiteMilestoneTrackingSummary[[#This Row],[Year]],1,3))+Table_SiteMilestoneTrackingSummary[[#This Row],[Week]]*7</f>
        <v>44067</v>
      </c>
      <c r="D38" s="95">
        <f>Table_SiteMilestoneTrackingSummary[[#This Row],[StartDate]]+6</f>
        <v>44073</v>
      </c>
      <c r="E38" s="100">
        <f>COUNTIFS(Table_SiteMilestoneTracking[SiteDesignStarted_BL],"&gt;="&amp;Table_SiteMilestoneTrackingSummary[[#This Row],[StartDate]:[StartDate]],Table_SiteMilestoneTracking[SiteDesignStarted_BL],"&lt;"&amp;Table_SiteMilestoneTrackingSummary[[#This Row],[EndDate]:[EndDate]]+1)</f>
        <v>0</v>
      </c>
      <c r="F38" s="100">
        <f>F37+Table_SiteMilestoneTrackingSummary[[#This Row],[SiteDesignStarted_BL]]</f>
        <v>100</v>
      </c>
      <c r="G38" s="100">
        <f>COUNTIFS(Table_SiteMilestoneTracking[SiteDesignStarted_AC],"&gt;="&amp;Table_SiteMilestoneTrackingSummary[[#This Row],[StartDate]:[StartDate]],Table_SiteMilestoneTracking[SiteDesignStarted_AC],"&lt;"&amp;Table_SiteMilestoneTrackingSummary[[#This Row],[EndDate]:[EndDate]]+1)</f>
        <v>0</v>
      </c>
      <c r="H38" s="100">
        <f>H37+Table_SiteMilestoneTrackingSummary[[#This Row],[SiteDesignStarted_AC]]</f>
        <v>96</v>
      </c>
      <c r="I38" s="100">
        <f>Table_SiteMilestoneTrackingSummary[[#This Row],[SiteDesignReady_AC]]*$I$2</f>
        <v>0</v>
      </c>
      <c r="J38" s="100">
        <f>J37+Table_SiteMilestoneTrackingSummary[[#This Row],[c0_SiteDesignEV]]</f>
        <v>45000</v>
      </c>
      <c r="K38" s="97">
        <f>SUMIFS(Table_SiteMilestoneTracking[c0_SiteDesignCostBL],
Table_SiteMilestoneTracking[SiteDesignReady_BL],"&gt;="&amp;Table_SiteMilestoneTrackingSummary[[#This Row],[StartDate]:[StartDate]],
Table_SiteMilestoneTracking[SiteDesignReady_BL],"&lt;"&amp;Table_SiteMilestoneTrackingSummary[[#This Row],[EndDate]:[EndDate]]+1)</f>
        <v>0</v>
      </c>
      <c r="L38" s="59">
        <f>L37+Table_SiteMilestoneTrackingSummary[[#This Row],[c0_SiteDesignCostBL]]</f>
        <v>50000</v>
      </c>
      <c r="M38" s="97">
        <f>SUMIFS(Table_SiteMilestoneTracking[c0_SiteDesignCostAC],
Table_SiteMilestoneTracking[SiteDesignReady_AC],"&gt;="&amp;Table_SiteMilestoneTrackingSummary[[#This Row],[StartDate]:[StartDate]],
Table_SiteMilestoneTracking[SiteDesignReady_AC],"&lt;"&amp;Table_SiteMilestoneTrackingSummary[[#This Row],[EndDate]:[EndDate]]+1)</f>
        <v>0</v>
      </c>
      <c r="N38" s="59">
        <f>N37+Table_SiteMilestoneTrackingSummary[[#This Row],[c0_SiteDesignCostAC]]</f>
        <v>43180</v>
      </c>
      <c r="O38" s="96">
        <f>COUNTIFS(Table_SiteMilestoneTracking[SiteDesignReady_BL],"&gt;="&amp;Table_SiteMilestoneTrackingSummary[[#This Row],[StartDate]:[StartDate]],
Table_SiteMilestoneTracking[SiteDesignReady_BL],"&lt;"&amp;Table_SiteMilestoneTrackingSummary[[#This Row],[EndDate]:[EndDate]]+1)</f>
        <v>0</v>
      </c>
      <c r="P38" s="100">
        <f>P37+Table_SiteMilestoneTrackingSummary[[#This Row],[SiteDesignReady_BL]]</f>
        <v>100</v>
      </c>
      <c r="Q38" s="100">
        <f>COUNTIFS(Table_SiteMilestoneTracking[SiteDesignReady_AC],"&gt;="&amp;Table_SiteMilestoneTrackingSummary[[#This Row],[StartDate]:[StartDate]],Table_SiteMilestoneTracking[SiteDesignReady_AC],"&lt;"&amp;Table_SiteMilestoneTrackingSummary[[#This Row],[EndDate]:[EndDate]]+1)</f>
        <v>0</v>
      </c>
      <c r="R38" s="100">
        <f>R37+Table_SiteMilestoneTrackingSummary[[#This Row],[SiteDesignReady_AC]]</f>
        <v>90</v>
      </c>
      <c r="S38" s="100">
        <f>Table_SiteMilestoneTrackingSummary[[#This Row],[ReadyForCW_AC]]*$S$2</f>
        <v>0</v>
      </c>
      <c r="T38" s="100">
        <f>T37+Table_SiteMilestoneTrackingSummary[[#This Row],[c1_SiteSurveyEV]]</f>
        <v>40000</v>
      </c>
      <c r="U38" s="96">
        <f>SUMIFS(Table_SiteMilestoneTracking[c1_SiteSurveyCostBL],
Table_SiteMilestoneTracking[SiteSurveyCompleted_BL],"&gt;="&amp;Table_SiteMilestoneTrackingSummary[[#This Row],[StartDate]:[StartDate]],
Table_SiteMilestoneTracking[SiteSurveyCompleted_BL],"&lt;"&amp;Table_SiteMilestoneTrackingSummary[[#This Row],[EndDate]:[EndDate]]+1)</f>
        <v>0</v>
      </c>
      <c r="V38" s="100">
        <f>V37+Table_SiteMilestoneTrackingSummary[[#This Row],[c1_SiteSurveyCostBL]]</f>
        <v>50000</v>
      </c>
      <c r="W38" s="96">
        <f>SUMIFS(Table_SiteMilestoneTracking[c1_SiteSurveyCostAC],
Table_SiteMilestoneTracking[SiteSurveyCompleted_AC],"&gt;="&amp;Table_SiteMilestoneTrackingSummary[[#This Row],[StartDate]:[StartDate]],
Table_SiteMilestoneTracking[SiteSurveyCompleted_AC],"&lt;"&amp;Table_SiteMilestoneTrackingSummary[[#This Row],[EndDate]:[EndDate]]+1)</f>
        <v>0</v>
      </c>
      <c r="X38" s="100">
        <f>X37+Table_SiteMilestoneTrackingSummary[[#This Row],[c1_SiteSurveyCostAC]]</f>
        <v>51800</v>
      </c>
      <c r="Y38" s="96">
        <f>COUNTIFS(Table_SiteMilestoneTracking[SiteSurveyCompleted_BL],"&gt;="&amp;Table_SiteMilestoneTrackingSummary[[#This Row],[StartDate]:[StartDate]],
Table_SiteMilestoneTracking[SiteSurveyCompleted_BL],"&lt;"&amp;Table_SiteMilestoneTrackingSummary[[#This Row],[EndDate]:[EndDate]]+1)</f>
        <v>0</v>
      </c>
      <c r="Z38" s="100">
        <f>Z37+Table_SiteMilestoneTrackingSummary[[#This Row],[SiteSurveyCompleted_BL]]</f>
        <v>100</v>
      </c>
      <c r="AA38" s="96">
        <f>COUNTIFS(Table_SiteMilestoneTracking[SiteSurveyCompleted_AC],"&gt;="&amp;Table_SiteMilestoneTrackingSummary[[#This Row],[StartDate]:[StartDate]],
Table_SiteMilestoneTracking[SiteSurveyCompleted_AC],"&lt;"&amp;Table_SiteMilestoneTrackingSummary[[#This Row],[EndDate]:[EndDate]]+1)</f>
        <v>0</v>
      </c>
      <c r="AB38" s="100">
        <f>AB37+Table_SiteMilestoneTrackingSummary[[#This Row],[SiteSurveyCompleted_AC]]</f>
        <v>86</v>
      </c>
      <c r="AC38" s="100">
        <f>$AC$2*Table_SiteMilestoneTrackingSummary[[#This Row],[SiteAcquired_AC]]</f>
        <v>0</v>
      </c>
      <c r="AD38" s="100">
        <f>AD37+Table_SiteMilestoneTrackingSummary[[#This Row],[c2_SiteAcquisitionEV]]</f>
        <v>50400</v>
      </c>
      <c r="AE38" s="96">
        <f>SUMIFS(Table_SiteMilestoneTracking[c2_SiteAcquisitionCostBL],
Table_SiteMilestoneTracking[SiteAcquired_BL],"&gt;="&amp;Table_SiteMilestoneTrackingSummary[[#This Row],[StartDate]:[StartDate]],
Table_SiteMilestoneTracking[SiteAcquired_BL],"&lt;"&amp;Table_SiteMilestoneTrackingSummary[[#This Row],[EndDate]:[EndDate]]+1)</f>
        <v>0</v>
      </c>
      <c r="AF38" s="100">
        <f>AF37+Table_SiteMilestoneTrackingSummary[[#This Row],[c2_SiteAcquisitionCostBL]]</f>
        <v>60000</v>
      </c>
      <c r="AG38" s="96">
        <f>SUMIFS(Table_SiteMilestoneTracking[c2_SiteAcquisitionCostAC],
Table_SiteMilestoneTracking[SiteAcquired_AC],"&gt;="&amp;Table_SiteMilestoneTrackingSummary[[#This Row],[StartDate]:[StartDate]],
Table_SiteMilestoneTracking[SiteAcquired_AC],"&lt;"&amp;Table_SiteMilestoneTrackingSummary[[#This Row],[EndDate]:[EndDate]]+1)</f>
        <v>0</v>
      </c>
      <c r="AH38" s="100">
        <f>AH37+Table_SiteMilestoneTrackingSummary[[#This Row],[c2_SiteAcquisitionCostAC]]</f>
        <v>52800</v>
      </c>
      <c r="AI38" s="96">
        <f>COUNTIFS(Table_SiteMilestoneTracking[SiteAcquired_BL],"&gt;="&amp;Table_SiteMilestoneTrackingSummary[[#This Row],[StartDate]:[StartDate]],
Table_SiteMilestoneTracking[SiteAcquired_BL],"&lt;"&amp;Table_SiteMilestoneTrackingSummary[[#This Row],[EndDate]:[EndDate]]+1)</f>
        <v>0</v>
      </c>
      <c r="AJ38" s="100">
        <f>AJ37+Table_SiteMilestoneTrackingSummary[[#This Row],[SiteAcquired_BL]]</f>
        <v>100</v>
      </c>
      <c r="AK38" s="96">
        <f>COUNTIFS(Table_SiteMilestoneTracking[SiteAcquired_AC],"&gt;="&amp;Table_SiteMilestoneTrackingSummary[[#This Row],[StartDate]:[StartDate]],
Table_SiteMilestoneTracking[SiteAcquired_AC],"&lt;"&amp;Table_SiteMilestoneTrackingSummary[[#This Row],[EndDate]:[EndDate]]+1)</f>
        <v>0</v>
      </c>
      <c r="AL38" s="100">
        <f>AL37+Table_SiteMilestoneTrackingSummary[[#This Row],[SiteAcquired_AC]]</f>
        <v>84</v>
      </c>
      <c r="AM38" s="100">
        <f>Table_SiteMilestoneTrackingSummary[[#This Row],[ReadyForCW_AC]]*$AM$2</f>
        <v>0</v>
      </c>
      <c r="AN38" s="100">
        <f>AN37+Table_SiteMilestoneTrackingSummary[[#This Row],[c2a_SiteCWReadinessEV]]</f>
        <v>12000</v>
      </c>
      <c r="AO38" s="96">
        <f>SUMIFS(Table_SiteMilestoneTracking[c2a_SiteCWReadinessCost_BL],
Table_SiteMilestoneTracking[SiteReadyForCW_BL],"&gt;="&amp;Table_SiteMilestoneTrackingSummary[[#This Row],[StartDate]:[StartDate]],
Table_SiteMilestoneTracking[SiteReadyForCW_BL],"&lt;"&amp;Table_SiteMilestoneTrackingSummary[[#This Row],[EndDate]:[EndDate]]+1)</f>
        <v>0</v>
      </c>
      <c r="AP38" s="100">
        <f>AP37+Table_SiteMilestoneTrackingSummary[[#This Row],[c2a_SiteCWReadinessCostBL]]</f>
        <v>15000</v>
      </c>
      <c r="AQ38" s="96">
        <f>SUMIFS(Table_SiteMilestoneTracking[c2a_SiteCWReadinessCost_AC],
Table_SiteMilestoneTracking[SiteReadyForCW_AC],"&gt;="&amp;Table_SiteMilestoneTrackingSummary[[#This Row],[StartDate]:[StartDate]],
Table_SiteMilestoneTracking[SiteReadyForCW_AC],"&lt;"&amp;Table_SiteMilestoneTrackingSummary[[#This Row],[EndDate]:[EndDate]]+1)</f>
        <v>0</v>
      </c>
      <c r="AR38" s="100">
        <f>AR37+Table_SiteMilestoneTrackingSummary[[#This Row],[c2a_SiteCWReadinessCostAC]]</f>
        <v>12045</v>
      </c>
      <c r="AS38" s="96">
        <f>COUNTIFS(Table_SiteMilestoneTracking[SiteReadyForCW_BL],"&gt;="&amp;Table_SiteMilestoneTrackingSummary[[#This Row],[StartDate]:[StartDate]],
Table_SiteMilestoneTracking[SiteReadyForCW_BL],"&lt;"&amp;Table_SiteMilestoneTrackingSummary[[#This Row],[EndDate]:[EndDate]]+1)</f>
        <v>0</v>
      </c>
      <c r="AT38" s="100">
        <f>AT37+Table_SiteMilestoneTrackingSummary[[#This Row],[ReadyForCW_BL]]</f>
        <v>100</v>
      </c>
      <c r="AU38" s="96">
        <f>COUNTIFS(Table_SiteMilestoneTracking[SiteReadyForCW_AC],"&gt;="&amp;Table_SiteMilestoneTrackingSummary[[#This Row],[StartDate]:[StartDate]],
Table_SiteMilestoneTracking[SiteReadyForCW_AC],"&lt;"&amp;Table_SiteMilestoneTrackingSummary[[#This Row],[EndDate]:[EndDate]]+1)</f>
        <v>0</v>
      </c>
      <c r="AV38" s="100">
        <f>AV37+Table_SiteMilestoneTrackingSummary[[#This Row],[ReadyForCW_AC]]</f>
        <v>80</v>
      </c>
      <c r="AW38" s="100">
        <f>$AW$2*Table_SiteMilestoneTrackingSummary[[#This Row],[ReadyForPower_AC]]</f>
        <v>0</v>
      </c>
      <c r="AX38" s="100">
        <f>AX37+Table_SiteMilestoneTrackingSummary[[#This Row],[c3_CivilWorksEV]]</f>
        <v>105000</v>
      </c>
      <c r="AY38" s="96">
        <f>SUMIFS(Table_SiteMilestoneTracking[c3_CivilWorksCostBL],
Table_SiteMilestoneTracking[SiteReadyForPower_BL],"&gt;="&amp;Table_SiteMilestoneTrackingSummary[[#This Row],[StartDate]:[StartDate]],
Table_SiteMilestoneTracking[SiteReadyForPower_BL],"&lt;"&amp;Table_SiteMilestoneTrackingSummary[[#This Row],[EndDate]:[EndDate]]+1)</f>
        <v>0</v>
      </c>
      <c r="AZ38" s="100">
        <f>AZ37+Table_SiteMilestoneTrackingSummary[[#This Row],[c3_CivilWorksCostBL]]</f>
        <v>150000</v>
      </c>
      <c r="BA38" s="96">
        <f>SUMIFS(Table_SiteMilestoneTracking[c3_CivilWorksCostAC],
Table_SiteMilestoneTracking[SiteReadyForPower_AC],"&gt;="&amp;Table_SiteMilestoneTrackingSummary[[#This Row],[StartDate]:[StartDate]],
Table_SiteMilestoneTracking[SiteReadyForPower_AC],"&lt;"&amp;Table_SiteMilestoneTrackingSummary[[#This Row],[EndDate]:[EndDate]]+1)</f>
        <v>0</v>
      </c>
      <c r="BB38" s="100">
        <f>BB37+Table_SiteMilestoneTrackingSummary[[#This Row],[c3_CivilWorksCostAC]]</f>
        <v>112350</v>
      </c>
      <c r="BC38" s="96">
        <f>COUNTIFS(Table_SiteMilestoneTracking[SiteReadyForPower_BL],"&gt;="&amp;Table_SiteMilestoneTrackingSummary[[#This Row],[StartDate]:[StartDate]],
Table_SiteMilestoneTracking[SiteReadyForPower_BL],"&lt;"&amp;Table_SiteMilestoneTrackingSummary[[#This Row],[EndDate]:[EndDate]]+1)</f>
        <v>0</v>
      </c>
      <c r="BD38" s="100">
        <f>BD37+Table_SiteMilestoneTrackingSummary[[#This Row],[ReadyForPower_BL]]</f>
        <v>100</v>
      </c>
      <c r="BE38" s="96">
        <f>COUNTIFS(Table_SiteMilestoneTracking[SiteReadyForPower_AC],"&gt;="&amp;Table_SiteMilestoneTrackingSummary[[#This Row],[StartDate]:[StartDate]],
Table_SiteMilestoneTracking[SiteReadyForPower_AC],"&lt;"&amp;Table_SiteMilestoneTrackingSummary[[#This Row],[EndDate]:[EndDate]]+1)</f>
        <v>0</v>
      </c>
      <c r="BF38" s="100">
        <f>BF37+Table_SiteMilestoneTrackingSummary[[#This Row],[ReadyForPower_AC]]</f>
        <v>70</v>
      </c>
      <c r="BG38" s="100">
        <f>$BG$2*Table_SiteMilestoneTrackingSummary[[#This Row],[TXReady_AC]]</f>
        <v>0</v>
      </c>
      <c r="BH38" s="100">
        <f>BH37+Table_SiteMilestoneTrackingSummary[[#This Row],[c4_PowerInstallEV]]</f>
        <v>30000</v>
      </c>
      <c r="BI38" s="96">
        <f>SUMIFS(Table_SiteMilestoneTracking[c4_PowerInstallCostBL],
Table_SiteMilestoneTracking[TXReady_BL],"&gt;="&amp;Table_SiteMilestoneTrackingSummary[[#This Row],[StartDate]:[StartDate]],
Table_SiteMilestoneTracking[TXReady_BL],"&lt;"&amp;Table_SiteMilestoneTrackingSummary[[#This Row],[EndDate]:[EndDate]]+1)</f>
        <v>0</v>
      </c>
      <c r="BJ38" s="100">
        <f>BJ37+Table_SiteMilestoneTrackingSummary[[#This Row],[c4_PowerInstallCostBL]]</f>
        <v>50000</v>
      </c>
      <c r="BK38" s="96">
        <f>SUMIFS(Table_SiteMilestoneTracking[c4_PowerInstallCostAC],
Table_SiteMilestoneTracking[TXReady_AC],"&gt;="&amp;Table_SiteMilestoneTrackingSummary[[#This Row],[StartDate]:[StartDate]],
Table_SiteMilestoneTracking[TXReady_AC],"&lt;"&amp;Table_SiteMilestoneTrackingSummary[[#This Row],[EndDate]:[EndDate]]+1)</f>
        <v>0</v>
      </c>
      <c r="BL38" s="100">
        <f>BL37+Table_SiteMilestoneTrackingSummary[[#This Row],[c4_PowerInstallCostAC]]</f>
        <v>28050</v>
      </c>
      <c r="BM38" s="96">
        <f>COUNTIFS(Table_SiteMilestoneTracking[TXReady_BL],"&gt;="&amp;Table_SiteMilestoneTrackingSummary[[#This Row],[StartDate]:[StartDate]],
Table_SiteMilestoneTracking[TXReady_BL],"&lt;"&amp;Table_SiteMilestoneTrackingSummary[[#This Row],[EndDate]:[EndDate]]+1)</f>
        <v>0</v>
      </c>
      <c r="BN38" s="100">
        <f>BN37+Table_SiteMilestoneTrackingSummary[[#This Row],[TXReady_BL]]</f>
        <v>100</v>
      </c>
      <c r="BO38" s="100">
        <f>COUNTIFS(Table_SiteMilestoneTracking[TXReady_AC],"&gt;="&amp;Table_SiteMilestoneTrackingSummary[[#This Row],[StartDate]:[StartDate]],Table_SiteMilestoneTracking[TXReady_AC],"&lt;"&amp;Table_SiteMilestoneTrackingSummary[[#This Row],[EndDate]:[EndDate]]+1)</f>
        <v>0</v>
      </c>
      <c r="BP38" s="100">
        <f>BP37+Table_SiteMilestoneTrackingSummary[[#This Row],[TXReady_AC]]</f>
        <v>60</v>
      </c>
      <c r="BQ38" s="100">
        <f>$BQ$2*Table_SiteMilestoneTrackingSummary[[#This Row],[ReadyForInstallation_AC]]</f>
        <v>0</v>
      </c>
      <c r="BR38" s="100">
        <f>BR37+Table_SiteMilestoneTrackingSummary[[#This Row],[c5_TxIntegrationEV]]</f>
        <v>25500</v>
      </c>
      <c r="BS38" s="96">
        <f>SUMIFS(Table_SiteMilestoneTracking[c5_TxintegrationCostBL],
Table_SiteMilestoneTracking[SiteReadyForInstallation_BL],"&gt;="&amp;Table_SiteMilestoneTrackingSummary[[#This Row],[StartDate]:[StartDate]],
Table_SiteMilestoneTracking[SiteReadyForInstallation_BL],"&lt;"&amp;Table_SiteMilestoneTrackingSummary[[#This Row],[EndDate]:[EndDate]]+1)</f>
        <v>0</v>
      </c>
      <c r="BT38" s="100">
        <f>BT37+Table_SiteMilestoneTrackingSummary[[#This Row],[c5_TxIntegrationCostBL]]</f>
        <v>50000</v>
      </c>
      <c r="BU38" s="96">
        <f>SUMIFS(Table_SiteMilestoneTracking[c5_TxintegrationCostAC],
Table_SiteMilestoneTracking[SiteReadyForInstallation_AC],"&gt;="&amp;Table_SiteMilestoneTrackingSummary[[#This Row],[StartDate]:[StartDate]],
Table_SiteMilestoneTracking[SiteReadyForInstallation_AC],"&lt;"&amp;Table_SiteMilestoneTrackingSummary[[#This Row],[EndDate]:[EndDate]]+1)</f>
        <v>0</v>
      </c>
      <c r="BV38" s="100">
        <f>BV37+Table_SiteMilestoneTrackingSummary[[#This Row],[c5_TxIntegrationCostAC]]</f>
        <v>24850</v>
      </c>
      <c r="BW38" s="96">
        <f>COUNTIFS(Table_SiteMilestoneTracking[SiteReadyForInstallation_BL],"&gt;="&amp;Table_SiteMilestoneTrackingSummary[[#This Row],[StartDate]:[StartDate]],
Table_SiteMilestoneTracking[SiteReadyForInstallation_BL],"&lt;"&amp;Table_SiteMilestoneTrackingSummary[[#This Row],[EndDate]:[EndDate]]+1)</f>
        <v>0</v>
      </c>
      <c r="BX38" s="100">
        <f>BX37+Table_SiteMilestoneTrackingSummary[[#This Row],[ReadyForInstallation_BL]]</f>
        <v>100</v>
      </c>
      <c r="BY38" s="96">
        <f>COUNTIFS(Table_SiteMilestoneTracking[SiteReadyForInstallation_AC],"&gt;="&amp;Table_SiteMilestoneTrackingSummary[[#This Row],[StartDate]:[StartDate]],
Table_SiteMilestoneTracking[SiteReadyForInstallation_AC],"&lt;"&amp;Table_SiteMilestoneTrackingSummary[[#This Row],[EndDate]:[EndDate]]+1)</f>
        <v>0</v>
      </c>
      <c r="BZ38" s="100">
        <f>BZ37+Table_SiteMilestoneTrackingSummary[[#This Row],[ReadyForInstallation_AC]]</f>
        <v>51</v>
      </c>
      <c r="CA38" s="100">
        <f>$CA$2*Table_SiteMilestoneTrackingSummary[[#This Row],[ReadyForIntegration_AC]]</f>
        <v>0</v>
      </c>
      <c r="CB38" s="100">
        <f>CB37+Table_SiteMilestoneTrackingSummary[[#This Row],[c6_InstallationEV]]</f>
        <v>100000</v>
      </c>
      <c r="CC38" s="96">
        <f>SUMIFS(Table_SiteMilestoneTracking[c6_InstallationCostBL],
Table_SiteMilestoneTracking[SiteReadyForIntegration_BL],"&gt;="&amp;Table_SiteMilestoneTrackingSummary[[#This Row],[StartDate]:[StartDate]],
Table_SiteMilestoneTracking[SiteReadyForIntegration_BL],"&lt;"&amp;Table_SiteMilestoneTrackingSummary[[#This Row],[EndDate]:[EndDate]]+1)</f>
        <v>2500</v>
      </c>
      <c r="CD38" s="100">
        <f>CD37+Table_SiteMilestoneTrackingSummary[[#This Row],[c6_InstallationCostBL]]</f>
        <v>250000</v>
      </c>
      <c r="CE38" s="96">
        <f>SUMIFS(Table_SiteMilestoneTracking[c6_InstallationCostAC],
Table_SiteMilestoneTracking[SiteReadyForIntegration_AC],"&gt;="&amp;Table_SiteMilestoneTrackingSummary[[#This Row],[StartDate]:[StartDate]],
Table_SiteMilestoneTracking[SiteReadyForIntegration_AC],"&lt;"&amp;Table_SiteMilestoneTrackingSummary[[#This Row],[EndDate]:[EndDate]]+1)</f>
        <v>0</v>
      </c>
      <c r="CF38" s="100">
        <f>CF37+Table_SiteMilestoneTrackingSummary[[#This Row],[c6_InstallationCostAC]]</f>
        <v>87600</v>
      </c>
      <c r="CG38" s="96">
        <f>COUNTIFS(Table_SiteMilestoneTracking[SiteReadyForIntegration_BL],"&gt;="&amp;Table_SiteMilestoneTrackingSummary[[#This Row],[StartDate]:[StartDate]],
Table_SiteMilestoneTracking[SiteReadyForIntegration_BL],"&lt;"&amp;Table_SiteMilestoneTrackingSummary[[#This Row],[EndDate]:[EndDate]]+1)</f>
        <v>1</v>
      </c>
      <c r="CH38" s="100">
        <f>CH37+Table_SiteMilestoneTrackingSummary[[#This Row],[ReadyForIntegration_BL]]</f>
        <v>100</v>
      </c>
      <c r="CI38" s="96">
        <f>COUNTIFS(Table_SiteMilestoneTracking[SiteReadyForIntegration_AC],"&gt;="&amp;Table_SiteMilestoneTrackingSummary[[#This Row],[StartDate]:[StartDate]],
Table_SiteMilestoneTracking[SiteReadyForIntegration_AC],"&lt;"&amp;Table_SiteMilestoneTrackingSummary[[#This Row],[EndDate]:[EndDate]]+1)</f>
        <v>0</v>
      </c>
      <c r="CJ38" s="100">
        <f>CJ37+Table_SiteMilestoneTrackingSummary[[#This Row],[ReadyForIntegration_AC]]</f>
        <v>40</v>
      </c>
      <c r="CK38" s="100">
        <f>$CK$2*Table_SiteMilestoneTrackingSummary[[#This Row],[SiteOnAir_AC]]</f>
        <v>0</v>
      </c>
      <c r="CL38" s="100">
        <f>CL37+Table_SiteMilestoneTrackingSummary[[#This Row],[c7_IntegrationEV]]</f>
        <v>15000</v>
      </c>
      <c r="CM38" s="96">
        <f>SUMIFS(Table_SiteMilestoneTracking[c7_IntegrationCostBL],
Table_SiteMilestoneTracking[SiteOnAir_BL],"&gt;="&amp;Table_SiteMilestoneTrackingSummary[[#This Row],[StartDate]:[StartDate]],
Table_SiteMilestoneTracking[SiteOnAir_BL],"&lt;"&amp;Table_SiteMilestoneTrackingSummary[[#This Row],[EndDate]:[EndDate]]+1)</f>
        <v>7000</v>
      </c>
      <c r="CN38" s="100">
        <f>CN37+Table_SiteMilestoneTrackingSummary[[#This Row],[c7_IntegrationCostBL]]</f>
        <v>50000</v>
      </c>
      <c r="CO38" s="96">
        <f>SUMIFS(Table_SiteMilestoneTracking[c7_IntegrationCostAC],
Table_SiteMilestoneTracking[SiteOnAir_AC],"&gt;="&amp;Table_SiteMilestoneTrackingSummary[[#This Row],[StartDate]:[StartDate]],
Table_SiteMilestoneTracking[SiteOnAir_AC],"&lt;"&amp;Table_SiteMilestoneTrackingSummary[[#This Row],[EndDate]:[EndDate]]+1)</f>
        <v>0</v>
      </c>
      <c r="CP38" s="100">
        <f>CP37+Table_SiteMilestoneTrackingSummary[[#This Row],[c7_IntegrationCostAC]]</f>
        <v>14150</v>
      </c>
      <c r="CQ38" s="96">
        <f>COUNTIFS(Table_SiteMilestoneTracking[SiteOnAir_BL],"&gt;="&amp;Table_SiteMilestoneTrackingSummary[[#This Row],[StartDate]:[StartDate]],
Table_SiteMilestoneTracking[SiteOnAir_BL],"&lt;"&amp;Table_SiteMilestoneTrackingSummary[[#This Row],[EndDate]:[EndDate]]+1)</f>
        <v>14</v>
      </c>
      <c r="CR38" s="100">
        <f>CR37+Table_SiteMilestoneTrackingSummary[[#This Row],[SiteOnAir_BL]]</f>
        <v>100</v>
      </c>
      <c r="CS38" s="96">
        <f>COUNTIFS(Table_SiteMilestoneTracking[SiteOnAir_AC],"&gt;="&amp;Table_SiteMilestoneTrackingSummary[[#This Row],[StartDate]:[StartDate]],
Table_SiteMilestoneTracking[SiteOnAir_AC],"&lt;"&amp;Table_SiteMilestoneTrackingSummary[[#This Row],[EndDate]:[EndDate]]+1)</f>
        <v>0</v>
      </c>
      <c r="CT38" s="100">
        <f>CT37+Table_SiteMilestoneTrackingSummary[[#This Row],[SiteOnAir_AC]]</f>
        <v>30</v>
      </c>
      <c r="CU38" s="100">
        <f>$CU$2*Table_SiteMilestoneTrackingSummary[[#This Row],[SiteAccepted_AC]]</f>
        <v>0</v>
      </c>
      <c r="CV38" s="100">
        <f>CV37+Table_SiteMilestoneTrackingSummary[[#This Row],[c8_AcceptanceEV]]</f>
        <v>5000</v>
      </c>
      <c r="CW38" s="96">
        <f>SUMIFS(Table_SiteMilestoneTracking[c8_AcceptanceCostBL],
Table_SiteMilestoneTracking[SiteAccepted_BL],"&gt;="&amp;Table_SiteMilestoneTrackingSummary[[#This Row],[StartDate]:[StartDate]],
Table_SiteMilestoneTracking[SiteAccepted_BL],"&lt;"&amp;Table_SiteMilestoneTrackingSummary[[#This Row],[EndDate]:[EndDate]]+1)</f>
        <v>5000</v>
      </c>
      <c r="CX38" s="100">
        <f>CX37+Table_SiteMilestoneTrackingSummary[[#This Row],[c8_AcceptanceCostBL]]</f>
        <v>21750</v>
      </c>
      <c r="CY38" s="96">
        <f>SUMIFS(Table_SiteMilestoneTracking[c8_AcceptanceCostAC],
Table_SiteMilestoneTracking[SiteAccepted_AC],"&gt;="&amp;Table_SiteMilestoneTrackingSummary[[#This Row],[StartDate]:[StartDate]],
Table_SiteMilestoneTracking[SiteAccepted_AC],"&lt;"&amp;Table_SiteMilestoneTrackingSummary[[#This Row],[EndDate]:[EndDate]]+1)</f>
        <v>0</v>
      </c>
      <c r="CZ38" s="100">
        <f>CZ37+Table_SiteMilestoneTrackingSummary[[#This Row],[c8_AcceptanceCostAC]]</f>
        <v>5000</v>
      </c>
      <c r="DA38" s="96">
        <f>COUNTIFS(Table_SiteMilestoneTracking[SiteAccepted_BL],"&gt;="&amp;Table_SiteMilestoneTrackingSummary[[#This Row],[StartDate]:[StartDate]],
Table_SiteMilestoneTracking[SiteAccepted_BL],"&lt;"&amp;Table_SiteMilestoneTrackingSummary[[#This Row],[EndDate]:[EndDate]]+1)</f>
        <v>20</v>
      </c>
      <c r="DB38" s="100">
        <f>DB37+Table_SiteMilestoneTrackingSummary[[#This Row],[SiteAccepted_BL]]</f>
        <v>87</v>
      </c>
      <c r="DC38" s="96">
        <f>COUNTIFS(Table_SiteMilestoneTracking[SiteAccepted_AC],"&gt;="&amp;Table_SiteMilestoneTrackingSummary[[#This Row],[StartDate]:[StartDate]],
Table_SiteMilestoneTracking[SiteAccepted_AC],"&lt;"&amp;Table_SiteMilestoneTrackingSummary[[#This Row],[EndDate]:[EndDate]]+1)</f>
        <v>0</v>
      </c>
      <c r="DD38" s="100">
        <f>DD37+Table_SiteMilestoneTrackingSummary[[#This Row],[SiteAccepted_AC]]</f>
        <v>20</v>
      </c>
      <c r="DE38" s="100">
        <f>$DE$2*Table_SiteMilestoneTrackingSummary[[#This Row],[SiteInOperations_AC]]</f>
        <v>0</v>
      </c>
      <c r="DF38" s="100">
        <f>DF37+Table_SiteMilestoneTrackingSummary[[#This Row],[c9_HandoverEV]]</f>
        <v>2000</v>
      </c>
      <c r="DG38" s="96">
        <f>SUMIFS(Table_SiteMilestoneTracking[c9_HandoverCostBL],
Table_SiteMilestoneTracking[SiteInOperations_BL],"&gt;="&amp;Table_SiteMilestoneTrackingSummary[[#This Row],[StartDate]:[StartDate]],
Table_SiteMilestoneTracking[SiteInOperations_BL],"&lt;"&amp;Table_SiteMilestoneTrackingSummary[[#This Row],[EndDate]:[EndDate]]+1)</f>
        <v>3200</v>
      </c>
      <c r="DH38" s="100">
        <f>DH37+Table_SiteMilestoneTrackingSummary[[#This Row],[c9_HandoverCostBL2]]</f>
        <v>13400</v>
      </c>
      <c r="DI38" s="96">
        <f>SUMIFS(Table_SiteMilestoneTracking[c9_HandoverCostAC],
Table_SiteMilestoneTracking[SiteInOperations_AC],"&gt;="&amp;Table_SiteMilestoneTrackingSummary[[#This Row],[StartDate]:[StartDate]],
Table_SiteMilestoneTracking[SiteInOperations_AC],"&lt;"&amp;Table_SiteMilestoneTrackingSummary[[#This Row],[EndDate]:[EndDate]]+1)</f>
        <v>0</v>
      </c>
      <c r="DJ38" s="100">
        <f>DJ37+Table_SiteMilestoneTrackingSummary[[#This Row],[c9_HandoverCostAC]]</f>
        <v>2000</v>
      </c>
      <c r="DK38" s="96">
        <f>COUNTIFS(Table_SiteMilestoneTracking[SiteInOperations_BL],"&gt;="&amp;Table_SiteMilestoneTrackingSummary[[#This Row],[StartDate]:[StartDate]],
Table_SiteMilestoneTracking[SiteInOperations_BL],"&lt;"&amp;Table_SiteMilestoneTrackingSummary[[#This Row],[EndDate]:[EndDate]]+1)</f>
        <v>16</v>
      </c>
      <c r="DL38" s="100">
        <f>DL37+Table_SiteMilestoneTrackingSummary[[#This Row],[SiteInOperations_BL]]</f>
        <v>67</v>
      </c>
      <c r="DM38" s="96">
        <f>COUNTIFS(Table_SiteMilestoneTracking[SiteInOperations_AC],"&gt;="&amp;Table_SiteMilestoneTrackingSummary[[#This Row],[StartDate]:[StartDate]],
Table_SiteMilestoneTracking[SiteInOperations_AC],"&lt;"&amp;Table_SiteMilestoneTrackingSummary[[#This Row],[EndDate]:[EndDate]]+1)</f>
        <v>0</v>
      </c>
      <c r="DN38" s="100">
        <f>DN37+Table_SiteMilestoneTrackingSummary[[#This Row],[SiteInOperations_AC]]</f>
        <v>10</v>
      </c>
      <c r="DO38" s="59">
        <f>Table_SiteMilestoneTrackingSummary[[#This Row],[c0_SiteDesignEV(SUM)]]+Table_SiteMilestoneTrackingSummary[[#This Row],[c1_SiteSurveyEV(SUM)]]+Table_SiteMilestoneTrackingSummary[[#This Row],[c2_SiteAcquisitionEV(SUM)]]+Table_SiteMilestoneTrackingSummary[[#This Row],[c2a_SiteCWReadinessEV(SUM)]]+Table_SiteMilestoneTrackingSummary[[#This Row],[c3_CivilWorksEV(SUM)]]+Table_SiteMilestoneTrackingSummary[[#This Row],[c4_PowerInstallEV(SUM)]]+Table_SiteMilestoneTrackingSummary[[#This Row],[c5_TxIntegrationEV(SUM)]]+Table_SiteMilestoneTrackingSummary[[#This Row],[c6_InstallationEV(SUM)]]+Table_SiteMilestoneTrackingSummary[[#This Row],[c7_IntegrationEV(SUM)]]+Table_SiteMilestoneTrackingSummary[[#This Row],[c8_AcceptanceEV(SUM)]]+Table_SiteMilestoneTrackingSummary[[#This Row],[c9_HandoverEV(SUM)]]</f>
        <v>429900</v>
      </c>
      <c r="DP38" s="59">
        <f>Table_SiteMilestoneTrackingSummary[[#This Row],[c0_SiteDesignCostBL(SUM)]]+Table_SiteMilestoneTrackingSummary[[#This Row],[c1_SiteSurveyCostBL(SUM)]]+Table_SiteMilestoneTrackingSummary[[#This Row],[c2_SiteAcquisitionCostBL(SUM)]]+Table_SiteMilestoneTrackingSummary[[#This Row],[c2a_SiteCWReadinessCostBL(SUM)]]+Table_SiteMilestoneTrackingSummary[[#This Row],[c3_CivilWorksCostBL(SUM)]]+Table_SiteMilestoneTrackingSummary[[#This Row],[c4_PowerInstallCostBL(SUM)]]+Table_SiteMilestoneTrackingSummary[[#This Row],[c5_TxIntegrationCostBL(SUM)]]+Table_SiteMilestoneTrackingSummary[[#This Row],[c6_InstallationCostBL(SUM)]]+Table_SiteMilestoneTrackingSummary[[#This Row],[c7_IntegrationCostBL(SUM)]]+Table_SiteMilestoneTrackingSummary[[#This Row],[c8_AcceptanceCostBL(SUM)]]+Table_SiteMilestoneTrackingSummary[[#This Row],[c9_HandoverCostBL(SUM)]]</f>
        <v>760150</v>
      </c>
      <c r="DQ38" s="59">
        <f>Table_SiteMilestoneTrackingSummary[[#This Row],[c0_SiteDesignCostAC(SUM)]]+Table_SiteMilestoneTrackingSummary[[#This Row],[c1_SiteSurveyCostAC(SUM)]]+Table_SiteMilestoneTrackingSummary[[#This Row],[c2_SiteAcquisitionCostAC(SUM)]]+Table_SiteMilestoneTrackingSummary[[#This Row],[c2a_SiteCWReadinessCostAC(SUM)]]+Table_SiteMilestoneTrackingSummary[[#This Row],[c3_CivilWorksCostAC(SUM)]]+Table_SiteMilestoneTrackingSummary[[#This Row],[c4_PowerInstallCostAC(SUM)]]+Table_SiteMilestoneTrackingSummary[[#This Row],[c5_TxIntegrationCostAC(SUM)]]+Table_SiteMilestoneTrackingSummary[[#This Row],[c6_InstallationCostAC(SUM)]]+Table_SiteMilestoneTrackingSummary[[#This Row],[c7_IntegrationCostAC(SUM)]]+Table_SiteMilestoneTrackingSummary[[#This Row],[c8_AcceptanceCostAC(SUM)]]+Table_SiteMilestoneTrackingSummary[[#This Row],[c9_HandoverCostAC(SUM)]]</f>
        <v>433825</v>
      </c>
      <c r="DR38" s="59">
        <f>Table_SiteMilestoneTrackingSummary[[#This Row],[AccumulatedEV]]-Table_SiteMilestoneTrackingSummary[[#This Row],[AccumulatedPV]]</f>
        <v>-330250</v>
      </c>
      <c r="DS38" s="59">
        <f>Table_SiteMilestoneTrackingSummary[[#This Row],[AccumulatedEV]]-Table_SiteMilestoneTrackingSummary[[#This Row],[AccumulatedAC]]</f>
        <v>-3925</v>
      </c>
      <c r="DT38" s="58">
        <f>IFERROR(Table_SiteMilestoneTrackingSummary[[#This Row],[AccumulatedEV]]/Table_SiteMilestoneTrackingSummary[[#This Row],[AccumulatedPV]],"/")</f>
        <v>0.56554627376175759</v>
      </c>
      <c r="DU38" s="101">
        <f>IFERROR(Table_SiteMilestoneTrackingSummary[[#This Row],[AccumulatedEV]]/Table_SiteMilestoneTrackingSummary[[#This Row],[AccumulatedAC]],"/")</f>
        <v>0.99095257304212525</v>
      </c>
    </row>
    <row r="39" spans="1:125" x14ac:dyDescent="0.3">
      <c r="A39" s="79">
        <v>2020</v>
      </c>
      <c r="B39" s="79">
        <v>36</v>
      </c>
      <c r="C39" s="95">
        <f>DATE(Table_SiteMilestoneTrackingSummary[[#This Row],[Year]],1,-2)-WEEKDAY(DATE(Table_SiteMilestoneTrackingSummary[[#This Row],[Year]],1,3))+Table_SiteMilestoneTrackingSummary[[#This Row],[Week]]*7</f>
        <v>44074</v>
      </c>
      <c r="D39" s="95">
        <f>Table_SiteMilestoneTrackingSummary[[#This Row],[StartDate]]+6</f>
        <v>44080</v>
      </c>
      <c r="E39" s="100">
        <f>COUNTIFS(Table_SiteMilestoneTracking[SiteDesignStarted_BL],"&gt;="&amp;Table_SiteMilestoneTrackingSummary[[#This Row],[StartDate]:[StartDate]],Table_SiteMilestoneTracking[SiteDesignStarted_BL],"&lt;"&amp;Table_SiteMilestoneTrackingSummary[[#This Row],[EndDate]:[EndDate]]+1)</f>
        <v>0</v>
      </c>
      <c r="F39" s="100">
        <f>F38+Table_SiteMilestoneTrackingSummary[[#This Row],[SiteDesignStarted_BL]]</f>
        <v>100</v>
      </c>
      <c r="G39" s="100">
        <f>COUNTIFS(Table_SiteMilestoneTracking[SiteDesignStarted_AC],"&gt;="&amp;Table_SiteMilestoneTrackingSummary[[#This Row],[StartDate]:[StartDate]],Table_SiteMilestoneTracking[SiteDesignStarted_AC],"&lt;"&amp;Table_SiteMilestoneTrackingSummary[[#This Row],[EndDate]:[EndDate]]+1)</f>
        <v>0</v>
      </c>
      <c r="H39" s="100">
        <f>H38+Table_SiteMilestoneTrackingSummary[[#This Row],[SiteDesignStarted_AC]]</f>
        <v>96</v>
      </c>
      <c r="I39" s="100">
        <f>Table_SiteMilestoneTrackingSummary[[#This Row],[SiteDesignReady_AC]]*$I$2</f>
        <v>0</v>
      </c>
      <c r="J39" s="100">
        <f>J38+Table_SiteMilestoneTrackingSummary[[#This Row],[c0_SiteDesignEV]]</f>
        <v>45000</v>
      </c>
      <c r="K39" s="97">
        <f>SUMIFS(Table_SiteMilestoneTracking[c0_SiteDesignCostBL],
Table_SiteMilestoneTracking[SiteDesignReady_BL],"&gt;="&amp;Table_SiteMilestoneTrackingSummary[[#This Row],[StartDate]:[StartDate]],
Table_SiteMilestoneTracking[SiteDesignReady_BL],"&lt;"&amp;Table_SiteMilestoneTrackingSummary[[#This Row],[EndDate]:[EndDate]]+1)</f>
        <v>0</v>
      </c>
      <c r="L39" s="59">
        <f>L38+Table_SiteMilestoneTrackingSummary[[#This Row],[c0_SiteDesignCostBL]]</f>
        <v>50000</v>
      </c>
      <c r="M39" s="97">
        <f>SUMIFS(Table_SiteMilestoneTracking[c0_SiteDesignCostAC],
Table_SiteMilestoneTracking[SiteDesignReady_AC],"&gt;="&amp;Table_SiteMilestoneTrackingSummary[[#This Row],[StartDate]:[StartDate]],
Table_SiteMilestoneTracking[SiteDesignReady_AC],"&lt;"&amp;Table_SiteMilestoneTrackingSummary[[#This Row],[EndDate]:[EndDate]]+1)</f>
        <v>0</v>
      </c>
      <c r="N39" s="59">
        <f>N38+Table_SiteMilestoneTrackingSummary[[#This Row],[c0_SiteDesignCostAC]]</f>
        <v>43180</v>
      </c>
      <c r="O39" s="96">
        <f>COUNTIFS(Table_SiteMilestoneTracking[SiteDesignReady_BL],"&gt;="&amp;Table_SiteMilestoneTrackingSummary[[#This Row],[StartDate]:[StartDate]],
Table_SiteMilestoneTracking[SiteDesignReady_BL],"&lt;"&amp;Table_SiteMilestoneTrackingSummary[[#This Row],[EndDate]:[EndDate]]+1)</f>
        <v>0</v>
      </c>
      <c r="P39" s="100">
        <f>P38+Table_SiteMilestoneTrackingSummary[[#This Row],[SiteDesignReady_BL]]</f>
        <v>100</v>
      </c>
      <c r="Q39" s="100">
        <f>COUNTIFS(Table_SiteMilestoneTracking[SiteDesignReady_AC],"&gt;="&amp;Table_SiteMilestoneTrackingSummary[[#This Row],[StartDate]:[StartDate]],Table_SiteMilestoneTracking[SiteDesignReady_AC],"&lt;"&amp;Table_SiteMilestoneTrackingSummary[[#This Row],[EndDate]:[EndDate]]+1)</f>
        <v>0</v>
      </c>
      <c r="R39" s="100">
        <f>R38+Table_SiteMilestoneTrackingSummary[[#This Row],[SiteDesignReady_AC]]</f>
        <v>90</v>
      </c>
      <c r="S39" s="100">
        <f>Table_SiteMilestoneTrackingSummary[[#This Row],[ReadyForCW_AC]]*$S$2</f>
        <v>0</v>
      </c>
      <c r="T39" s="100">
        <f>T38+Table_SiteMilestoneTrackingSummary[[#This Row],[c1_SiteSurveyEV]]</f>
        <v>40000</v>
      </c>
      <c r="U39" s="96">
        <f>SUMIFS(Table_SiteMilestoneTracking[c1_SiteSurveyCostBL],
Table_SiteMilestoneTracking[SiteSurveyCompleted_BL],"&gt;="&amp;Table_SiteMilestoneTrackingSummary[[#This Row],[StartDate]:[StartDate]],
Table_SiteMilestoneTracking[SiteSurveyCompleted_BL],"&lt;"&amp;Table_SiteMilestoneTrackingSummary[[#This Row],[EndDate]:[EndDate]]+1)</f>
        <v>0</v>
      </c>
      <c r="V39" s="100">
        <f>V38+Table_SiteMilestoneTrackingSummary[[#This Row],[c1_SiteSurveyCostBL]]</f>
        <v>50000</v>
      </c>
      <c r="W39" s="96">
        <f>SUMIFS(Table_SiteMilestoneTracking[c1_SiteSurveyCostAC],
Table_SiteMilestoneTracking[SiteSurveyCompleted_AC],"&gt;="&amp;Table_SiteMilestoneTrackingSummary[[#This Row],[StartDate]:[StartDate]],
Table_SiteMilestoneTracking[SiteSurveyCompleted_AC],"&lt;"&amp;Table_SiteMilestoneTrackingSummary[[#This Row],[EndDate]:[EndDate]]+1)</f>
        <v>0</v>
      </c>
      <c r="X39" s="100">
        <f>X38+Table_SiteMilestoneTrackingSummary[[#This Row],[c1_SiteSurveyCostAC]]</f>
        <v>51800</v>
      </c>
      <c r="Y39" s="96">
        <f>COUNTIFS(Table_SiteMilestoneTracking[SiteSurveyCompleted_BL],"&gt;="&amp;Table_SiteMilestoneTrackingSummary[[#This Row],[StartDate]:[StartDate]],
Table_SiteMilestoneTracking[SiteSurveyCompleted_BL],"&lt;"&amp;Table_SiteMilestoneTrackingSummary[[#This Row],[EndDate]:[EndDate]]+1)</f>
        <v>0</v>
      </c>
      <c r="Z39" s="100">
        <f>Z38+Table_SiteMilestoneTrackingSummary[[#This Row],[SiteSurveyCompleted_BL]]</f>
        <v>100</v>
      </c>
      <c r="AA39" s="96">
        <f>COUNTIFS(Table_SiteMilestoneTracking[SiteSurveyCompleted_AC],"&gt;="&amp;Table_SiteMilestoneTrackingSummary[[#This Row],[StartDate]:[StartDate]],
Table_SiteMilestoneTracking[SiteSurveyCompleted_AC],"&lt;"&amp;Table_SiteMilestoneTrackingSummary[[#This Row],[EndDate]:[EndDate]]+1)</f>
        <v>0</v>
      </c>
      <c r="AB39" s="100">
        <f>AB38+Table_SiteMilestoneTrackingSummary[[#This Row],[SiteSurveyCompleted_AC]]</f>
        <v>86</v>
      </c>
      <c r="AC39" s="100">
        <f>$AC$2*Table_SiteMilestoneTrackingSummary[[#This Row],[SiteAcquired_AC]]</f>
        <v>0</v>
      </c>
      <c r="AD39" s="100">
        <f>AD38+Table_SiteMilestoneTrackingSummary[[#This Row],[c2_SiteAcquisitionEV]]</f>
        <v>50400</v>
      </c>
      <c r="AE39" s="96">
        <f>SUMIFS(Table_SiteMilestoneTracking[c2_SiteAcquisitionCostBL],
Table_SiteMilestoneTracking[SiteAcquired_BL],"&gt;="&amp;Table_SiteMilestoneTrackingSummary[[#This Row],[StartDate]:[StartDate]],
Table_SiteMilestoneTracking[SiteAcquired_BL],"&lt;"&amp;Table_SiteMilestoneTrackingSummary[[#This Row],[EndDate]:[EndDate]]+1)</f>
        <v>0</v>
      </c>
      <c r="AF39" s="100">
        <f>AF38+Table_SiteMilestoneTrackingSummary[[#This Row],[c2_SiteAcquisitionCostBL]]</f>
        <v>60000</v>
      </c>
      <c r="AG39" s="96">
        <f>SUMIFS(Table_SiteMilestoneTracking[c2_SiteAcquisitionCostAC],
Table_SiteMilestoneTracking[SiteAcquired_AC],"&gt;="&amp;Table_SiteMilestoneTrackingSummary[[#This Row],[StartDate]:[StartDate]],
Table_SiteMilestoneTracking[SiteAcquired_AC],"&lt;"&amp;Table_SiteMilestoneTrackingSummary[[#This Row],[EndDate]:[EndDate]]+1)</f>
        <v>0</v>
      </c>
      <c r="AH39" s="100">
        <f>AH38+Table_SiteMilestoneTrackingSummary[[#This Row],[c2_SiteAcquisitionCostAC]]</f>
        <v>52800</v>
      </c>
      <c r="AI39" s="96">
        <f>COUNTIFS(Table_SiteMilestoneTracking[SiteAcquired_BL],"&gt;="&amp;Table_SiteMilestoneTrackingSummary[[#This Row],[StartDate]:[StartDate]],
Table_SiteMilestoneTracking[SiteAcquired_BL],"&lt;"&amp;Table_SiteMilestoneTrackingSummary[[#This Row],[EndDate]:[EndDate]]+1)</f>
        <v>0</v>
      </c>
      <c r="AJ39" s="100">
        <f>AJ38+Table_SiteMilestoneTrackingSummary[[#This Row],[SiteAcquired_BL]]</f>
        <v>100</v>
      </c>
      <c r="AK39" s="96">
        <f>COUNTIFS(Table_SiteMilestoneTracking[SiteAcquired_AC],"&gt;="&amp;Table_SiteMilestoneTrackingSummary[[#This Row],[StartDate]:[StartDate]],
Table_SiteMilestoneTracking[SiteAcquired_AC],"&lt;"&amp;Table_SiteMilestoneTrackingSummary[[#This Row],[EndDate]:[EndDate]]+1)</f>
        <v>0</v>
      </c>
      <c r="AL39" s="100">
        <f>AL38+Table_SiteMilestoneTrackingSummary[[#This Row],[SiteAcquired_AC]]</f>
        <v>84</v>
      </c>
      <c r="AM39" s="100">
        <f>Table_SiteMilestoneTrackingSummary[[#This Row],[ReadyForCW_AC]]*$AM$2</f>
        <v>0</v>
      </c>
      <c r="AN39" s="100">
        <f>AN38+Table_SiteMilestoneTrackingSummary[[#This Row],[c2a_SiteCWReadinessEV]]</f>
        <v>12000</v>
      </c>
      <c r="AO39" s="96">
        <f>SUMIFS(Table_SiteMilestoneTracking[c2a_SiteCWReadinessCost_BL],
Table_SiteMilestoneTracking[SiteReadyForCW_BL],"&gt;="&amp;Table_SiteMilestoneTrackingSummary[[#This Row],[StartDate]:[StartDate]],
Table_SiteMilestoneTracking[SiteReadyForCW_BL],"&lt;"&amp;Table_SiteMilestoneTrackingSummary[[#This Row],[EndDate]:[EndDate]]+1)</f>
        <v>0</v>
      </c>
      <c r="AP39" s="100">
        <f>AP38+Table_SiteMilestoneTrackingSummary[[#This Row],[c2a_SiteCWReadinessCostBL]]</f>
        <v>15000</v>
      </c>
      <c r="AQ39" s="96">
        <f>SUMIFS(Table_SiteMilestoneTracking[c2a_SiteCWReadinessCost_AC],
Table_SiteMilestoneTracking[SiteReadyForCW_AC],"&gt;="&amp;Table_SiteMilestoneTrackingSummary[[#This Row],[StartDate]:[StartDate]],
Table_SiteMilestoneTracking[SiteReadyForCW_AC],"&lt;"&amp;Table_SiteMilestoneTrackingSummary[[#This Row],[EndDate]:[EndDate]]+1)</f>
        <v>0</v>
      </c>
      <c r="AR39" s="100">
        <f>AR38+Table_SiteMilestoneTrackingSummary[[#This Row],[c2a_SiteCWReadinessCostAC]]</f>
        <v>12045</v>
      </c>
      <c r="AS39" s="96">
        <f>COUNTIFS(Table_SiteMilestoneTracking[SiteReadyForCW_BL],"&gt;="&amp;Table_SiteMilestoneTrackingSummary[[#This Row],[StartDate]:[StartDate]],
Table_SiteMilestoneTracking[SiteReadyForCW_BL],"&lt;"&amp;Table_SiteMilestoneTrackingSummary[[#This Row],[EndDate]:[EndDate]]+1)</f>
        <v>0</v>
      </c>
      <c r="AT39" s="100">
        <f>AT38+Table_SiteMilestoneTrackingSummary[[#This Row],[ReadyForCW_BL]]</f>
        <v>100</v>
      </c>
      <c r="AU39" s="96">
        <f>COUNTIFS(Table_SiteMilestoneTracking[SiteReadyForCW_AC],"&gt;="&amp;Table_SiteMilestoneTrackingSummary[[#This Row],[StartDate]:[StartDate]],
Table_SiteMilestoneTracking[SiteReadyForCW_AC],"&lt;"&amp;Table_SiteMilestoneTrackingSummary[[#This Row],[EndDate]:[EndDate]]+1)</f>
        <v>0</v>
      </c>
      <c r="AV39" s="100">
        <f>AV38+Table_SiteMilestoneTrackingSummary[[#This Row],[ReadyForCW_AC]]</f>
        <v>80</v>
      </c>
      <c r="AW39" s="100">
        <f>$AW$2*Table_SiteMilestoneTrackingSummary[[#This Row],[ReadyForPower_AC]]</f>
        <v>0</v>
      </c>
      <c r="AX39" s="100">
        <f>AX38+Table_SiteMilestoneTrackingSummary[[#This Row],[c3_CivilWorksEV]]</f>
        <v>105000</v>
      </c>
      <c r="AY39" s="96">
        <f>SUMIFS(Table_SiteMilestoneTracking[c3_CivilWorksCostBL],
Table_SiteMilestoneTracking[SiteReadyForPower_BL],"&gt;="&amp;Table_SiteMilestoneTrackingSummary[[#This Row],[StartDate]:[StartDate]],
Table_SiteMilestoneTracking[SiteReadyForPower_BL],"&lt;"&amp;Table_SiteMilestoneTrackingSummary[[#This Row],[EndDate]:[EndDate]]+1)</f>
        <v>0</v>
      </c>
      <c r="AZ39" s="100">
        <f>AZ38+Table_SiteMilestoneTrackingSummary[[#This Row],[c3_CivilWorksCostBL]]</f>
        <v>150000</v>
      </c>
      <c r="BA39" s="96">
        <f>SUMIFS(Table_SiteMilestoneTracking[c3_CivilWorksCostAC],
Table_SiteMilestoneTracking[SiteReadyForPower_AC],"&gt;="&amp;Table_SiteMilestoneTrackingSummary[[#This Row],[StartDate]:[StartDate]],
Table_SiteMilestoneTracking[SiteReadyForPower_AC],"&lt;"&amp;Table_SiteMilestoneTrackingSummary[[#This Row],[EndDate]:[EndDate]]+1)</f>
        <v>0</v>
      </c>
      <c r="BB39" s="100">
        <f>BB38+Table_SiteMilestoneTrackingSummary[[#This Row],[c3_CivilWorksCostAC]]</f>
        <v>112350</v>
      </c>
      <c r="BC39" s="96">
        <f>COUNTIFS(Table_SiteMilestoneTracking[SiteReadyForPower_BL],"&gt;="&amp;Table_SiteMilestoneTrackingSummary[[#This Row],[StartDate]:[StartDate]],
Table_SiteMilestoneTracking[SiteReadyForPower_BL],"&lt;"&amp;Table_SiteMilestoneTrackingSummary[[#This Row],[EndDate]:[EndDate]]+1)</f>
        <v>0</v>
      </c>
      <c r="BD39" s="100">
        <f>BD38+Table_SiteMilestoneTrackingSummary[[#This Row],[ReadyForPower_BL]]</f>
        <v>100</v>
      </c>
      <c r="BE39" s="96">
        <f>COUNTIFS(Table_SiteMilestoneTracking[SiteReadyForPower_AC],"&gt;="&amp;Table_SiteMilestoneTrackingSummary[[#This Row],[StartDate]:[StartDate]],
Table_SiteMilestoneTracking[SiteReadyForPower_AC],"&lt;"&amp;Table_SiteMilestoneTrackingSummary[[#This Row],[EndDate]:[EndDate]]+1)</f>
        <v>0</v>
      </c>
      <c r="BF39" s="100">
        <f>BF38+Table_SiteMilestoneTrackingSummary[[#This Row],[ReadyForPower_AC]]</f>
        <v>70</v>
      </c>
      <c r="BG39" s="100">
        <f>$BG$2*Table_SiteMilestoneTrackingSummary[[#This Row],[TXReady_AC]]</f>
        <v>0</v>
      </c>
      <c r="BH39" s="100">
        <f>BH38+Table_SiteMilestoneTrackingSummary[[#This Row],[c4_PowerInstallEV]]</f>
        <v>30000</v>
      </c>
      <c r="BI39" s="96">
        <f>SUMIFS(Table_SiteMilestoneTracking[c4_PowerInstallCostBL],
Table_SiteMilestoneTracking[TXReady_BL],"&gt;="&amp;Table_SiteMilestoneTrackingSummary[[#This Row],[StartDate]:[StartDate]],
Table_SiteMilestoneTracking[TXReady_BL],"&lt;"&amp;Table_SiteMilestoneTrackingSummary[[#This Row],[EndDate]:[EndDate]]+1)</f>
        <v>0</v>
      </c>
      <c r="BJ39" s="100">
        <f>BJ38+Table_SiteMilestoneTrackingSummary[[#This Row],[c4_PowerInstallCostBL]]</f>
        <v>50000</v>
      </c>
      <c r="BK39" s="96">
        <f>SUMIFS(Table_SiteMilestoneTracking[c4_PowerInstallCostAC],
Table_SiteMilestoneTracking[TXReady_AC],"&gt;="&amp;Table_SiteMilestoneTrackingSummary[[#This Row],[StartDate]:[StartDate]],
Table_SiteMilestoneTracking[TXReady_AC],"&lt;"&amp;Table_SiteMilestoneTrackingSummary[[#This Row],[EndDate]:[EndDate]]+1)</f>
        <v>0</v>
      </c>
      <c r="BL39" s="100">
        <f>BL38+Table_SiteMilestoneTrackingSummary[[#This Row],[c4_PowerInstallCostAC]]</f>
        <v>28050</v>
      </c>
      <c r="BM39" s="96">
        <f>COUNTIFS(Table_SiteMilestoneTracking[TXReady_BL],"&gt;="&amp;Table_SiteMilestoneTrackingSummary[[#This Row],[StartDate]:[StartDate]],
Table_SiteMilestoneTracking[TXReady_BL],"&lt;"&amp;Table_SiteMilestoneTrackingSummary[[#This Row],[EndDate]:[EndDate]]+1)</f>
        <v>0</v>
      </c>
      <c r="BN39" s="100">
        <f>BN38+Table_SiteMilestoneTrackingSummary[[#This Row],[TXReady_BL]]</f>
        <v>100</v>
      </c>
      <c r="BO39" s="100">
        <f>COUNTIFS(Table_SiteMilestoneTracking[TXReady_AC],"&gt;="&amp;Table_SiteMilestoneTrackingSummary[[#This Row],[StartDate]:[StartDate]],Table_SiteMilestoneTracking[TXReady_AC],"&lt;"&amp;Table_SiteMilestoneTrackingSummary[[#This Row],[EndDate]:[EndDate]]+1)</f>
        <v>0</v>
      </c>
      <c r="BP39" s="100">
        <f>BP38+Table_SiteMilestoneTrackingSummary[[#This Row],[TXReady_AC]]</f>
        <v>60</v>
      </c>
      <c r="BQ39" s="100">
        <f>$BQ$2*Table_SiteMilestoneTrackingSummary[[#This Row],[ReadyForInstallation_AC]]</f>
        <v>0</v>
      </c>
      <c r="BR39" s="100">
        <f>BR38+Table_SiteMilestoneTrackingSummary[[#This Row],[c5_TxIntegrationEV]]</f>
        <v>25500</v>
      </c>
      <c r="BS39" s="96">
        <f>SUMIFS(Table_SiteMilestoneTracking[c5_TxintegrationCostBL],
Table_SiteMilestoneTracking[SiteReadyForInstallation_BL],"&gt;="&amp;Table_SiteMilestoneTrackingSummary[[#This Row],[StartDate]:[StartDate]],
Table_SiteMilestoneTracking[SiteReadyForInstallation_BL],"&lt;"&amp;Table_SiteMilestoneTrackingSummary[[#This Row],[EndDate]:[EndDate]]+1)</f>
        <v>0</v>
      </c>
      <c r="BT39" s="100">
        <f>BT38+Table_SiteMilestoneTrackingSummary[[#This Row],[c5_TxIntegrationCostBL]]</f>
        <v>50000</v>
      </c>
      <c r="BU39" s="96">
        <f>SUMIFS(Table_SiteMilestoneTracking[c5_TxintegrationCostAC],
Table_SiteMilestoneTracking[SiteReadyForInstallation_AC],"&gt;="&amp;Table_SiteMilestoneTrackingSummary[[#This Row],[StartDate]:[StartDate]],
Table_SiteMilestoneTracking[SiteReadyForInstallation_AC],"&lt;"&amp;Table_SiteMilestoneTrackingSummary[[#This Row],[EndDate]:[EndDate]]+1)</f>
        <v>0</v>
      </c>
      <c r="BV39" s="100">
        <f>BV38+Table_SiteMilestoneTrackingSummary[[#This Row],[c5_TxIntegrationCostAC]]</f>
        <v>24850</v>
      </c>
      <c r="BW39" s="96">
        <f>COUNTIFS(Table_SiteMilestoneTracking[SiteReadyForInstallation_BL],"&gt;="&amp;Table_SiteMilestoneTrackingSummary[[#This Row],[StartDate]:[StartDate]],
Table_SiteMilestoneTracking[SiteReadyForInstallation_BL],"&lt;"&amp;Table_SiteMilestoneTrackingSummary[[#This Row],[EndDate]:[EndDate]]+1)</f>
        <v>0</v>
      </c>
      <c r="BX39" s="100">
        <f>BX38+Table_SiteMilestoneTrackingSummary[[#This Row],[ReadyForInstallation_BL]]</f>
        <v>100</v>
      </c>
      <c r="BY39" s="96">
        <f>COUNTIFS(Table_SiteMilestoneTracking[SiteReadyForInstallation_AC],"&gt;="&amp;Table_SiteMilestoneTrackingSummary[[#This Row],[StartDate]:[StartDate]],
Table_SiteMilestoneTracking[SiteReadyForInstallation_AC],"&lt;"&amp;Table_SiteMilestoneTrackingSummary[[#This Row],[EndDate]:[EndDate]]+1)</f>
        <v>0</v>
      </c>
      <c r="BZ39" s="100">
        <f>BZ38+Table_SiteMilestoneTrackingSummary[[#This Row],[ReadyForInstallation_AC]]</f>
        <v>51</v>
      </c>
      <c r="CA39" s="100">
        <f>$CA$2*Table_SiteMilestoneTrackingSummary[[#This Row],[ReadyForIntegration_AC]]</f>
        <v>0</v>
      </c>
      <c r="CB39" s="100">
        <f>CB38+Table_SiteMilestoneTrackingSummary[[#This Row],[c6_InstallationEV]]</f>
        <v>100000</v>
      </c>
      <c r="CC39" s="96">
        <f>SUMIFS(Table_SiteMilestoneTracking[c6_InstallationCostBL],
Table_SiteMilestoneTracking[SiteReadyForIntegration_BL],"&gt;="&amp;Table_SiteMilestoneTrackingSummary[[#This Row],[StartDate]:[StartDate]],
Table_SiteMilestoneTracking[SiteReadyForIntegration_BL],"&lt;"&amp;Table_SiteMilestoneTrackingSummary[[#This Row],[EndDate]:[EndDate]]+1)</f>
        <v>0</v>
      </c>
      <c r="CD39" s="100">
        <f>CD38+Table_SiteMilestoneTrackingSummary[[#This Row],[c6_InstallationCostBL]]</f>
        <v>250000</v>
      </c>
      <c r="CE39" s="96">
        <f>SUMIFS(Table_SiteMilestoneTracking[c6_InstallationCostAC],
Table_SiteMilestoneTracking[SiteReadyForIntegration_AC],"&gt;="&amp;Table_SiteMilestoneTrackingSummary[[#This Row],[StartDate]:[StartDate]],
Table_SiteMilestoneTracking[SiteReadyForIntegration_AC],"&lt;"&amp;Table_SiteMilestoneTrackingSummary[[#This Row],[EndDate]:[EndDate]]+1)</f>
        <v>0</v>
      </c>
      <c r="CF39" s="100">
        <f>CF38+Table_SiteMilestoneTrackingSummary[[#This Row],[c6_InstallationCostAC]]</f>
        <v>87600</v>
      </c>
      <c r="CG39" s="96">
        <f>COUNTIFS(Table_SiteMilestoneTracking[SiteReadyForIntegration_BL],"&gt;="&amp;Table_SiteMilestoneTrackingSummary[[#This Row],[StartDate]:[StartDate]],
Table_SiteMilestoneTracking[SiteReadyForIntegration_BL],"&lt;"&amp;Table_SiteMilestoneTrackingSummary[[#This Row],[EndDate]:[EndDate]]+1)</f>
        <v>0</v>
      </c>
      <c r="CH39" s="100">
        <f>CH38+Table_SiteMilestoneTrackingSummary[[#This Row],[ReadyForIntegration_BL]]</f>
        <v>100</v>
      </c>
      <c r="CI39" s="96">
        <f>COUNTIFS(Table_SiteMilestoneTracking[SiteReadyForIntegration_AC],"&gt;="&amp;Table_SiteMilestoneTrackingSummary[[#This Row],[StartDate]:[StartDate]],
Table_SiteMilestoneTracking[SiteReadyForIntegration_AC],"&lt;"&amp;Table_SiteMilestoneTrackingSummary[[#This Row],[EndDate]:[EndDate]]+1)</f>
        <v>0</v>
      </c>
      <c r="CJ39" s="100">
        <f>CJ38+Table_SiteMilestoneTrackingSummary[[#This Row],[ReadyForIntegration_AC]]</f>
        <v>40</v>
      </c>
      <c r="CK39" s="100">
        <f>$CK$2*Table_SiteMilestoneTrackingSummary[[#This Row],[SiteOnAir_AC]]</f>
        <v>0</v>
      </c>
      <c r="CL39" s="100">
        <f>CL38+Table_SiteMilestoneTrackingSummary[[#This Row],[c7_IntegrationEV]]</f>
        <v>15000</v>
      </c>
      <c r="CM39" s="96">
        <f>SUMIFS(Table_SiteMilestoneTracking[c7_IntegrationCostBL],
Table_SiteMilestoneTracking[SiteOnAir_BL],"&gt;="&amp;Table_SiteMilestoneTrackingSummary[[#This Row],[StartDate]:[StartDate]],
Table_SiteMilestoneTracking[SiteOnAir_BL],"&lt;"&amp;Table_SiteMilestoneTrackingSummary[[#This Row],[EndDate]:[EndDate]]+1)</f>
        <v>0</v>
      </c>
      <c r="CN39" s="100">
        <f>CN38+Table_SiteMilestoneTrackingSummary[[#This Row],[c7_IntegrationCostBL]]</f>
        <v>50000</v>
      </c>
      <c r="CO39" s="96">
        <f>SUMIFS(Table_SiteMilestoneTracking[c7_IntegrationCostAC],
Table_SiteMilestoneTracking[SiteOnAir_AC],"&gt;="&amp;Table_SiteMilestoneTrackingSummary[[#This Row],[StartDate]:[StartDate]],
Table_SiteMilestoneTracking[SiteOnAir_AC],"&lt;"&amp;Table_SiteMilestoneTrackingSummary[[#This Row],[EndDate]:[EndDate]]+1)</f>
        <v>0</v>
      </c>
      <c r="CP39" s="100">
        <f>CP38+Table_SiteMilestoneTrackingSummary[[#This Row],[c7_IntegrationCostAC]]</f>
        <v>14150</v>
      </c>
      <c r="CQ39" s="96">
        <f>COUNTIFS(Table_SiteMilestoneTracking[SiteOnAir_BL],"&gt;="&amp;Table_SiteMilestoneTrackingSummary[[#This Row],[StartDate]:[StartDate]],
Table_SiteMilestoneTracking[SiteOnAir_BL],"&lt;"&amp;Table_SiteMilestoneTrackingSummary[[#This Row],[EndDate]:[EndDate]]+1)</f>
        <v>0</v>
      </c>
      <c r="CR39" s="100">
        <f>CR38+Table_SiteMilestoneTrackingSummary[[#This Row],[SiteOnAir_BL]]</f>
        <v>100</v>
      </c>
      <c r="CS39" s="96">
        <f>COUNTIFS(Table_SiteMilestoneTracking[SiteOnAir_AC],"&gt;="&amp;Table_SiteMilestoneTrackingSummary[[#This Row],[StartDate]:[StartDate]],
Table_SiteMilestoneTracking[SiteOnAir_AC],"&lt;"&amp;Table_SiteMilestoneTrackingSummary[[#This Row],[EndDate]:[EndDate]]+1)</f>
        <v>0</v>
      </c>
      <c r="CT39" s="100">
        <f>CT38+Table_SiteMilestoneTrackingSummary[[#This Row],[SiteOnAir_AC]]</f>
        <v>30</v>
      </c>
      <c r="CU39" s="100">
        <f>$CU$2*Table_SiteMilestoneTrackingSummary[[#This Row],[SiteAccepted_AC]]</f>
        <v>0</v>
      </c>
      <c r="CV39" s="100">
        <f>CV38+Table_SiteMilestoneTrackingSummary[[#This Row],[c8_AcceptanceEV]]</f>
        <v>5000</v>
      </c>
      <c r="CW39" s="96">
        <f>SUMIFS(Table_SiteMilestoneTracking[c8_AcceptanceCostBL],
Table_SiteMilestoneTracking[SiteAccepted_BL],"&gt;="&amp;Table_SiteMilestoneTrackingSummary[[#This Row],[StartDate]:[StartDate]],
Table_SiteMilestoneTracking[SiteAccepted_BL],"&lt;"&amp;Table_SiteMilestoneTrackingSummary[[#This Row],[EndDate]:[EndDate]]+1)</f>
        <v>3250</v>
      </c>
      <c r="CX39" s="100">
        <f>CX38+Table_SiteMilestoneTrackingSummary[[#This Row],[c8_AcceptanceCostBL]]</f>
        <v>25000</v>
      </c>
      <c r="CY39" s="96">
        <f>SUMIFS(Table_SiteMilestoneTracking[c8_AcceptanceCostAC],
Table_SiteMilestoneTracking[SiteAccepted_AC],"&gt;="&amp;Table_SiteMilestoneTrackingSummary[[#This Row],[StartDate]:[StartDate]],
Table_SiteMilestoneTracking[SiteAccepted_AC],"&lt;"&amp;Table_SiteMilestoneTrackingSummary[[#This Row],[EndDate]:[EndDate]]+1)</f>
        <v>0</v>
      </c>
      <c r="CZ39" s="100">
        <f>CZ38+Table_SiteMilestoneTrackingSummary[[#This Row],[c8_AcceptanceCostAC]]</f>
        <v>5000</v>
      </c>
      <c r="DA39" s="96">
        <f>COUNTIFS(Table_SiteMilestoneTracking[SiteAccepted_BL],"&gt;="&amp;Table_SiteMilestoneTrackingSummary[[#This Row],[StartDate]:[StartDate]],
Table_SiteMilestoneTracking[SiteAccepted_BL],"&lt;"&amp;Table_SiteMilestoneTrackingSummary[[#This Row],[EndDate]:[EndDate]]+1)</f>
        <v>13</v>
      </c>
      <c r="DB39" s="100">
        <f>DB38+Table_SiteMilestoneTrackingSummary[[#This Row],[SiteAccepted_BL]]</f>
        <v>100</v>
      </c>
      <c r="DC39" s="96">
        <f>COUNTIFS(Table_SiteMilestoneTracking[SiteAccepted_AC],"&gt;="&amp;Table_SiteMilestoneTrackingSummary[[#This Row],[StartDate]:[StartDate]],
Table_SiteMilestoneTracking[SiteAccepted_AC],"&lt;"&amp;Table_SiteMilestoneTrackingSummary[[#This Row],[EndDate]:[EndDate]]+1)</f>
        <v>0</v>
      </c>
      <c r="DD39" s="100">
        <f>DD38+Table_SiteMilestoneTrackingSummary[[#This Row],[SiteAccepted_AC]]</f>
        <v>20</v>
      </c>
      <c r="DE39" s="100">
        <f>$DE$2*Table_SiteMilestoneTrackingSummary[[#This Row],[SiteInOperations_AC]]</f>
        <v>0</v>
      </c>
      <c r="DF39" s="100">
        <f>DF38+Table_SiteMilestoneTrackingSummary[[#This Row],[c9_HandoverEV]]</f>
        <v>2000</v>
      </c>
      <c r="DG39" s="96">
        <f>SUMIFS(Table_SiteMilestoneTracking[c9_HandoverCostBL],
Table_SiteMilestoneTracking[SiteInOperations_BL],"&gt;="&amp;Table_SiteMilestoneTrackingSummary[[#This Row],[StartDate]:[StartDate]],
Table_SiteMilestoneTracking[SiteInOperations_BL],"&lt;"&amp;Table_SiteMilestoneTrackingSummary[[#This Row],[EndDate]:[EndDate]]+1)</f>
        <v>3800</v>
      </c>
      <c r="DH39" s="100">
        <f>DH38+Table_SiteMilestoneTrackingSummary[[#This Row],[c9_HandoverCostBL2]]</f>
        <v>17200</v>
      </c>
      <c r="DI39" s="96">
        <f>SUMIFS(Table_SiteMilestoneTracking[c9_HandoverCostAC],
Table_SiteMilestoneTracking[SiteInOperations_AC],"&gt;="&amp;Table_SiteMilestoneTrackingSummary[[#This Row],[StartDate]:[StartDate]],
Table_SiteMilestoneTracking[SiteInOperations_AC],"&lt;"&amp;Table_SiteMilestoneTrackingSummary[[#This Row],[EndDate]:[EndDate]]+1)</f>
        <v>0</v>
      </c>
      <c r="DJ39" s="100">
        <f>DJ38+Table_SiteMilestoneTrackingSummary[[#This Row],[c9_HandoverCostAC]]</f>
        <v>2000</v>
      </c>
      <c r="DK39" s="96">
        <f>COUNTIFS(Table_SiteMilestoneTracking[SiteInOperations_BL],"&gt;="&amp;Table_SiteMilestoneTrackingSummary[[#This Row],[StartDate]:[StartDate]],
Table_SiteMilestoneTracking[SiteInOperations_BL],"&lt;"&amp;Table_SiteMilestoneTrackingSummary[[#This Row],[EndDate]:[EndDate]]+1)</f>
        <v>19</v>
      </c>
      <c r="DL39" s="100">
        <f>DL38+Table_SiteMilestoneTrackingSummary[[#This Row],[SiteInOperations_BL]]</f>
        <v>86</v>
      </c>
      <c r="DM39" s="96">
        <f>COUNTIFS(Table_SiteMilestoneTracking[SiteInOperations_AC],"&gt;="&amp;Table_SiteMilestoneTrackingSummary[[#This Row],[StartDate]:[StartDate]],
Table_SiteMilestoneTracking[SiteInOperations_AC],"&lt;"&amp;Table_SiteMilestoneTrackingSummary[[#This Row],[EndDate]:[EndDate]]+1)</f>
        <v>0</v>
      </c>
      <c r="DN39" s="100">
        <f>DN38+Table_SiteMilestoneTrackingSummary[[#This Row],[SiteInOperations_AC]]</f>
        <v>10</v>
      </c>
      <c r="DO39" s="59">
        <f>Table_SiteMilestoneTrackingSummary[[#This Row],[c0_SiteDesignEV(SUM)]]+Table_SiteMilestoneTrackingSummary[[#This Row],[c1_SiteSurveyEV(SUM)]]+Table_SiteMilestoneTrackingSummary[[#This Row],[c2_SiteAcquisitionEV(SUM)]]+Table_SiteMilestoneTrackingSummary[[#This Row],[c2a_SiteCWReadinessEV(SUM)]]+Table_SiteMilestoneTrackingSummary[[#This Row],[c3_CivilWorksEV(SUM)]]+Table_SiteMilestoneTrackingSummary[[#This Row],[c4_PowerInstallEV(SUM)]]+Table_SiteMilestoneTrackingSummary[[#This Row],[c5_TxIntegrationEV(SUM)]]+Table_SiteMilestoneTrackingSummary[[#This Row],[c6_InstallationEV(SUM)]]+Table_SiteMilestoneTrackingSummary[[#This Row],[c7_IntegrationEV(SUM)]]+Table_SiteMilestoneTrackingSummary[[#This Row],[c8_AcceptanceEV(SUM)]]+Table_SiteMilestoneTrackingSummary[[#This Row],[c9_HandoverEV(SUM)]]</f>
        <v>429900</v>
      </c>
      <c r="DP39" s="59">
        <f>Table_SiteMilestoneTrackingSummary[[#This Row],[c0_SiteDesignCostBL(SUM)]]+Table_SiteMilestoneTrackingSummary[[#This Row],[c1_SiteSurveyCostBL(SUM)]]+Table_SiteMilestoneTrackingSummary[[#This Row],[c2_SiteAcquisitionCostBL(SUM)]]+Table_SiteMilestoneTrackingSummary[[#This Row],[c2a_SiteCWReadinessCostBL(SUM)]]+Table_SiteMilestoneTrackingSummary[[#This Row],[c3_CivilWorksCostBL(SUM)]]+Table_SiteMilestoneTrackingSummary[[#This Row],[c4_PowerInstallCostBL(SUM)]]+Table_SiteMilestoneTrackingSummary[[#This Row],[c5_TxIntegrationCostBL(SUM)]]+Table_SiteMilestoneTrackingSummary[[#This Row],[c6_InstallationCostBL(SUM)]]+Table_SiteMilestoneTrackingSummary[[#This Row],[c7_IntegrationCostBL(SUM)]]+Table_SiteMilestoneTrackingSummary[[#This Row],[c8_AcceptanceCostBL(SUM)]]+Table_SiteMilestoneTrackingSummary[[#This Row],[c9_HandoverCostBL(SUM)]]</f>
        <v>767200</v>
      </c>
      <c r="DQ39" s="59">
        <f>Table_SiteMilestoneTrackingSummary[[#This Row],[c0_SiteDesignCostAC(SUM)]]+Table_SiteMilestoneTrackingSummary[[#This Row],[c1_SiteSurveyCostAC(SUM)]]+Table_SiteMilestoneTrackingSummary[[#This Row],[c2_SiteAcquisitionCostAC(SUM)]]+Table_SiteMilestoneTrackingSummary[[#This Row],[c2a_SiteCWReadinessCostAC(SUM)]]+Table_SiteMilestoneTrackingSummary[[#This Row],[c3_CivilWorksCostAC(SUM)]]+Table_SiteMilestoneTrackingSummary[[#This Row],[c4_PowerInstallCostAC(SUM)]]+Table_SiteMilestoneTrackingSummary[[#This Row],[c5_TxIntegrationCostAC(SUM)]]+Table_SiteMilestoneTrackingSummary[[#This Row],[c6_InstallationCostAC(SUM)]]+Table_SiteMilestoneTrackingSummary[[#This Row],[c7_IntegrationCostAC(SUM)]]+Table_SiteMilestoneTrackingSummary[[#This Row],[c8_AcceptanceCostAC(SUM)]]+Table_SiteMilestoneTrackingSummary[[#This Row],[c9_HandoverCostAC(SUM)]]</f>
        <v>433825</v>
      </c>
      <c r="DR39" s="59">
        <f>Table_SiteMilestoneTrackingSummary[[#This Row],[AccumulatedEV]]-Table_SiteMilestoneTrackingSummary[[#This Row],[AccumulatedPV]]</f>
        <v>-337300</v>
      </c>
      <c r="DS39" s="59">
        <f>Table_SiteMilestoneTrackingSummary[[#This Row],[AccumulatedEV]]-Table_SiteMilestoneTrackingSummary[[#This Row],[AccumulatedAC]]</f>
        <v>-3925</v>
      </c>
      <c r="DT39" s="58">
        <f>IFERROR(Table_SiteMilestoneTrackingSummary[[#This Row],[AccumulatedEV]]/Table_SiteMilestoneTrackingSummary[[#This Row],[AccumulatedPV]],"/")</f>
        <v>0.56034932221063605</v>
      </c>
      <c r="DU39" s="101">
        <f>IFERROR(Table_SiteMilestoneTrackingSummary[[#This Row],[AccumulatedEV]]/Table_SiteMilestoneTrackingSummary[[#This Row],[AccumulatedAC]],"/")</f>
        <v>0.99095257304212525</v>
      </c>
    </row>
    <row r="40" spans="1:125" x14ac:dyDescent="0.3">
      <c r="A40" s="79">
        <v>2020</v>
      </c>
      <c r="B40" s="79">
        <v>37</v>
      </c>
      <c r="C40" s="95">
        <f>DATE(Table_SiteMilestoneTrackingSummary[[#This Row],[Year]],1,-2)-WEEKDAY(DATE(Table_SiteMilestoneTrackingSummary[[#This Row],[Year]],1,3))+Table_SiteMilestoneTrackingSummary[[#This Row],[Week]]*7</f>
        <v>44081</v>
      </c>
      <c r="D40" s="95">
        <f>Table_SiteMilestoneTrackingSummary[[#This Row],[StartDate]]+6</f>
        <v>44087</v>
      </c>
      <c r="E40" s="100">
        <f>COUNTIFS(Table_SiteMilestoneTracking[SiteDesignStarted_BL],"&gt;="&amp;Table_SiteMilestoneTrackingSummary[[#This Row],[StartDate]:[StartDate]],Table_SiteMilestoneTracking[SiteDesignStarted_BL],"&lt;"&amp;Table_SiteMilestoneTrackingSummary[[#This Row],[EndDate]:[EndDate]]+1)</f>
        <v>0</v>
      </c>
      <c r="F40" s="100">
        <f>F39+Table_SiteMilestoneTrackingSummary[[#This Row],[SiteDesignStarted_BL]]</f>
        <v>100</v>
      </c>
      <c r="G40" s="100">
        <f>COUNTIFS(Table_SiteMilestoneTracking[SiteDesignStarted_AC],"&gt;="&amp;Table_SiteMilestoneTrackingSummary[[#This Row],[StartDate]:[StartDate]],Table_SiteMilestoneTracking[SiteDesignStarted_AC],"&lt;"&amp;Table_SiteMilestoneTrackingSummary[[#This Row],[EndDate]:[EndDate]]+1)</f>
        <v>0</v>
      </c>
      <c r="H40" s="100">
        <f>H39+Table_SiteMilestoneTrackingSummary[[#This Row],[SiteDesignStarted_AC]]</f>
        <v>96</v>
      </c>
      <c r="I40" s="100">
        <f>Table_SiteMilestoneTrackingSummary[[#This Row],[SiteDesignReady_AC]]*$I$2</f>
        <v>0</v>
      </c>
      <c r="J40" s="100">
        <f>J39+Table_SiteMilestoneTrackingSummary[[#This Row],[c0_SiteDesignEV]]</f>
        <v>45000</v>
      </c>
      <c r="K40" s="97">
        <f>SUMIFS(Table_SiteMilestoneTracking[c0_SiteDesignCostBL],
Table_SiteMilestoneTracking[SiteDesignReady_BL],"&gt;="&amp;Table_SiteMilestoneTrackingSummary[[#This Row],[StartDate]:[StartDate]],
Table_SiteMilestoneTracking[SiteDesignReady_BL],"&lt;"&amp;Table_SiteMilestoneTrackingSummary[[#This Row],[EndDate]:[EndDate]]+1)</f>
        <v>0</v>
      </c>
      <c r="L40" s="59">
        <f>L39+Table_SiteMilestoneTrackingSummary[[#This Row],[c0_SiteDesignCostBL]]</f>
        <v>50000</v>
      </c>
      <c r="M40" s="97">
        <f>SUMIFS(Table_SiteMilestoneTracking[c0_SiteDesignCostAC],
Table_SiteMilestoneTracking[SiteDesignReady_AC],"&gt;="&amp;Table_SiteMilestoneTrackingSummary[[#This Row],[StartDate]:[StartDate]],
Table_SiteMilestoneTracking[SiteDesignReady_AC],"&lt;"&amp;Table_SiteMilestoneTrackingSummary[[#This Row],[EndDate]:[EndDate]]+1)</f>
        <v>0</v>
      </c>
      <c r="N40" s="59">
        <f>N39+Table_SiteMilestoneTrackingSummary[[#This Row],[c0_SiteDesignCostAC]]</f>
        <v>43180</v>
      </c>
      <c r="O40" s="96">
        <f>COUNTIFS(Table_SiteMilestoneTracking[SiteDesignReady_BL],"&gt;="&amp;Table_SiteMilestoneTrackingSummary[[#This Row],[StartDate]:[StartDate]],
Table_SiteMilestoneTracking[SiteDesignReady_BL],"&lt;"&amp;Table_SiteMilestoneTrackingSummary[[#This Row],[EndDate]:[EndDate]]+1)</f>
        <v>0</v>
      </c>
      <c r="P40" s="100">
        <f>P39+Table_SiteMilestoneTrackingSummary[[#This Row],[SiteDesignReady_BL]]</f>
        <v>100</v>
      </c>
      <c r="Q40" s="100">
        <f>COUNTIFS(Table_SiteMilestoneTracking[SiteDesignReady_AC],"&gt;="&amp;Table_SiteMilestoneTrackingSummary[[#This Row],[StartDate]:[StartDate]],Table_SiteMilestoneTracking[SiteDesignReady_AC],"&lt;"&amp;Table_SiteMilestoneTrackingSummary[[#This Row],[EndDate]:[EndDate]]+1)</f>
        <v>0</v>
      </c>
      <c r="R40" s="100">
        <f>R39+Table_SiteMilestoneTrackingSummary[[#This Row],[SiteDesignReady_AC]]</f>
        <v>90</v>
      </c>
      <c r="S40" s="100">
        <f>Table_SiteMilestoneTrackingSummary[[#This Row],[ReadyForCW_AC]]*$S$2</f>
        <v>0</v>
      </c>
      <c r="T40" s="100">
        <f>T39+Table_SiteMilestoneTrackingSummary[[#This Row],[c1_SiteSurveyEV]]</f>
        <v>40000</v>
      </c>
      <c r="U40" s="96">
        <f>SUMIFS(Table_SiteMilestoneTracking[c1_SiteSurveyCostBL],
Table_SiteMilestoneTracking[SiteSurveyCompleted_BL],"&gt;="&amp;Table_SiteMilestoneTrackingSummary[[#This Row],[StartDate]:[StartDate]],
Table_SiteMilestoneTracking[SiteSurveyCompleted_BL],"&lt;"&amp;Table_SiteMilestoneTrackingSummary[[#This Row],[EndDate]:[EndDate]]+1)</f>
        <v>0</v>
      </c>
      <c r="V40" s="100">
        <f>V39+Table_SiteMilestoneTrackingSummary[[#This Row],[c1_SiteSurveyCostBL]]</f>
        <v>50000</v>
      </c>
      <c r="W40" s="96">
        <f>SUMIFS(Table_SiteMilestoneTracking[c1_SiteSurveyCostAC],
Table_SiteMilestoneTracking[SiteSurveyCompleted_AC],"&gt;="&amp;Table_SiteMilestoneTrackingSummary[[#This Row],[StartDate]:[StartDate]],
Table_SiteMilestoneTracking[SiteSurveyCompleted_AC],"&lt;"&amp;Table_SiteMilestoneTrackingSummary[[#This Row],[EndDate]:[EndDate]]+1)</f>
        <v>0</v>
      </c>
      <c r="X40" s="100">
        <f>X39+Table_SiteMilestoneTrackingSummary[[#This Row],[c1_SiteSurveyCostAC]]</f>
        <v>51800</v>
      </c>
      <c r="Y40" s="96">
        <f>COUNTIFS(Table_SiteMilestoneTracking[SiteSurveyCompleted_BL],"&gt;="&amp;Table_SiteMilestoneTrackingSummary[[#This Row],[StartDate]:[StartDate]],
Table_SiteMilestoneTracking[SiteSurveyCompleted_BL],"&lt;"&amp;Table_SiteMilestoneTrackingSummary[[#This Row],[EndDate]:[EndDate]]+1)</f>
        <v>0</v>
      </c>
      <c r="Z40" s="100">
        <f>Z39+Table_SiteMilestoneTrackingSummary[[#This Row],[SiteSurveyCompleted_BL]]</f>
        <v>100</v>
      </c>
      <c r="AA40" s="96">
        <f>COUNTIFS(Table_SiteMilestoneTracking[SiteSurveyCompleted_AC],"&gt;="&amp;Table_SiteMilestoneTrackingSummary[[#This Row],[StartDate]:[StartDate]],
Table_SiteMilestoneTracking[SiteSurveyCompleted_AC],"&lt;"&amp;Table_SiteMilestoneTrackingSummary[[#This Row],[EndDate]:[EndDate]]+1)</f>
        <v>0</v>
      </c>
      <c r="AB40" s="100">
        <f>AB39+Table_SiteMilestoneTrackingSummary[[#This Row],[SiteSurveyCompleted_AC]]</f>
        <v>86</v>
      </c>
      <c r="AC40" s="100">
        <f>$AC$2*Table_SiteMilestoneTrackingSummary[[#This Row],[SiteAcquired_AC]]</f>
        <v>0</v>
      </c>
      <c r="AD40" s="100">
        <f>AD39+Table_SiteMilestoneTrackingSummary[[#This Row],[c2_SiteAcquisitionEV]]</f>
        <v>50400</v>
      </c>
      <c r="AE40" s="96">
        <f>SUMIFS(Table_SiteMilestoneTracking[c2_SiteAcquisitionCostBL],
Table_SiteMilestoneTracking[SiteAcquired_BL],"&gt;="&amp;Table_SiteMilestoneTrackingSummary[[#This Row],[StartDate]:[StartDate]],
Table_SiteMilestoneTracking[SiteAcquired_BL],"&lt;"&amp;Table_SiteMilestoneTrackingSummary[[#This Row],[EndDate]:[EndDate]]+1)</f>
        <v>0</v>
      </c>
      <c r="AF40" s="100">
        <f>AF39+Table_SiteMilestoneTrackingSummary[[#This Row],[c2_SiteAcquisitionCostBL]]</f>
        <v>60000</v>
      </c>
      <c r="AG40" s="96">
        <f>SUMIFS(Table_SiteMilestoneTracking[c2_SiteAcquisitionCostAC],
Table_SiteMilestoneTracking[SiteAcquired_AC],"&gt;="&amp;Table_SiteMilestoneTrackingSummary[[#This Row],[StartDate]:[StartDate]],
Table_SiteMilestoneTracking[SiteAcquired_AC],"&lt;"&amp;Table_SiteMilestoneTrackingSummary[[#This Row],[EndDate]:[EndDate]]+1)</f>
        <v>0</v>
      </c>
      <c r="AH40" s="100">
        <f>AH39+Table_SiteMilestoneTrackingSummary[[#This Row],[c2_SiteAcquisitionCostAC]]</f>
        <v>52800</v>
      </c>
      <c r="AI40" s="96">
        <f>COUNTIFS(Table_SiteMilestoneTracking[SiteAcquired_BL],"&gt;="&amp;Table_SiteMilestoneTrackingSummary[[#This Row],[StartDate]:[StartDate]],
Table_SiteMilestoneTracking[SiteAcquired_BL],"&lt;"&amp;Table_SiteMilestoneTrackingSummary[[#This Row],[EndDate]:[EndDate]]+1)</f>
        <v>0</v>
      </c>
      <c r="AJ40" s="100">
        <f>AJ39+Table_SiteMilestoneTrackingSummary[[#This Row],[SiteAcquired_BL]]</f>
        <v>100</v>
      </c>
      <c r="AK40" s="96">
        <f>COUNTIFS(Table_SiteMilestoneTracking[SiteAcquired_AC],"&gt;="&amp;Table_SiteMilestoneTrackingSummary[[#This Row],[StartDate]:[StartDate]],
Table_SiteMilestoneTracking[SiteAcquired_AC],"&lt;"&amp;Table_SiteMilestoneTrackingSummary[[#This Row],[EndDate]:[EndDate]]+1)</f>
        <v>0</v>
      </c>
      <c r="AL40" s="100">
        <f>AL39+Table_SiteMilestoneTrackingSummary[[#This Row],[SiteAcquired_AC]]</f>
        <v>84</v>
      </c>
      <c r="AM40" s="100">
        <f>Table_SiteMilestoneTrackingSummary[[#This Row],[ReadyForCW_AC]]*$AM$2</f>
        <v>0</v>
      </c>
      <c r="AN40" s="100">
        <f>AN39+Table_SiteMilestoneTrackingSummary[[#This Row],[c2a_SiteCWReadinessEV]]</f>
        <v>12000</v>
      </c>
      <c r="AO40" s="96">
        <f>SUMIFS(Table_SiteMilestoneTracking[c2a_SiteCWReadinessCost_BL],
Table_SiteMilestoneTracking[SiteReadyForCW_BL],"&gt;="&amp;Table_SiteMilestoneTrackingSummary[[#This Row],[StartDate]:[StartDate]],
Table_SiteMilestoneTracking[SiteReadyForCW_BL],"&lt;"&amp;Table_SiteMilestoneTrackingSummary[[#This Row],[EndDate]:[EndDate]]+1)</f>
        <v>0</v>
      </c>
      <c r="AP40" s="100">
        <f>AP39+Table_SiteMilestoneTrackingSummary[[#This Row],[c2a_SiteCWReadinessCostBL]]</f>
        <v>15000</v>
      </c>
      <c r="AQ40" s="96">
        <f>SUMIFS(Table_SiteMilestoneTracking[c2a_SiteCWReadinessCost_AC],
Table_SiteMilestoneTracking[SiteReadyForCW_AC],"&gt;="&amp;Table_SiteMilestoneTrackingSummary[[#This Row],[StartDate]:[StartDate]],
Table_SiteMilestoneTracking[SiteReadyForCW_AC],"&lt;"&amp;Table_SiteMilestoneTrackingSummary[[#This Row],[EndDate]:[EndDate]]+1)</f>
        <v>0</v>
      </c>
      <c r="AR40" s="100">
        <f>AR39+Table_SiteMilestoneTrackingSummary[[#This Row],[c2a_SiteCWReadinessCostAC]]</f>
        <v>12045</v>
      </c>
      <c r="AS40" s="96">
        <f>COUNTIFS(Table_SiteMilestoneTracking[SiteReadyForCW_BL],"&gt;="&amp;Table_SiteMilestoneTrackingSummary[[#This Row],[StartDate]:[StartDate]],
Table_SiteMilestoneTracking[SiteReadyForCW_BL],"&lt;"&amp;Table_SiteMilestoneTrackingSummary[[#This Row],[EndDate]:[EndDate]]+1)</f>
        <v>0</v>
      </c>
      <c r="AT40" s="100">
        <f>AT39+Table_SiteMilestoneTrackingSummary[[#This Row],[ReadyForCW_BL]]</f>
        <v>100</v>
      </c>
      <c r="AU40" s="96">
        <f>COUNTIFS(Table_SiteMilestoneTracking[SiteReadyForCW_AC],"&gt;="&amp;Table_SiteMilestoneTrackingSummary[[#This Row],[StartDate]:[StartDate]],
Table_SiteMilestoneTracking[SiteReadyForCW_AC],"&lt;"&amp;Table_SiteMilestoneTrackingSummary[[#This Row],[EndDate]:[EndDate]]+1)</f>
        <v>0</v>
      </c>
      <c r="AV40" s="100">
        <f>AV39+Table_SiteMilestoneTrackingSummary[[#This Row],[ReadyForCW_AC]]</f>
        <v>80</v>
      </c>
      <c r="AW40" s="100">
        <f>$AW$2*Table_SiteMilestoneTrackingSummary[[#This Row],[ReadyForPower_AC]]</f>
        <v>0</v>
      </c>
      <c r="AX40" s="100">
        <f>AX39+Table_SiteMilestoneTrackingSummary[[#This Row],[c3_CivilWorksEV]]</f>
        <v>105000</v>
      </c>
      <c r="AY40" s="96">
        <f>SUMIFS(Table_SiteMilestoneTracking[c3_CivilWorksCostBL],
Table_SiteMilestoneTracking[SiteReadyForPower_BL],"&gt;="&amp;Table_SiteMilestoneTrackingSummary[[#This Row],[StartDate]:[StartDate]],
Table_SiteMilestoneTracking[SiteReadyForPower_BL],"&lt;"&amp;Table_SiteMilestoneTrackingSummary[[#This Row],[EndDate]:[EndDate]]+1)</f>
        <v>0</v>
      </c>
      <c r="AZ40" s="100">
        <f>AZ39+Table_SiteMilestoneTrackingSummary[[#This Row],[c3_CivilWorksCostBL]]</f>
        <v>150000</v>
      </c>
      <c r="BA40" s="96">
        <f>SUMIFS(Table_SiteMilestoneTracking[c3_CivilWorksCostAC],
Table_SiteMilestoneTracking[SiteReadyForPower_AC],"&gt;="&amp;Table_SiteMilestoneTrackingSummary[[#This Row],[StartDate]:[StartDate]],
Table_SiteMilestoneTracking[SiteReadyForPower_AC],"&lt;"&amp;Table_SiteMilestoneTrackingSummary[[#This Row],[EndDate]:[EndDate]]+1)</f>
        <v>0</v>
      </c>
      <c r="BB40" s="100">
        <f>BB39+Table_SiteMilestoneTrackingSummary[[#This Row],[c3_CivilWorksCostAC]]</f>
        <v>112350</v>
      </c>
      <c r="BC40" s="96">
        <f>COUNTIFS(Table_SiteMilestoneTracking[SiteReadyForPower_BL],"&gt;="&amp;Table_SiteMilestoneTrackingSummary[[#This Row],[StartDate]:[StartDate]],
Table_SiteMilestoneTracking[SiteReadyForPower_BL],"&lt;"&amp;Table_SiteMilestoneTrackingSummary[[#This Row],[EndDate]:[EndDate]]+1)</f>
        <v>0</v>
      </c>
      <c r="BD40" s="100">
        <f>BD39+Table_SiteMilestoneTrackingSummary[[#This Row],[ReadyForPower_BL]]</f>
        <v>100</v>
      </c>
      <c r="BE40" s="96">
        <f>COUNTIFS(Table_SiteMilestoneTracking[SiteReadyForPower_AC],"&gt;="&amp;Table_SiteMilestoneTrackingSummary[[#This Row],[StartDate]:[StartDate]],
Table_SiteMilestoneTracking[SiteReadyForPower_AC],"&lt;"&amp;Table_SiteMilestoneTrackingSummary[[#This Row],[EndDate]:[EndDate]]+1)</f>
        <v>0</v>
      </c>
      <c r="BF40" s="100">
        <f>BF39+Table_SiteMilestoneTrackingSummary[[#This Row],[ReadyForPower_AC]]</f>
        <v>70</v>
      </c>
      <c r="BG40" s="100">
        <f>$BG$2*Table_SiteMilestoneTrackingSummary[[#This Row],[TXReady_AC]]</f>
        <v>0</v>
      </c>
      <c r="BH40" s="100">
        <f>BH39+Table_SiteMilestoneTrackingSummary[[#This Row],[c4_PowerInstallEV]]</f>
        <v>30000</v>
      </c>
      <c r="BI40" s="96">
        <f>SUMIFS(Table_SiteMilestoneTracking[c4_PowerInstallCostBL],
Table_SiteMilestoneTracking[TXReady_BL],"&gt;="&amp;Table_SiteMilestoneTrackingSummary[[#This Row],[StartDate]:[StartDate]],
Table_SiteMilestoneTracking[TXReady_BL],"&lt;"&amp;Table_SiteMilestoneTrackingSummary[[#This Row],[EndDate]:[EndDate]]+1)</f>
        <v>0</v>
      </c>
      <c r="BJ40" s="100">
        <f>BJ39+Table_SiteMilestoneTrackingSummary[[#This Row],[c4_PowerInstallCostBL]]</f>
        <v>50000</v>
      </c>
      <c r="BK40" s="96">
        <f>SUMIFS(Table_SiteMilestoneTracking[c4_PowerInstallCostAC],
Table_SiteMilestoneTracking[TXReady_AC],"&gt;="&amp;Table_SiteMilestoneTrackingSummary[[#This Row],[StartDate]:[StartDate]],
Table_SiteMilestoneTracking[TXReady_AC],"&lt;"&amp;Table_SiteMilestoneTrackingSummary[[#This Row],[EndDate]:[EndDate]]+1)</f>
        <v>0</v>
      </c>
      <c r="BL40" s="100">
        <f>BL39+Table_SiteMilestoneTrackingSummary[[#This Row],[c4_PowerInstallCostAC]]</f>
        <v>28050</v>
      </c>
      <c r="BM40" s="96">
        <f>COUNTIFS(Table_SiteMilestoneTracking[TXReady_BL],"&gt;="&amp;Table_SiteMilestoneTrackingSummary[[#This Row],[StartDate]:[StartDate]],
Table_SiteMilestoneTracking[TXReady_BL],"&lt;"&amp;Table_SiteMilestoneTrackingSummary[[#This Row],[EndDate]:[EndDate]]+1)</f>
        <v>0</v>
      </c>
      <c r="BN40" s="100">
        <f>BN39+Table_SiteMilestoneTrackingSummary[[#This Row],[TXReady_BL]]</f>
        <v>100</v>
      </c>
      <c r="BO40" s="100">
        <f>COUNTIFS(Table_SiteMilestoneTracking[TXReady_AC],"&gt;="&amp;Table_SiteMilestoneTrackingSummary[[#This Row],[StartDate]:[StartDate]],Table_SiteMilestoneTracking[TXReady_AC],"&lt;"&amp;Table_SiteMilestoneTrackingSummary[[#This Row],[EndDate]:[EndDate]]+1)</f>
        <v>0</v>
      </c>
      <c r="BP40" s="100">
        <f>BP39+Table_SiteMilestoneTrackingSummary[[#This Row],[TXReady_AC]]</f>
        <v>60</v>
      </c>
      <c r="BQ40" s="100">
        <f>$BQ$2*Table_SiteMilestoneTrackingSummary[[#This Row],[ReadyForInstallation_AC]]</f>
        <v>0</v>
      </c>
      <c r="BR40" s="100">
        <f>BR39+Table_SiteMilestoneTrackingSummary[[#This Row],[c5_TxIntegrationEV]]</f>
        <v>25500</v>
      </c>
      <c r="BS40" s="96">
        <f>SUMIFS(Table_SiteMilestoneTracking[c5_TxintegrationCostBL],
Table_SiteMilestoneTracking[SiteReadyForInstallation_BL],"&gt;="&amp;Table_SiteMilestoneTrackingSummary[[#This Row],[StartDate]:[StartDate]],
Table_SiteMilestoneTracking[SiteReadyForInstallation_BL],"&lt;"&amp;Table_SiteMilestoneTrackingSummary[[#This Row],[EndDate]:[EndDate]]+1)</f>
        <v>0</v>
      </c>
      <c r="BT40" s="100">
        <f>BT39+Table_SiteMilestoneTrackingSummary[[#This Row],[c5_TxIntegrationCostBL]]</f>
        <v>50000</v>
      </c>
      <c r="BU40" s="96">
        <f>SUMIFS(Table_SiteMilestoneTracking[c5_TxintegrationCostAC],
Table_SiteMilestoneTracking[SiteReadyForInstallation_AC],"&gt;="&amp;Table_SiteMilestoneTrackingSummary[[#This Row],[StartDate]:[StartDate]],
Table_SiteMilestoneTracking[SiteReadyForInstallation_AC],"&lt;"&amp;Table_SiteMilestoneTrackingSummary[[#This Row],[EndDate]:[EndDate]]+1)</f>
        <v>0</v>
      </c>
      <c r="BV40" s="100">
        <f>BV39+Table_SiteMilestoneTrackingSummary[[#This Row],[c5_TxIntegrationCostAC]]</f>
        <v>24850</v>
      </c>
      <c r="BW40" s="96">
        <f>COUNTIFS(Table_SiteMilestoneTracking[SiteReadyForInstallation_BL],"&gt;="&amp;Table_SiteMilestoneTrackingSummary[[#This Row],[StartDate]:[StartDate]],
Table_SiteMilestoneTracking[SiteReadyForInstallation_BL],"&lt;"&amp;Table_SiteMilestoneTrackingSummary[[#This Row],[EndDate]:[EndDate]]+1)</f>
        <v>0</v>
      </c>
      <c r="BX40" s="100">
        <f>BX39+Table_SiteMilestoneTrackingSummary[[#This Row],[ReadyForInstallation_BL]]</f>
        <v>100</v>
      </c>
      <c r="BY40" s="96">
        <f>COUNTIFS(Table_SiteMilestoneTracking[SiteReadyForInstallation_AC],"&gt;="&amp;Table_SiteMilestoneTrackingSummary[[#This Row],[StartDate]:[StartDate]],
Table_SiteMilestoneTracking[SiteReadyForInstallation_AC],"&lt;"&amp;Table_SiteMilestoneTrackingSummary[[#This Row],[EndDate]:[EndDate]]+1)</f>
        <v>0</v>
      </c>
      <c r="BZ40" s="100">
        <f>BZ39+Table_SiteMilestoneTrackingSummary[[#This Row],[ReadyForInstallation_AC]]</f>
        <v>51</v>
      </c>
      <c r="CA40" s="100">
        <f>$CA$2*Table_SiteMilestoneTrackingSummary[[#This Row],[ReadyForIntegration_AC]]</f>
        <v>0</v>
      </c>
      <c r="CB40" s="100">
        <f>CB39+Table_SiteMilestoneTrackingSummary[[#This Row],[c6_InstallationEV]]</f>
        <v>100000</v>
      </c>
      <c r="CC40" s="96">
        <f>SUMIFS(Table_SiteMilestoneTracking[c6_InstallationCostBL],
Table_SiteMilestoneTracking[SiteReadyForIntegration_BL],"&gt;="&amp;Table_SiteMilestoneTrackingSummary[[#This Row],[StartDate]:[StartDate]],
Table_SiteMilestoneTracking[SiteReadyForIntegration_BL],"&lt;"&amp;Table_SiteMilestoneTrackingSummary[[#This Row],[EndDate]:[EndDate]]+1)</f>
        <v>0</v>
      </c>
      <c r="CD40" s="100">
        <f>CD39+Table_SiteMilestoneTrackingSummary[[#This Row],[c6_InstallationCostBL]]</f>
        <v>250000</v>
      </c>
      <c r="CE40" s="96">
        <f>SUMIFS(Table_SiteMilestoneTracking[c6_InstallationCostAC],
Table_SiteMilestoneTracking[SiteReadyForIntegration_AC],"&gt;="&amp;Table_SiteMilestoneTrackingSummary[[#This Row],[StartDate]:[StartDate]],
Table_SiteMilestoneTracking[SiteReadyForIntegration_AC],"&lt;"&amp;Table_SiteMilestoneTrackingSummary[[#This Row],[EndDate]:[EndDate]]+1)</f>
        <v>0</v>
      </c>
      <c r="CF40" s="100">
        <f>CF39+Table_SiteMilestoneTrackingSummary[[#This Row],[c6_InstallationCostAC]]</f>
        <v>87600</v>
      </c>
      <c r="CG40" s="96">
        <f>COUNTIFS(Table_SiteMilestoneTracking[SiteReadyForIntegration_BL],"&gt;="&amp;Table_SiteMilestoneTrackingSummary[[#This Row],[StartDate]:[StartDate]],
Table_SiteMilestoneTracking[SiteReadyForIntegration_BL],"&lt;"&amp;Table_SiteMilestoneTrackingSummary[[#This Row],[EndDate]:[EndDate]]+1)</f>
        <v>0</v>
      </c>
      <c r="CH40" s="100">
        <f>CH39+Table_SiteMilestoneTrackingSummary[[#This Row],[ReadyForIntegration_BL]]</f>
        <v>100</v>
      </c>
      <c r="CI40" s="96">
        <f>COUNTIFS(Table_SiteMilestoneTracking[SiteReadyForIntegration_AC],"&gt;="&amp;Table_SiteMilestoneTrackingSummary[[#This Row],[StartDate]:[StartDate]],
Table_SiteMilestoneTracking[SiteReadyForIntegration_AC],"&lt;"&amp;Table_SiteMilestoneTrackingSummary[[#This Row],[EndDate]:[EndDate]]+1)</f>
        <v>0</v>
      </c>
      <c r="CJ40" s="100">
        <f>CJ39+Table_SiteMilestoneTrackingSummary[[#This Row],[ReadyForIntegration_AC]]</f>
        <v>40</v>
      </c>
      <c r="CK40" s="100">
        <f>$CK$2*Table_SiteMilestoneTrackingSummary[[#This Row],[SiteOnAir_AC]]</f>
        <v>0</v>
      </c>
      <c r="CL40" s="100">
        <f>CL39+Table_SiteMilestoneTrackingSummary[[#This Row],[c7_IntegrationEV]]</f>
        <v>15000</v>
      </c>
      <c r="CM40" s="96">
        <f>SUMIFS(Table_SiteMilestoneTracking[c7_IntegrationCostBL],
Table_SiteMilestoneTracking[SiteOnAir_BL],"&gt;="&amp;Table_SiteMilestoneTrackingSummary[[#This Row],[StartDate]:[StartDate]],
Table_SiteMilestoneTracking[SiteOnAir_BL],"&lt;"&amp;Table_SiteMilestoneTrackingSummary[[#This Row],[EndDate]:[EndDate]]+1)</f>
        <v>0</v>
      </c>
      <c r="CN40" s="100">
        <f>CN39+Table_SiteMilestoneTrackingSummary[[#This Row],[c7_IntegrationCostBL]]</f>
        <v>50000</v>
      </c>
      <c r="CO40" s="96">
        <f>SUMIFS(Table_SiteMilestoneTracking[c7_IntegrationCostAC],
Table_SiteMilestoneTracking[SiteOnAir_AC],"&gt;="&amp;Table_SiteMilestoneTrackingSummary[[#This Row],[StartDate]:[StartDate]],
Table_SiteMilestoneTracking[SiteOnAir_AC],"&lt;"&amp;Table_SiteMilestoneTrackingSummary[[#This Row],[EndDate]:[EndDate]]+1)</f>
        <v>0</v>
      </c>
      <c r="CP40" s="100">
        <f>CP39+Table_SiteMilestoneTrackingSummary[[#This Row],[c7_IntegrationCostAC]]</f>
        <v>14150</v>
      </c>
      <c r="CQ40" s="96">
        <f>COUNTIFS(Table_SiteMilestoneTracking[SiteOnAir_BL],"&gt;="&amp;Table_SiteMilestoneTrackingSummary[[#This Row],[StartDate]:[StartDate]],
Table_SiteMilestoneTracking[SiteOnAir_BL],"&lt;"&amp;Table_SiteMilestoneTrackingSummary[[#This Row],[EndDate]:[EndDate]]+1)</f>
        <v>0</v>
      </c>
      <c r="CR40" s="100">
        <f>CR39+Table_SiteMilestoneTrackingSummary[[#This Row],[SiteOnAir_BL]]</f>
        <v>100</v>
      </c>
      <c r="CS40" s="96">
        <f>COUNTIFS(Table_SiteMilestoneTracking[SiteOnAir_AC],"&gt;="&amp;Table_SiteMilestoneTrackingSummary[[#This Row],[StartDate]:[StartDate]],
Table_SiteMilestoneTracking[SiteOnAir_AC],"&lt;"&amp;Table_SiteMilestoneTrackingSummary[[#This Row],[EndDate]:[EndDate]]+1)</f>
        <v>0</v>
      </c>
      <c r="CT40" s="100">
        <f>CT39+Table_SiteMilestoneTrackingSummary[[#This Row],[SiteOnAir_AC]]</f>
        <v>30</v>
      </c>
      <c r="CU40" s="100">
        <f>$CU$2*Table_SiteMilestoneTrackingSummary[[#This Row],[SiteAccepted_AC]]</f>
        <v>0</v>
      </c>
      <c r="CV40" s="100">
        <f>CV39+Table_SiteMilestoneTrackingSummary[[#This Row],[c8_AcceptanceEV]]</f>
        <v>5000</v>
      </c>
      <c r="CW40" s="96">
        <f>SUMIFS(Table_SiteMilestoneTracking[c8_AcceptanceCostBL],
Table_SiteMilestoneTracking[SiteAccepted_BL],"&gt;="&amp;Table_SiteMilestoneTrackingSummary[[#This Row],[StartDate]:[StartDate]],
Table_SiteMilestoneTracking[SiteAccepted_BL],"&lt;"&amp;Table_SiteMilestoneTrackingSummary[[#This Row],[EndDate]:[EndDate]]+1)</f>
        <v>0</v>
      </c>
      <c r="CX40" s="100">
        <f>CX39+Table_SiteMilestoneTrackingSummary[[#This Row],[c8_AcceptanceCostBL]]</f>
        <v>25000</v>
      </c>
      <c r="CY40" s="96">
        <f>SUMIFS(Table_SiteMilestoneTracking[c8_AcceptanceCostAC],
Table_SiteMilestoneTracking[SiteAccepted_AC],"&gt;="&amp;Table_SiteMilestoneTrackingSummary[[#This Row],[StartDate]:[StartDate]],
Table_SiteMilestoneTracking[SiteAccepted_AC],"&lt;"&amp;Table_SiteMilestoneTrackingSummary[[#This Row],[EndDate]:[EndDate]]+1)</f>
        <v>0</v>
      </c>
      <c r="CZ40" s="100">
        <f>CZ39+Table_SiteMilestoneTrackingSummary[[#This Row],[c8_AcceptanceCostAC]]</f>
        <v>5000</v>
      </c>
      <c r="DA40" s="96">
        <f>COUNTIFS(Table_SiteMilestoneTracking[SiteAccepted_BL],"&gt;="&amp;Table_SiteMilestoneTrackingSummary[[#This Row],[StartDate]:[StartDate]],
Table_SiteMilestoneTracking[SiteAccepted_BL],"&lt;"&amp;Table_SiteMilestoneTrackingSummary[[#This Row],[EndDate]:[EndDate]]+1)</f>
        <v>0</v>
      </c>
      <c r="DB40" s="100">
        <f>DB39+Table_SiteMilestoneTrackingSummary[[#This Row],[SiteAccepted_BL]]</f>
        <v>100</v>
      </c>
      <c r="DC40" s="96">
        <f>COUNTIFS(Table_SiteMilestoneTracking[SiteAccepted_AC],"&gt;="&amp;Table_SiteMilestoneTrackingSummary[[#This Row],[StartDate]:[StartDate]],
Table_SiteMilestoneTracking[SiteAccepted_AC],"&lt;"&amp;Table_SiteMilestoneTrackingSummary[[#This Row],[EndDate]:[EndDate]]+1)</f>
        <v>0</v>
      </c>
      <c r="DD40" s="100">
        <f>DD39+Table_SiteMilestoneTrackingSummary[[#This Row],[SiteAccepted_AC]]</f>
        <v>20</v>
      </c>
      <c r="DE40" s="100">
        <f>$DE$2*Table_SiteMilestoneTrackingSummary[[#This Row],[SiteInOperations_AC]]</f>
        <v>0</v>
      </c>
      <c r="DF40" s="100">
        <f>DF39+Table_SiteMilestoneTrackingSummary[[#This Row],[c9_HandoverEV]]</f>
        <v>2000</v>
      </c>
      <c r="DG40" s="96">
        <f>SUMIFS(Table_SiteMilestoneTracking[c9_HandoverCostBL],
Table_SiteMilestoneTracking[SiteInOperations_BL],"&gt;="&amp;Table_SiteMilestoneTrackingSummary[[#This Row],[StartDate]:[StartDate]],
Table_SiteMilestoneTracking[SiteInOperations_BL],"&lt;"&amp;Table_SiteMilestoneTrackingSummary[[#This Row],[EndDate]:[EndDate]]+1)</f>
        <v>2800</v>
      </c>
      <c r="DH40" s="100">
        <f>DH39+Table_SiteMilestoneTrackingSummary[[#This Row],[c9_HandoverCostBL2]]</f>
        <v>20000</v>
      </c>
      <c r="DI40" s="96">
        <f>SUMIFS(Table_SiteMilestoneTracking[c9_HandoverCostAC],
Table_SiteMilestoneTracking[SiteInOperations_AC],"&gt;="&amp;Table_SiteMilestoneTrackingSummary[[#This Row],[StartDate]:[StartDate]],
Table_SiteMilestoneTracking[SiteInOperations_AC],"&lt;"&amp;Table_SiteMilestoneTrackingSummary[[#This Row],[EndDate]:[EndDate]]+1)</f>
        <v>0</v>
      </c>
      <c r="DJ40" s="100">
        <f>DJ39+Table_SiteMilestoneTrackingSummary[[#This Row],[c9_HandoverCostAC]]</f>
        <v>2000</v>
      </c>
      <c r="DK40" s="96">
        <f>COUNTIFS(Table_SiteMilestoneTracking[SiteInOperations_BL],"&gt;="&amp;Table_SiteMilestoneTrackingSummary[[#This Row],[StartDate]:[StartDate]],
Table_SiteMilestoneTracking[SiteInOperations_BL],"&lt;"&amp;Table_SiteMilestoneTrackingSummary[[#This Row],[EndDate]:[EndDate]]+1)</f>
        <v>14</v>
      </c>
      <c r="DL40" s="100">
        <f>DL39+Table_SiteMilestoneTrackingSummary[[#This Row],[SiteInOperations_BL]]</f>
        <v>100</v>
      </c>
      <c r="DM40" s="96">
        <f>COUNTIFS(Table_SiteMilestoneTracking[SiteInOperations_AC],"&gt;="&amp;Table_SiteMilestoneTrackingSummary[[#This Row],[StartDate]:[StartDate]],
Table_SiteMilestoneTracking[SiteInOperations_AC],"&lt;"&amp;Table_SiteMilestoneTrackingSummary[[#This Row],[EndDate]:[EndDate]]+1)</f>
        <v>0</v>
      </c>
      <c r="DN40" s="100">
        <f>DN39+Table_SiteMilestoneTrackingSummary[[#This Row],[SiteInOperations_AC]]</f>
        <v>10</v>
      </c>
      <c r="DO40" s="59">
        <f>Table_SiteMilestoneTrackingSummary[[#This Row],[c0_SiteDesignEV(SUM)]]+Table_SiteMilestoneTrackingSummary[[#This Row],[c1_SiteSurveyEV(SUM)]]+Table_SiteMilestoneTrackingSummary[[#This Row],[c2_SiteAcquisitionEV(SUM)]]+Table_SiteMilestoneTrackingSummary[[#This Row],[c2a_SiteCWReadinessEV(SUM)]]+Table_SiteMilestoneTrackingSummary[[#This Row],[c3_CivilWorksEV(SUM)]]+Table_SiteMilestoneTrackingSummary[[#This Row],[c4_PowerInstallEV(SUM)]]+Table_SiteMilestoneTrackingSummary[[#This Row],[c5_TxIntegrationEV(SUM)]]+Table_SiteMilestoneTrackingSummary[[#This Row],[c6_InstallationEV(SUM)]]+Table_SiteMilestoneTrackingSummary[[#This Row],[c7_IntegrationEV(SUM)]]+Table_SiteMilestoneTrackingSummary[[#This Row],[c8_AcceptanceEV(SUM)]]+Table_SiteMilestoneTrackingSummary[[#This Row],[c9_HandoverEV(SUM)]]</f>
        <v>429900</v>
      </c>
      <c r="DP40" s="59">
        <f>Table_SiteMilestoneTrackingSummary[[#This Row],[c0_SiteDesignCostBL(SUM)]]+Table_SiteMilestoneTrackingSummary[[#This Row],[c1_SiteSurveyCostBL(SUM)]]+Table_SiteMilestoneTrackingSummary[[#This Row],[c2_SiteAcquisitionCostBL(SUM)]]+Table_SiteMilestoneTrackingSummary[[#This Row],[c2a_SiteCWReadinessCostBL(SUM)]]+Table_SiteMilestoneTrackingSummary[[#This Row],[c3_CivilWorksCostBL(SUM)]]+Table_SiteMilestoneTrackingSummary[[#This Row],[c4_PowerInstallCostBL(SUM)]]+Table_SiteMilestoneTrackingSummary[[#This Row],[c5_TxIntegrationCostBL(SUM)]]+Table_SiteMilestoneTrackingSummary[[#This Row],[c6_InstallationCostBL(SUM)]]+Table_SiteMilestoneTrackingSummary[[#This Row],[c7_IntegrationCostBL(SUM)]]+Table_SiteMilestoneTrackingSummary[[#This Row],[c8_AcceptanceCostBL(SUM)]]+Table_SiteMilestoneTrackingSummary[[#This Row],[c9_HandoverCostBL(SUM)]]</f>
        <v>770000</v>
      </c>
      <c r="DQ40" s="59">
        <f>Table_SiteMilestoneTrackingSummary[[#This Row],[c0_SiteDesignCostAC(SUM)]]+Table_SiteMilestoneTrackingSummary[[#This Row],[c1_SiteSurveyCostAC(SUM)]]+Table_SiteMilestoneTrackingSummary[[#This Row],[c2_SiteAcquisitionCostAC(SUM)]]+Table_SiteMilestoneTrackingSummary[[#This Row],[c2a_SiteCWReadinessCostAC(SUM)]]+Table_SiteMilestoneTrackingSummary[[#This Row],[c3_CivilWorksCostAC(SUM)]]+Table_SiteMilestoneTrackingSummary[[#This Row],[c4_PowerInstallCostAC(SUM)]]+Table_SiteMilestoneTrackingSummary[[#This Row],[c5_TxIntegrationCostAC(SUM)]]+Table_SiteMilestoneTrackingSummary[[#This Row],[c6_InstallationCostAC(SUM)]]+Table_SiteMilestoneTrackingSummary[[#This Row],[c7_IntegrationCostAC(SUM)]]+Table_SiteMilestoneTrackingSummary[[#This Row],[c8_AcceptanceCostAC(SUM)]]+Table_SiteMilestoneTrackingSummary[[#This Row],[c9_HandoverCostAC(SUM)]]</f>
        <v>433825</v>
      </c>
      <c r="DR40" s="59">
        <f>Table_SiteMilestoneTrackingSummary[[#This Row],[AccumulatedEV]]-Table_SiteMilestoneTrackingSummary[[#This Row],[AccumulatedPV]]</f>
        <v>-340100</v>
      </c>
      <c r="DS40" s="59">
        <f>Table_SiteMilestoneTrackingSummary[[#This Row],[AccumulatedEV]]-Table_SiteMilestoneTrackingSummary[[#This Row],[AccumulatedAC]]</f>
        <v>-3925</v>
      </c>
      <c r="DT40" s="58">
        <f>IFERROR(Table_SiteMilestoneTrackingSummary[[#This Row],[AccumulatedEV]]/Table_SiteMilestoneTrackingSummary[[#This Row],[AccumulatedPV]],"/")</f>
        <v>0.55831168831168831</v>
      </c>
      <c r="DU40" s="101">
        <f>IFERROR(Table_SiteMilestoneTrackingSummary[[#This Row],[AccumulatedEV]]/Table_SiteMilestoneTrackingSummary[[#This Row],[AccumulatedAC]],"/")</f>
        <v>0.99095257304212525</v>
      </c>
    </row>
    <row r="41" spans="1:125" x14ac:dyDescent="0.3">
      <c r="A41" s="79">
        <v>2020</v>
      </c>
      <c r="B41" s="79">
        <v>38</v>
      </c>
      <c r="C41" s="95">
        <f>DATE(Table_SiteMilestoneTrackingSummary[[#This Row],[Year]],1,-2)-WEEKDAY(DATE(Table_SiteMilestoneTrackingSummary[[#This Row],[Year]],1,3))+Table_SiteMilestoneTrackingSummary[[#This Row],[Week]]*7</f>
        <v>44088</v>
      </c>
      <c r="D41" s="95">
        <f>Table_SiteMilestoneTrackingSummary[[#This Row],[StartDate]]+6</f>
        <v>44094</v>
      </c>
      <c r="E41" s="100">
        <f>COUNTIFS(Table_SiteMilestoneTracking[SiteDesignStarted_BL],"&gt;="&amp;Table_SiteMilestoneTrackingSummary[[#This Row],[StartDate]:[StartDate]],Table_SiteMilestoneTracking[SiteDesignStarted_BL],"&lt;"&amp;Table_SiteMilestoneTrackingSummary[[#This Row],[EndDate]:[EndDate]]+1)</f>
        <v>0</v>
      </c>
      <c r="F41" s="100">
        <f>F40+Table_SiteMilestoneTrackingSummary[[#This Row],[SiteDesignStarted_BL]]</f>
        <v>100</v>
      </c>
      <c r="G41" s="100">
        <f>COUNTIFS(Table_SiteMilestoneTracking[SiteDesignStarted_AC],"&gt;="&amp;Table_SiteMilestoneTrackingSummary[[#This Row],[StartDate]:[StartDate]],Table_SiteMilestoneTracking[SiteDesignStarted_AC],"&lt;"&amp;Table_SiteMilestoneTrackingSummary[[#This Row],[EndDate]:[EndDate]]+1)</f>
        <v>0</v>
      </c>
      <c r="H41" s="100">
        <f>H40+Table_SiteMilestoneTrackingSummary[[#This Row],[SiteDesignStarted_AC]]</f>
        <v>96</v>
      </c>
      <c r="I41" s="100">
        <f>Table_SiteMilestoneTrackingSummary[[#This Row],[SiteDesignReady_AC]]*$I$2</f>
        <v>0</v>
      </c>
      <c r="J41" s="100">
        <f>J40+Table_SiteMilestoneTrackingSummary[[#This Row],[c0_SiteDesignEV]]</f>
        <v>45000</v>
      </c>
      <c r="K41" s="97">
        <f>SUMIFS(Table_SiteMilestoneTracking[c0_SiteDesignCostBL],
Table_SiteMilestoneTracking[SiteDesignReady_BL],"&gt;="&amp;Table_SiteMilestoneTrackingSummary[[#This Row],[StartDate]:[StartDate]],
Table_SiteMilestoneTracking[SiteDesignReady_BL],"&lt;"&amp;Table_SiteMilestoneTrackingSummary[[#This Row],[EndDate]:[EndDate]]+1)</f>
        <v>0</v>
      </c>
      <c r="L41" s="59">
        <f>L40+Table_SiteMilestoneTrackingSummary[[#This Row],[c0_SiteDesignCostBL]]</f>
        <v>50000</v>
      </c>
      <c r="M41" s="97">
        <f>SUMIFS(Table_SiteMilestoneTracking[c0_SiteDesignCostAC],
Table_SiteMilestoneTracking[SiteDesignReady_AC],"&gt;="&amp;Table_SiteMilestoneTrackingSummary[[#This Row],[StartDate]:[StartDate]],
Table_SiteMilestoneTracking[SiteDesignReady_AC],"&lt;"&amp;Table_SiteMilestoneTrackingSummary[[#This Row],[EndDate]:[EndDate]]+1)</f>
        <v>0</v>
      </c>
      <c r="N41" s="59">
        <f>N40+Table_SiteMilestoneTrackingSummary[[#This Row],[c0_SiteDesignCostAC]]</f>
        <v>43180</v>
      </c>
      <c r="O41" s="96">
        <f>COUNTIFS(Table_SiteMilestoneTracking[SiteDesignReady_BL],"&gt;="&amp;Table_SiteMilestoneTrackingSummary[[#This Row],[StartDate]:[StartDate]],
Table_SiteMilestoneTracking[SiteDesignReady_BL],"&lt;"&amp;Table_SiteMilestoneTrackingSummary[[#This Row],[EndDate]:[EndDate]]+1)</f>
        <v>0</v>
      </c>
      <c r="P41" s="100">
        <f>P40+Table_SiteMilestoneTrackingSummary[[#This Row],[SiteDesignReady_BL]]</f>
        <v>100</v>
      </c>
      <c r="Q41" s="100">
        <f>COUNTIFS(Table_SiteMilestoneTracking[SiteDesignReady_AC],"&gt;="&amp;Table_SiteMilestoneTrackingSummary[[#This Row],[StartDate]:[StartDate]],Table_SiteMilestoneTracking[SiteDesignReady_AC],"&lt;"&amp;Table_SiteMilestoneTrackingSummary[[#This Row],[EndDate]:[EndDate]]+1)</f>
        <v>0</v>
      </c>
      <c r="R41" s="100">
        <f>R40+Table_SiteMilestoneTrackingSummary[[#This Row],[SiteDesignReady_AC]]</f>
        <v>90</v>
      </c>
      <c r="S41" s="100">
        <f>Table_SiteMilestoneTrackingSummary[[#This Row],[ReadyForCW_AC]]*$S$2</f>
        <v>0</v>
      </c>
      <c r="T41" s="100">
        <f>T40+Table_SiteMilestoneTrackingSummary[[#This Row],[c1_SiteSurveyEV]]</f>
        <v>40000</v>
      </c>
      <c r="U41" s="96">
        <f>SUMIFS(Table_SiteMilestoneTracking[c1_SiteSurveyCostBL],
Table_SiteMilestoneTracking[SiteSurveyCompleted_BL],"&gt;="&amp;Table_SiteMilestoneTrackingSummary[[#This Row],[StartDate]:[StartDate]],
Table_SiteMilestoneTracking[SiteSurveyCompleted_BL],"&lt;"&amp;Table_SiteMilestoneTrackingSummary[[#This Row],[EndDate]:[EndDate]]+1)</f>
        <v>0</v>
      </c>
      <c r="V41" s="100">
        <f>V40+Table_SiteMilestoneTrackingSummary[[#This Row],[c1_SiteSurveyCostBL]]</f>
        <v>50000</v>
      </c>
      <c r="W41" s="96">
        <f>SUMIFS(Table_SiteMilestoneTracking[c1_SiteSurveyCostAC],
Table_SiteMilestoneTracking[SiteSurveyCompleted_AC],"&gt;="&amp;Table_SiteMilestoneTrackingSummary[[#This Row],[StartDate]:[StartDate]],
Table_SiteMilestoneTracking[SiteSurveyCompleted_AC],"&lt;"&amp;Table_SiteMilestoneTrackingSummary[[#This Row],[EndDate]:[EndDate]]+1)</f>
        <v>0</v>
      </c>
      <c r="X41" s="100">
        <f>X40+Table_SiteMilestoneTrackingSummary[[#This Row],[c1_SiteSurveyCostAC]]</f>
        <v>51800</v>
      </c>
      <c r="Y41" s="96">
        <f>COUNTIFS(Table_SiteMilestoneTracking[SiteSurveyCompleted_BL],"&gt;="&amp;Table_SiteMilestoneTrackingSummary[[#This Row],[StartDate]:[StartDate]],
Table_SiteMilestoneTracking[SiteSurveyCompleted_BL],"&lt;"&amp;Table_SiteMilestoneTrackingSummary[[#This Row],[EndDate]:[EndDate]]+1)</f>
        <v>0</v>
      </c>
      <c r="Z41" s="100">
        <f>Z40+Table_SiteMilestoneTrackingSummary[[#This Row],[SiteSurveyCompleted_BL]]</f>
        <v>100</v>
      </c>
      <c r="AA41" s="96">
        <f>COUNTIFS(Table_SiteMilestoneTracking[SiteSurveyCompleted_AC],"&gt;="&amp;Table_SiteMilestoneTrackingSummary[[#This Row],[StartDate]:[StartDate]],
Table_SiteMilestoneTracking[SiteSurveyCompleted_AC],"&lt;"&amp;Table_SiteMilestoneTrackingSummary[[#This Row],[EndDate]:[EndDate]]+1)</f>
        <v>0</v>
      </c>
      <c r="AB41" s="100">
        <f>AB40+Table_SiteMilestoneTrackingSummary[[#This Row],[SiteSurveyCompleted_AC]]</f>
        <v>86</v>
      </c>
      <c r="AC41" s="100">
        <f>$AC$2*Table_SiteMilestoneTrackingSummary[[#This Row],[SiteAcquired_AC]]</f>
        <v>0</v>
      </c>
      <c r="AD41" s="100">
        <f>AD40+Table_SiteMilestoneTrackingSummary[[#This Row],[c2_SiteAcquisitionEV]]</f>
        <v>50400</v>
      </c>
      <c r="AE41" s="96">
        <f>SUMIFS(Table_SiteMilestoneTracking[c2_SiteAcquisitionCostBL],
Table_SiteMilestoneTracking[SiteAcquired_BL],"&gt;="&amp;Table_SiteMilestoneTrackingSummary[[#This Row],[StartDate]:[StartDate]],
Table_SiteMilestoneTracking[SiteAcquired_BL],"&lt;"&amp;Table_SiteMilestoneTrackingSummary[[#This Row],[EndDate]:[EndDate]]+1)</f>
        <v>0</v>
      </c>
      <c r="AF41" s="100">
        <f>AF40+Table_SiteMilestoneTrackingSummary[[#This Row],[c2_SiteAcquisitionCostBL]]</f>
        <v>60000</v>
      </c>
      <c r="AG41" s="96">
        <f>SUMIFS(Table_SiteMilestoneTracking[c2_SiteAcquisitionCostAC],
Table_SiteMilestoneTracking[SiteAcquired_AC],"&gt;="&amp;Table_SiteMilestoneTrackingSummary[[#This Row],[StartDate]:[StartDate]],
Table_SiteMilestoneTracking[SiteAcquired_AC],"&lt;"&amp;Table_SiteMilestoneTrackingSummary[[#This Row],[EndDate]:[EndDate]]+1)</f>
        <v>0</v>
      </c>
      <c r="AH41" s="100">
        <f>AH40+Table_SiteMilestoneTrackingSummary[[#This Row],[c2_SiteAcquisitionCostAC]]</f>
        <v>52800</v>
      </c>
      <c r="AI41" s="96">
        <f>COUNTIFS(Table_SiteMilestoneTracking[SiteAcquired_BL],"&gt;="&amp;Table_SiteMilestoneTrackingSummary[[#This Row],[StartDate]:[StartDate]],
Table_SiteMilestoneTracking[SiteAcquired_BL],"&lt;"&amp;Table_SiteMilestoneTrackingSummary[[#This Row],[EndDate]:[EndDate]]+1)</f>
        <v>0</v>
      </c>
      <c r="AJ41" s="100">
        <f>AJ40+Table_SiteMilestoneTrackingSummary[[#This Row],[SiteAcquired_BL]]</f>
        <v>100</v>
      </c>
      <c r="AK41" s="96">
        <f>COUNTIFS(Table_SiteMilestoneTracking[SiteAcquired_AC],"&gt;="&amp;Table_SiteMilestoneTrackingSummary[[#This Row],[StartDate]:[StartDate]],
Table_SiteMilestoneTracking[SiteAcquired_AC],"&lt;"&amp;Table_SiteMilestoneTrackingSummary[[#This Row],[EndDate]:[EndDate]]+1)</f>
        <v>0</v>
      </c>
      <c r="AL41" s="100">
        <f>AL40+Table_SiteMilestoneTrackingSummary[[#This Row],[SiteAcquired_AC]]</f>
        <v>84</v>
      </c>
      <c r="AM41" s="100">
        <f>Table_SiteMilestoneTrackingSummary[[#This Row],[ReadyForCW_AC]]*$AM$2</f>
        <v>0</v>
      </c>
      <c r="AN41" s="100">
        <f>AN40+Table_SiteMilestoneTrackingSummary[[#This Row],[c2a_SiteCWReadinessEV]]</f>
        <v>12000</v>
      </c>
      <c r="AO41" s="96">
        <f>SUMIFS(Table_SiteMilestoneTracking[c2a_SiteCWReadinessCost_BL],
Table_SiteMilestoneTracking[SiteReadyForCW_BL],"&gt;="&amp;Table_SiteMilestoneTrackingSummary[[#This Row],[StartDate]:[StartDate]],
Table_SiteMilestoneTracking[SiteReadyForCW_BL],"&lt;"&amp;Table_SiteMilestoneTrackingSummary[[#This Row],[EndDate]:[EndDate]]+1)</f>
        <v>0</v>
      </c>
      <c r="AP41" s="100">
        <f>AP40+Table_SiteMilestoneTrackingSummary[[#This Row],[c2a_SiteCWReadinessCostBL]]</f>
        <v>15000</v>
      </c>
      <c r="AQ41" s="96">
        <f>SUMIFS(Table_SiteMilestoneTracking[c2a_SiteCWReadinessCost_AC],
Table_SiteMilestoneTracking[SiteReadyForCW_AC],"&gt;="&amp;Table_SiteMilestoneTrackingSummary[[#This Row],[StartDate]:[StartDate]],
Table_SiteMilestoneTracking[SiteReadyForCW_AC],"&lt;"&amp;Table_SiteMilestoneTrackingSummary[[#This Row],[EndDate]:[EndDate]]+1)</f>
        <v>0</v>
      </c>
      <c r="AR41" s="100">
        <f>AR40+Table_SiteMilestoneTrackingSummary[[#This Row],[c2a_SiteCWReadinessCostAC]]</f>
        <v>12045</v>
      </c>
      <c r="AS41" s="96">
        <f>COUNTIFS(Table_SiteMilestoneTracking[SiteReadyForCW_BL],"&gt;="&amp;Table_SiteMilestoneTrackingSummary[[#This Row],[StartDate]:[StartDate]],
Table_SiteMilestoneTracking[SiteReadyForCW_BL],"&lt;"&amp;Table_SiteMilestoneTrackingSummary[[#This Row],[EndDate]:[EndDate]]+1)</f>
        <v>0</v>
      </c>
      <c r="AT41" s="100">
        <f>AT40+Table_SiteMilestoneTrackingSummary[[#This Row],[ReadyForCW_BL]]</f>
        <v>100</v>
      </c>
      <c r="AU41" s="96">
        <f>COUNTIFS(Table_SiteMilestoneTracking[SiteReadyForCW_AC],"&gt;="&amp;Table_SiteMilestoneTrackingSummary[[#This Row],[StartDate]:[StartDate]],
Table_SiteMilestoneTracking[SiteReadyForCW_AC],"&lt;"&amp;Table_SiteMilestoneTrackingSummary[[#This Row],[EndDate]:[EndDate]]+1)</f>
        <v>0</v>
      </c>
      <c r="AV41" s="100">
        <f>AV40+Table_SiteMilestoneTrackingSummary[[#This Row],[ReadyForCW_AC]]</f>
        <v>80</v>
      </c>
      <c r="AW41" s="100">
        <f>$AW$2*Table_SiteMilestoneTrackingSummary[[#This Row],[ReadyForPower_AC]]</f>
        <v>0</v>
      </c>
      <c r="AX41" s="100">
        <f>AX40+Table_SiteMilestoneTrackingSummary[[#This Row],[c3_CivilWorksEV]]</f>
        <v>105000</v>
      </c>
      <c r="AY41" s="96">
        <f>SUMIFS(Table_SiteMilestoneTracking[c3_CivilWorksCostBL],
Table_SiteMilestoneTracking[SiteReadyForPower_BL],"&gt;="&amp;Table_SiteMilestoneTrackingSummary[[#This Row],[StartDate]:[StartDate]],
Table_SiteMilestoneTracking[SiteReadyForPower_BL],"&lt;"&amp;Table_SiteMilestoneTrackingSummary[[#This Row],[EndDate]:[EndDate]]+1)</f>
        <v>0</v>
      </c>
      <c r="AZ41" s="100">
        <f>AZ40+Table_SiteMilestoneTrackingSummary[[#This Row],[c3_CivilWorksCostBL]]</f>
        <v>150000</v>
      </c>
      <c r="BA41" s="96">
        <f>SUMIFS(Table_SiteMilestoneTracking[c3_CivilWorksCostAC],
Table_SiteMilestoneTracking[SiteReadyForPower_AC],"&gt;="&amp;Table_SiteMilestoneTrackingSummary[[#This Row],[StartDate]:[StartDate]],
Table_SiteMilestoneTracking[SiteReadyForPower_AC],"&lt;"&amp;Table_SiteMilestoneTrackingSummary[[#This Row],[EndDate]:[EndDate]]+1)</f>
        <v>0</v>
      </c>
      <c r="BB41" s="100">
        <f>BB40+Table_SiteMilestoneTrackingSummary[[#This Row],[c3_CivilWorksCostAC]]</f>
        <v>112350</v>
      </c>
      <c r="BC41" s="96">
        <f>COUNTIFS(Table_SiteMilestoneTracking[SiteReadyForPower_BL],"&gt;="&amp;Table_SiteMilestoneTrackingSummary[[#This Row],[StartDate]:[StartDate]],
Table_SiteMilestoneTracking[SiteReadyForPower_BL],"&lt;"&amp;Table_SiteMilestoneTrackingSummary[[#This Row],[EndDate]:[EndDate]]+1)</f>
        <v>0</v>
      </c>
      <c r="BD41" s="100">
        <f>BD40+Table_SiteMilestoneTrackingSummary[[#This Row],[ReadyForPower_BL]]</f>
        <v>100</v>
      </c>
      <c r="BE41" s="96">
        <f>COUNTIFS(Table_SiteMilestoneTracking[SiteReadyForPower_AC],"&gt;="&amp;Table_SiteMilestoneTrackingSummary[[#This Row],[StartDate]:[StartDate]],
Table_SiteMilestoneTracking[SiteReadyForPower_AC],"&lt;"&amp;Table_SiteMilestoneTrackingSummary[[#This Row],[EndDate]:[EndDate]]+1)</f>
        <v>0</v>
      </c>
      <c r="BF41" s="100">
        <f>BF40+Table_SiteMilestoneTrackingSummary[[#This Row],[ReadyForPower_AC]]</f>
        <v>70</v>
      </c>
      <c r="BG41" s="100">
        <f>$BG$2*Table_SiteMilestoneTrackingSummary[[#This Row],[TXReady_AC]]</f>
        <v>0</v>
      </c>
      <c r="BH41" s="100">
        <f>BH40+Table_SiteMilestoneTrackingSummary[[#This Row],[c4_PowerInstallEV]]</f>
        <v>30000</v>
      </c>
      <c r="BI41" s="96">
        <f>SUMIFS(Table_SiteMilestoneTracking[c4_PowerInstallCostBL],
Table_SiteMilestoneTracking[TXReady_BL],"&gt;="&amp;Table_SiteMilestoneTrackingSummary[[#This Row],[StartDate]:[StartDate]],
Table_SiteMilestoneTracking[TXReady_BL],"&lt;"&amp;Table_SiteMilestoneTrackingSummary[[#This Row],[EndDate]:[EndDate]]+1)</f>
        <v>0</v>
      </c>
      <c r="BJ41" s="100">
        <f>BJ40+Table_SiteMilestoneTrackingSummary[[#This Row],[c4_PowerInstallCostBL]]</f>
        <v>50000</v>
      </c>
      <c r="BK41" s="96">
        <f>SUMIFS(Table_SiteMilestoneTracking[c4_PowerInstallCostAC],
Table_SiteMilestoneTracking[TXReady_AC],"&gt;="&amp;Table_SiteMilestoneTrackingSummary[[#This Row],[StartDate]:[StartDate]],
Table_SiteMilestoneTracking[TXReady_AC],"&lt;"&amp;Table_SiteMilestoneTrackingSummary[[#This Row],[EndDate]:[EndDate]]+1)</f>
        <v>0</v>
      </c>
      <c r="BL41" s="100">
        <f>BL40+Table_SiteMilestoneTrackingSummary[[#This Row],[c4_PowerInstallCostAC]]</f>
        <v>28050</v>
      </c>
      <c r="BM41" s="96">
        <f>COUNTIFS(Table_SiteMilestoneTracking[TXReady_BL],"&gt;="&amp;Table_SiteMilestoneTrackingSummary[[#This Row],[StartDate]:[StartDate]],
Table_SiteMilestoneTracking[TXReady_BL],"&lt;"&amp;Table_SiteMilestoneTrackingSummary[[#This Row],[EndDate]:[EndDate]]+1)</f>
        <v>0</v>
      </c>
      <c r="BN41" s="100">
        <f>BN40+Table_SiteMilestoneTrackingSummary[[#This Row],[TXReady_BL]]</f>
        <v>100</v>
      </c>
      <c r="BO41" s="100">
        <f>COUNTIFS(Table_SiteMilestoneTracking[TXReady_AC],"&gt;="&amp;Table_SiteMilestoneTrackingSummary[[#This Row],[StartDate]:[StartDate]],Table_SiteMilestoneTracking[TXReady_AC],"&lt;"&amp;Table_SiteMilestoneTrackingSummary[[#This Row],[EndDate]:[EndDate]]+1)</f>
        <v>0</v>
      </c>
      <c r="BP41" s="100">
        <f>BP40+Table_SiteMilestoneTrackingSummary[[#This Row],[TXReady_AC]]</f>
        <v>60</v>
      </c>
      <c r="BQ41" s="100">
        <f>$BQ$2*Table_SiteMilestoneTrackingSummary[[#This Row],[ReadyForInstallation_AC]]</f>
        <v>0</v>
      </c>
      <c r="BR41" s="100">
        <f>BR40+Table_SiteMilestoneTrackingSummary[[#This Row],[c5_TxIntegrationEV]]</f>
        <v>25500</v>
      </c>
      <c r="BS41" s="96">
        <f>SUMIFS(Table_SiteMilestoneTracking[c5_TxintegrationCostBL],
Table_SiteMilestoneTracking[SiteReadyForInstallation_BL],"&gt;="&amp;Table_SiteMilestoneTrackingSummary[[#This Row],[StartDate]:[StartDate]],
Table_SiteMilestoneTracking[SiteReadyForInstallation_BL],"&lt;"&amp;Table_SiteMilestoneTrackingSummary[[#This Row],[EndDate]:[EndDate]]+1)</f>
        <v>0</v>
      </c>
      <c r="BT41" s="100">
        <f>BT40+Table_SiteMilestoneTrackingSummary[[#This Row],[c5_TxIntegrationCostBL]]</f>
        <v>50000</v>
      </c>
      <c r="BU41" s="96">
        <f>SUMIFS(Table_SiteMilestoneTracking[c5_TxintegrationCostAC],
Table_SiteMilestoneTracking[SiteReadyForInstallation_AC],"&gt;="&amp;Table_SiteMilestoneTrackingSummary[[#This Row],[StartDate]:[StartDate]],
Table_SiteMilestoneTracking[SiteReadyForInstallation_AC],"&lt;"&amp;Table_SiteMilestoneTrackingSummary[[#This Row],[EndDate]:[EndDate]]+1)</f>
        <v>0</v>
      </c>
      <c r="BV41" s="100">
        <f>BV40+Table_SiteMilestoneTrackingSummary[[#This Row],[c5_TxIntegrationCostAC]]</f>
        <v>24850</v>
      </c>
      <c r="BW41" s="96">
        <f>COUNTIFS(Table_SiteMilestoneTracking[SiteReadyForInstallation_BL],"&gt;="&amp;Table_SiteMilestoneTrackingSummary[[#This Row],[StartDate]:[StartDate]],
Table_SiteMilestoneTracking[SiteReadyForInstallation_BL],"&lt;"&amp;Table_SiteMilestoneTrackingSummary[[#This Row],[EndDate]:[EndDate]]+1)</f>
        <v>0</v>
      </c>
      <c r="BX41" s="100">
        <f>BX40+Table_SiteMilestoneTrackingSummary[[#This Row],[ReadyForInstallation_BL]]</f>
        <v>100</v>
      </c>
      <c r="BY41" s="96">
        <f>COUNTIFS(Table_SiteMilestoneTracking[SiteReadyForInstallation_AC],"&gt;="&amp;Table_SiteMilestoneTrackingSummary[[#This Row],[StartDate]:[StartDate]],
Table_SiteMilestoneTracking[SiteReadyForInstallation_AC],"&lt;"&amp;Table_SiteMilestoneTrackingSummary[[#This Row],[EndDate]:[EndDate]]+1)</f>
        <v>0</v>
      </c>
      <c r="BZ41" s="100">
        <f>BZ40+Table_SiteMilestoneTrackingSummary[[#This Row],[ReadyForInstallation_AC]]</f>
        <v>51</v>
      </c>
      <c r="CA41" s="100">
        <f>$CA$2*Table_SiteMilestoneTrackingSummary[[#This Row],[ReadyForIntegration_AC]]</f>
        <v>0</v>
      </c>
      <c r="CB41" s="100">
        <f>CB40+Table_SiteMilestoneTrackingSummary[[#This Row],[c6_InstallationEV]]</f>
        <v>100000</v>
      </c>
      <c r="CC41" s="96">
        <f>SUMIFS(Table_SiteMilestoneTracking[c6_InstallationCostBL],
Table_SiteMilestoneTracking[SiteReadyForIntegration_BL],"&gt;="&amp;Table_SiteMilestoneTrackingSummary[[#This Row],[StartDate]:[StartDate]],
Table_SiteMilestoneTracking[SiteReadyForIntegration_BL],"&lt;"&amp;Table_SiteMilestoneTrackingSummary[[#This Row],[EndDate]:[EndDate]]+1)</f>
        <v>0</v>
      </c>
      <c r="CD41" s="100">
        <f>CD40+Table_SiteMilestoneTrackingSummary[[#This Row],[c6_InstallationCostBL]]</f>
        <v>250000</v>
      </c>
      <c r="CE41" s="96">
        <f>SUMIFS(Table_SiteMilestoneTracking[c6_InstallationCostAC],
Table_SiteMilestoneTracking[SiteReadyForIntegration_AC],"&gt;="&amp;Table_SiteMilestoneTrackingSummary[[#This Row],[StartDate]:[StartDate]],
Table_SiteMilestoneTracking[SiteReadyForIntegration_AC],"&lt;"&amp;Table_SiteMilestoneTrackingSummary[[#This Row],[EndDate]:[EndDate]]+1)</f>
        <v>0</v>
      </c>
      <c r="CF41" s="100">
        <f>CF40+Table_SiteMilestoneTrackingSummary[[#This Row],[c6_InstallationCostAC]]</f>
        <v>87600</v>
      </c>
      <c r="CG41" s="96">
        <f>COUNTIFS(Table_SiteMilestoneTracking[SiteReadyForIntegration_BL],"&gt;="&amp;Table_SiteMilestoneTrackingSummary[[#This Row],[StartDate]:[StartDate]],
Table_SiteMilestoneTracking[SiteReadyForIntegration_BL],"&lt;"&amp;Table_SiteMilestoneTrackingSummary[[#This Row],[EndDate]:[EndDate]]+1)</f>
        <v>0</v>
      </c>
      <c r="CH41" s="100">
        <f>CH40+Table_SiteMilestoneTrackingSummary[[#This Row],[ReadyForIntegration_BL]]</f>
        <v>100</v>
      </c>
      <c r="CI41" s="96">
        <f>COUNTIFS(Table_SiteMilestoneTracking[SiteReadyForIntegration_AC],"&gt;="&amp;Table_SiteMilestoneTrackingSummary[[#This Row],[StartDate]:[StartDate]],
Table_SiteMilestoneTracking[SiteReadyForIntegration_AC],"&lt;"&amp;Table_SiteMilestoneTrackingSummary[[#This Row],[EndDate]:[EndDate]]+1)</f>
        <v>0</v>
      </c>
      <c r="CJ41" s="100">
        <f>CJ40+Table_SiteMilestoneTrackingSummary[[#This Row],[ReadyForIntegration_AC]]</f>
        <v>40</v>
      </c>
      <c r="CK41" s="100">
        <f>$CK$2*Table_SiteMilestoneTrackingSummary[[#This Row],[SiteOnAir_AC]]</f>
        <v>0</v>
      </c>
      <c r="CL41" s="100">
        <f>CL40+Table_SiteMilestoneTrackingSummary[[#This Row],[c7_IntegrationEV]]</f>
        <v>15000</v>
      </c>
      <c r="CM41" s="96">
        <f>SUMIFS(Table_SiteMilestoneTracking[c7_IntegrationCostBL],
Table_SiteMilestoneTracking[SiteOnAir_BL],"&gt;="&amp;Table_SiteMilestoneTrackingSummary[[#This Row],[StartDate]:[StartDate]],
Table_SiteMilestoneTracking[SiteOnAir_BL],"&lt;"&amp;Table_SiteMilestoneTrackingSummary[[#This Row],[EndDate]:[EndDate]]+1)</f>
        <v>0</v>
      </c>
      <c r="CN41" s="100">
        <f>CN40+Table_SiteMilestoneTrackingSummary[[#This Row],[c7_IntegrationCostBL]]</f>
        <v>50000</v>
      </c>
      <c r="CO41" s="96">
        <f>SUMIFS(Table_SiteMilestoneTracking[c7_IntegrationCostAC],
Table_SiteMilestoneTracking[SiteOnAir_AC],"&gt;="&amp;Table_SiteMilestoneTrackingSummary[[#This Row],[StartDate]:[StartDate]],
Table_SiteMilestoneTracking[SiteOnAir_AC],"&lt;"&amp;Table_SiteMilestoneTrackingSummary[[#This Row],[EndDate]:[EndDate]]+1)</f>
        <v>0</v>
      </c>
      <c r="CP41" s="100">
        <f>CP40+Table_SiteMilestoneTrackingSummary[[#This Row],[c7_IntegrationCostAC]]</f>
        <v>14150</v>
      </c>
      <c r="CQ41" s="96">
        <f>COUNTIFS(Table_SiteMilestoneTracking[SiteOnAir_BL],"&gt;="&amp;Table_SiteMilestoneTrackingSummary[[#This Row],[StartDate]:[StartDate]],
Table_SiteMilestoneTracking[SiteOnAir_BL],"&lt;"&amp;Table_SiteMilestoneTrackingSummary[[#This Row],[EndDate]:[EndDate]]+1)</f>
        <v>0</v>
      </c>
      <c r="CR41" s="100">
        <f>CR40+Table_SiteMilestoneTrackingSummary[[#This Row],[SiteOnAir_BL]]</f>
        <v>100</v>
      </c>
      <c r="CS41" s="96">
        <f>COUNTIFS(Table_SiteMilestoneTracking[SiteOnAir_AC],"&gt;="&amp;Table_SiteMilestoneTrackingSummary[[#This Row],[StartDate]:[StartDate]],
Table_SiteMilestoneTracking[SiteOnAir_AC],"&lt;"&amp;Table_SiteMilestoneTrackingSummary[[#This Row],[EndDate]:[EndDate]]+1)</f>
        <v>0</v>
      </c>
      <c r="CT41" s="100">
        <f>CT40+Table_SiteMilestoneTrackingSummary[[#This Row],[SiteOnAir_AC]]</f>
        <v>30</v>
      </c>
      <c r="CU41" s="100">
        <f>$CU$2*Table_SiteMilestoneTrackingSummary[[#This Row],[SiteAccepted_AC]]</f>
        <v>0</v>
      </c>
      <c r="CV41" s="100">
        <f>CV40+Table_SiteMilestoneTrackingSummary[[#This Row],[c8_AcceptanceEV]]</f>
        <v>5000</v>
      </c>
      <c r="CW41" s="96">
        <f>SUMIFS(Table_SiteMilestoneTracking[c8_AcceptanceCostBL],
Table_SiteMilestoneTracking[SiteAccepted_BL],"&gt;="&amp;Table_SiteMilestoneTrackingSummary[[#This Row],[StartDate]:[StartDate]],
Table_SiteMilestoneTracking[SiteAccepted_BL],"&lt;"&amp;Table_SiteMilestoneTrackingSummary[[#This Row],[EndDate]:[EndDate]]+1)</f>
        <v>0</v>
      </c>
      <c r="CX41" s="100">
        <f>CX40+Table_SiteMilestoneTrackingSummary[[#This Row],[c8_AcceptanceCostBL]]</f>
        <v>25000</v>
      </c>
      <c r="CY41" s="96">
        <f>SUMIFS(Table_SiteMilestoneTracking[c8_AcceptanceCostAC],
Table_SiteMilestoneTracking[SiteAccepted_AC],"&gt;="&amp;Table_SiteMilestoneTrackingSummary[[#This Row],[StartDate]:[StartDate]],
Table_SiteMilestoneTracking[SiteAccepted_AC],"&lt;"&amp;Table_SiteMilestoneTrackingSummary[[#This Row],[EndDate]:[EndDate]]+1)</f>
        <v>0</v>
      </c>
      <c r="CZ41" s="100">
        <f>CZ40+Table_SiteMilestoneTrackingSummary[[#This Row],[c8_AcceptanceCostAC]]</f>
        <v>5000</v>
      </c>
      <c r="DA41" s="96">
        <f>COUNTIFS(Table_SiteMilestoneTracking[SiteAccepted_BL],"&gt;="&amp;Table_SiteMilestoneTrackingSummary[[#This Row],[StartDate]:[StartDate]],
Table_SiteMilestoneTracking[SiteAccepted_BL],"&lt;"&amp;Table_SiteMilestoneTrackingSummary[[#This Row],[EndDate]:[EndDate]]+1)</f>
        <v>0</v>
      </c>
      <c r="DB41" s="100">
        <f>DB40+Table_SiteMilestoneTrackingSummary[[#This Row],[SiteAccepted_BL]]</f>
        <v>100</v>
      </c>
      <c r="DC41" s="96">
        <f>COUNTIFS(Table_SiteMilestoneTracking[SiteAccepted_AC],"&gt;="&amp;Table_SiteMilestoneTrackingSummary[[#This Row],[StartDate]:[StartDate]],
Table_SiteMilestoneTracking[SiteAccepted_AC],"&lt;"&amp;Table_SiteMilestoneTrackingSummary[[#This Row],[EndDate]:[EndDate]]+1)</f>
        <v>0</v>
      </c>
      <c r="DD41" s="100">
        <f>DD40+Table_SiteMilestoneTrackingSummary[[#This Row],[SiteAccepted_AC]]</f>
        <v>20</v>
      </c>
      <c r="DE41" s="100">
        <f>$DE$2*Table_SiteMilestoneTrackingSummary[[#This Row],[SiteInOperations_AC]]</f>
        <v>0</v>
      </c>
      <c r="DF41" s="100">
        <f>DF40+Table_SiteMilestoneTrackingSummary[[#This Row],[c9_HandoverEV]]</f>
        <v>2000</v>
      </c>
      <c r="DG41" s="96">
        <f>SUMIFS(Table_SiteMilestoneTracking[c9_HandoverCostBL],
Table_SiteMilestoneTracking[SiteInOperations_BL],"&gt;="&amp;Table_SiteMilestoneTrackingSummary[[#This Row],[StartDate]:[StartDate]],
Table_SiteMilestoneTracking[SiteInOperations_BL],"&lt;"&amp;Table_SiteMilestoneTrackingSummary[[#This Row],[EndDate]:[EndDate]]+1)</f>
        <v>0</v>
      </c>
      <c r="DH41" s="100">
        <f>DH40+Table_SiteMilestoneTrackingSummary[[#This Row],[c9_HandoverCostBL2]]</f>
        <v>20000</v>
      </c>
      <c r="DI41" s="96">
        <f>SUMIFS(Table_SiteMilestoneTracking[c9_HandoverCostAC],
Table_SiteMilestoneTracking[SiteInOperations_AC],"&gt;="&amp;Table_SiteMilestoneTrackingSummary[[#This Row],[StartDate]:[StartDate]],
Table_SiteMilestoneTracking[SiteInOperations_AC],"&lt;"&amp;Table_SiteMilestoneTrackingSummary[[#This Row],[EndDate]:[EndDate]]+1)</f>
        <v>0</v>
      </c>
      <c r="DJ41" s="100">
        <f>DJ40+Table_SiteMilestoneTrackingSummary[[#This Row],[c9_HandoverCostAC]]</f>
        <v>2000</v>
      </c>
      <c r="DK41" s="96">
        <f>COUNTIFS(Table_SiteMilestoneTracking[SiteInOperations_BL],"&gt;="&amp;Table_SiteMilestoneTrackingSummary[[#This Row],[StartDate]:[StartDate]],
Table_SiteMilestoneTracking[SiteInOperations_BL],"&lt;"&amp;Table_SiteMilestoneTrackingSummary[[#This Row],[EndDate]:[EndDate]]+1)</f>
        <v>0</v>
      </c>
      <c r="DL41" s="100">
        <f>DL40+Table_SiteMilestoneTrackingSummary[[#This Row],[SiteInOperations_BL]]</f>
        <v>100</v>
      </c>
      <c r="DM41" s="96">
        <f>COUNTIFS(Table_SiteMilestoneTracking[SiteInOperations_AC],"&gt;="&amp;Table_SiteMilestoneTrackingSummary[[#This Row],[StartDate]:[StartDate]],
Table_SiteMilestoneTracking[SiteInOperations_AC],"&lt;"&amp;Table_SiteMilestoneTrackingSummary[[#This Row],[EndDate]:[EndDate]]+1)</f>
        <v>0</v>
      </c>
      <c r="DN41" s="100">
        <f>DN40+Table_SiteMilestoneTrackingSummary[[#This Row],[SiteInOperations_AC]]</f>
        <v>10</v>
      </c>
      <c r="DO41" s="59">
        <f>Table_SiteMilestoneTrackingSummary[[#This Row],[c0_SiteDesignEV(SUM)]]+Table_SiteMilestoneTrackingSummary[[#This Row],[c1_SiteSurveyEV(SUM)]]+Table_SiteMilestoneTrackingSummary[[#This Row],[c2_SiteAcquisitionEV(SUM)]]+Table_SiteMilestoneTrackingSummary[[#This Row],[c2a_SiteCWReadinessEV(SUM)]]+Table_SiteMilestoneTrackingSummary[[#This Row],[c3_CivilWorksEV(SUM)]]+Table_SiteMilestoneTrackingSummary[[#This Row],[c4_PowerInstallEV(SUM)]]+Table_SiteMilestoneTrackingSummary[[#This Row],[c5_TxIntegrationEV(SUM)]]+Table_SiteMilestoneTrackingSummary[[#This Row],[c6_InstallationEV(SUM)]]+Table_SiteMilestoneTrackingSummary[[#This Row],[c7_IntegrationEV(SUM)]]+Table_SiteMilestoneTrackingSummary[[#This Row],[c8_AcceptanceEV(SUM)]]+Table_SiteMilestoneTrackingSummary[[#This Row],[c9_HandoverEV(SUM)]]</f>
        <v>429900</v>
      </c>
      <c r="DP41" s="59">
        <f>Table_SiteMilestoneTrackingSummary[[#This Row],[c0_SiteDesignCostBL(SUM)]]+Table_SiteMilestoneTrackingSummary[[#This Row],[c1_SiteSurveyCostBL(SUM)]]+Table_SiteMilestoneTrackingSummary[[#This Row],[c2_SiteAcquisitionCostBL(SUM)]]+Table_SiteMilestoneTrackingSummary[[#This Row],[c2a_SiteCWReadinessCostBL(SUM)]]+Table_SiteMilestoneTrackingSummary[[#This Row],[c3_CivilWorksCostBL(SUM)]]+Table_SiteMilestoneTrackingSummary[[#This Row],[c4_PowerInstallCostBL(SUM)]]+Table_SiteMilestoneTrackingSummary[[#This Row],[c5_TxIntegrationCostBL(SUM)]]+Table_SiteMilestoneTrackingSummary[[#This Row],[c6_InstallationCostBL(SUM)]]+Table_SiteMilestoneTrackingSummary[[#This Row],[c7_IntegrationCostBL(SUM)]]+Table_SiteMilestoneTrackingSummary[[#This Row],[c8_AcceptanceCostBL(SUM)]]+Table_SiteMilestoneTrackingSummary[[#This Row],[c9_HandoverCostBL(SUM)]]</f>
        <v>770000</v>
      </c>
      <c r="DQ41" s="59">
        <f>Table_SiteMilestoneTrackingSummary[[#This Row],[c0_SiteDesignCostAC(SUM)]]+Table_SiteMilestoneTrackingSummary[[#This Row],[c1_SiteSurveyCostAC(SUM)]]+Table_SiteMilestoneTrackingSummary[[#This Row],[c2_SiteAcquisitionCostAC(SUM)]]+Table_SiteMilestoneTrackingSummary[[#This Row],[c2a_SiteCWReadinessCostAC(SUM)]]+Table_SiteMilestoneTrackingSummary[[#This Row],[c3_CivilWorksCostAC(SUM)]]+Table_SiteMilestoneTrackingSummary[[#This Row],[c4_PowerInstallCostAC(SUM)]]+Table_SiteMilestoneTrackingSummary[[#This Row],[c5_TxIntegrationCostAC(SUM)]]+Table_SiteMilestoneTrackingSummary[[#This Row],[c6_InstallationCostAC(SUM)]]+Table_SiteMilestoneTrackingSummary[[#This Row],[c7_IntegrationCostAC(SUM)]]+Table_SiteMilestoneTrackingSummary[[#This Row],[c8_AcceptanceCostAC(SUM)]]+Table_SiteMilestoneTrackingSummary[[#This Row],[c9_HandoverCostAC(SUM)]]</f>
        <v>433825</v>
      </c>
      <c r="DR41" s="59">
        <f>Table_SiteMilestoneTrackingSummary[[#This Row],[AccumulatedEV]]-Table_SiteMilestoneTrackingSummary[[#This Row],[AccumulatedPV]]</f>
        <v>-340100</v>
      </c>
      <c r="DS41" s="59">
        <f>Table_SiteMilestoneTrackingSummary[[#This Row],[AccumulatedEV]]-Table_SiteMilestoneTrackingSummary[[#This Row],[AccumulatedAC]]</f>
        <v>-3925</v>
      </c>
      <c r="DT41" s="58">
        <f>IFERROR(Table_SiteMilestoneTrackingSummary[[#This Row],[AccumulatedEV]]/Table_SiteMilestoneTrackingSummary[[#This Row],[AccumulatedPV]],"/")</f>
        <v>0.55831168831168831</v>
      </c>
      <c r="DU41" s="101">
        <f>IFERROR(Table_SiteMilestoneTrackingSummary[[#This Row],[AccumulatedEV]]/Table_SiteMilestoneTrackingSummary[[#This Row],[AccumulatedAC]],"/")</f>
        <v>0.99095257304212525</v>
      </c>
    </row>
    <row r="42" spans="1:125" x14ac:dyDescent="0.3">
      <c r="A42" s="79">
        <v>2020</v>
      </c>
      <c r="B42" s="79">
        <v>39</v>
      </c>
      <c r="C42" s="95">
        <f>DATE(Table_SiteMilestoneTrackingSummary[[#This Row],[Year]],1,-2)-WEEKDAY(DATE(Table_SiteMilestoneTrackingSummary[[#This Row],[Year]],1,3))+Table_SiteMilestoneTrackingSummary[[#This Row],[Week]]*7</f>
        <v>44095</v>
      </c>
      <c r="D42" s="95">
        <f>Table_SiteMilestoneTrackingSummary[[#This Row],[StartDate]]+6</f>
        <v>44101</v>
      </c>
      <c r="E42" s="100">
        <f>COUNTIFS(Table_SiteMilestoneTracking[SiteDesignStarted_BL],"&gt;="&amp;Table_SiteMilestoneTrackingSummary[[#This Row],[StartDate]:[StartDate]],Table_SiteMilestoneTracking[SiteDesignStarted_BL],"&lt;"&amp;Table_SiteMilestoneTrackingSummary[[#This Row],[EndDate]:[EndDate]]+1)</f>
        <v>0</v>
      </c>
      <c r="F42" s="100">
        <f>F41+Table_SiteMilestoneTrackingSummary[[#This Row],[SiteDesignStarted_BL]]</f>
        <v>100</v>
      </c>
      <c r="G42" s="100">
        <f>COUNTIFS(Table_SiteMilestoneTracking[SiteDesignStarted_AC],"&gt;="&amp;Table_SiteMilestoneTrackingSummary[[#This Row],[StartDate]:[StartDate]],Table_SiteMilestoneTracking[SiteDesignStarted_AC],"&lt;"&amp;Table_SiteMilestoneTrackingSummary[[#This Row],[EndDate]:[EndDate]]+1)</f>
        <v>0</v>
      </c>
      <c r="H42" s="100">
        <f>H41+Table_SiteMilestoneTrackingSummary[[#This Row],[SiteDesignStarted_AC]]</f>
        <v>96</v>
      </c>
      <c r="I42" s="100">
        <f>Table_SiteMilestoneTrackingSummary[[#This Row],[SiteDesignReady_AC]]*$I$2</f>
        <v>0</v>
      </c>
      <c r="J42" s="100">
        <f>J41+Table_SiteMilestoneTrackingSummary[[#This Row],[c0_SiteDesignEV]]</f>
        <v>45000</v>
      </c>
      <c r="K42" s="97">
        <f>SUMIFS(Table_SiteMilestoneTracking[c0_SiteDesignCostBL],
Table_SiteMilestoneTracking[SiteDesignReady_BL],"&gt;="&amp;Table_SiteMilestoneTrackingSummary[[#This Row],[StartDate]:[StartDate]],
Table_SiteMilestoneTracking[SiteDesignReady_BL],"&lt;"&amp;Table_SiteMilestoneTrackingSummary[[#This Row],[EndDate]:[EndDate]]+1)</f>
        <v>0</v>
      </c>
      <c r="L42" s="59">
        <f>L41+Table_SiteMilestoneTrackingSummary[[#This Row],[c0_SiteDesignCostBL]]</f>
        <v>50000</v>
      </c>
      <c r="M42" s="97">
        <f>SUMIFS(Table_SiteMilestoneTracking[c0_SiteDesignCostAC],
Table_SiteMilestoneTracking[SiteDesignReady_AC],"&gt;="&amp;Table_SiteMilestoneTrackingSummary[[#This Row],[StartDate]:[StartDate]],
Table_SiteMilestoneTracking[SiteDesignReady_AC],"&lt;"&amp;Table_SiteMilestoneTrackingSummary[[#This Row],[EndDate]:[EndDate]]+1)</f>
        <v>0</v>
      </c>
      <c r="N42" s="59">
        <f>N41+Table_SiteMilestoneTrackingSummary[[#This Row],[c0_SiteDesignCostAC]]</f>
        <v>43180</v>
      </c>
      <c r="O42" s="96">
        <f>COUNTIFS(Table_SiteMilestoneTracking[SiteDesignReady_BL],"&gt;="&amp;Table_SiteMilestoneTrackingSummary[[#This Row],[StartDate]:[StartDate]],
Table_SiteMilestoneTracking[SiteDesignReady_BL],"&lt;"&amp;Table_SiteMilestoneTrackingSummary[[#This Row],[EndDate]:[EndDate]]+1)</f>
        <v>0</v>
      </c>
      <c r="P42" s="100">
        <f>P41+Table_SiteMilestoneTrackingSummary[[#This Row],[SiteDesignReady_BL]]</f>
        <v>100</v>
      </c>
      <c r="Q42" s="100">
        <f>COUNTIFS(Table_SiteMilestoneTracking[SiteDesignReady_AC],"&gt;="&amp;Table_SiteMilestoneTrackingSummary[[#This Row],[StartDate]:[StartDate]],Table_SiteMilestoneTracking[SiteDesignReady_AC],"&lt;"&amp;Table_SiteMilestoneTrackingSummary[[#This Row],[EndDate]:[EndDate]]+1)</f>
        <v>0</v>
      </c>
      <c r="R42" s="100">
        <f>R41+Table_SiteMilestoneTrackingSummary[[#This Row],[SiteDesignReady_AC]]</f>
        <v>90</v>
      </c>
      <c r="S42" s="100">
        <f>Table_SiteMilestoneTrackingSummary[[#This Row],[ReadyForCW_AC]]*$S$2</f>
        <v>0</v>
      </c>
      <c r="T42" s="100">
        <f>T41+Table_SiteMilestoneTrackingSummary[[#This Row],[c1_SiteSurveyEV]]</f>
        <v>40000</v>
      </c>
      <c r="U42" s="96">
        <f>SUMIFS(Table_SiteMilestoneTracking[c1_SiteSurveyCostBL],
Table_SiteMilestoneTracking[SiteSurveyCompleted_BL],"&gt;="&amp;Table_SiteMilestoneTrackingSummary[[#This Row],[StartDate]:[StartDate]],
Table_SiteMilestoneTracking[SiteSurveyCompleted_BL],"&lt;"&amp;Table_SiteMilestoneTrackingSummary[[#This Row],[EndDate]:[EndDate]]+1)</f>
        <v>0</v>
      </c>
      <c r="V42" s="100">
        <f>V41+Table_SiteMilestoneTrackingSummary[[#This Row],[c1_SiteSurveyCostBL]]</f>
        <v>50000</v>
      </c>
      <c r="W42" s="96">
        <f>SUMIFS(Table_SiteMilestoneTracking[c1_SiteSurveyCostAC],
Table_SiteMilestoneTracking[SiteSurveyCompleted_AC],"&gt;="&amp;Table_SiteMilestoneTrackingSummary[[#This Row],[StartDate]:[StartDate]],
Table_SiteMilestoneTracking[SiteSurveyCompleted_AC],"&lt;"&amp;Table_SiteMilestoneTrackingSummary[[#This Row],[EndDate]:[EndDate]]+1)</f>
        <v>0</v>
      </c>
      <c r="X42" s="100">
        <f>X41+Table_SiteMilestoneTrackingSummary[[#This Row],[c1_SiteSurveyCostAC]]</f>
        <v>51800</v>
      </c>
      <c r="Y42" s="96">
        <f>COUNTIFS(Table_SiteMilestoneTracking[SiteSurveyCompleted_BL],"&gt;="&amp;Table_SiteMilestoneTrackingSummary[[#This Row],[StartDate]:[StartDate]],
Table_SiteMilestoneTracking[SiteSurveyCompleted_BL],"&lt;"&amp;Table_SiteMilestoneTrackingSummary[[#This Row],[EndDate]:[EndDate]]+1)</f>
        <v>0</v>
      </c>
      <c r="Z42" s="100">
        <f>Z41+Table_SiteMilestoneTrackingSummary[[#This Row],[SiteSurveyCompleted_BL]]</f>
        <v>100</v>
      </c>
      <c r="AA42" s="96">
        <f>COUNTIFS(Table_SiteMilestoneTracking[SiteSurveyCompleted_AC],"&gt;="&amp;Table_SiteMilestoneTrackingSummary[[#This Row],[StartDate]:[StartDate]],
Table_SiteMilestoneTracking[SiteSurveyCompleted_AC],"&lt;"&amp;Table_SiteMilestoneTrackingSummary[[#This Row],[EndDate]:[EndDate]]+1)</f>
        <v>0</v>
      </c>
      <c r="AB42" s="100">
        <f>AB41+Table_SiteMilestoneTrackingSummary[[#This Row],[SiteSurveyCompleted_AC]]</f>
        <v>86</v>
      </c>
      <c r="AC42" s="100">
        <f>$AC$2*Table_SiteMilestoneTrackingSummary[[#This Row],[SiteAcquired_AC]]</f>
        <v>0</v>
      </c>
      <c r="AD42" s="100">
        <f>AD41+Table_SiteMilestoneTrackingSummary[[#This Row],[c2_SiteAcquisitionEV]]</f>
        <v>50400</v>
      </c>
      <c r="AE42" s="96">
        <f>SUMIFS(Table_SiteMilestoneTracking[c2_SiteAcquisitionCostBL],
Table_SiteMilestoneTracking[SiteAcquired_BL],"&gt;="&amp;Table_SiteMilestoneTrackingSummary[[#This Row],[StartDate]:[StartDate]],
Table_SiteMilestoneTracking[SiteAcquired_BL],"&lt;"&amp;Table_SiteMilestoneTrackingSummary[[#This Row],[EndDate]:[EndDate]]+1)</f>
        <v>0</v>
      </c>
      <c r="AF42" s="100">
        <f>AF41+Table_SiteMilestoneTrackingSummary[[#This Row],[c2_SiteAcquisitionCostBL]]</f>
        <v>60000</v>
      </c>
      <c r="AG42" s="96">
        <f>SUMIFS(Table_SiteMilestoneTracking[c2_SiteAcquisitionCostAC],
Table_SiteMilestoneTracking[SiteAcquired_AC],"&gt;="&amp;Table_SiteMilestoneTrackingSummary[[#This Row],[StartDate]:[StartDate]],
Table_SiteMilestoneTracking[SiteAcquired_AC],"&lt;"&amp;Table_SiteMilestoneTrackingSummary[[#This Row],[EndDate]:[EndDate]]+1)</f>
        <v>0</v>
      </c>
      <c r="AH42" s="100">
        <f>AH41+Table_SiteMilestoneTrackingSummary[[#This Row],[c2_SiteAcquisitionCostAC]]</f>
        <v>52800</v>
      </c>
      <c r="AI42" s="96">
        <f>COUNTIFS(Table_SiteMilestoneTracking[SiteAcquired_BL],"&gt;="&amp;Table_SiteMilestoneTrackingSummary[[#This Row],[StartDate]:[StartDate]],
Table_SiteMilestoneTracking[SiteAcquired_BL],"&lt;"&amp;Table_SiteMilestoneTrackingSummary[[#This Row],[EndDate]:[EndDate]]+1)</f>
        <v>0</v>
      </c>
      <c r="AJ42" s="100">
        <f>AJ41+Table_SiteMilestoneTrackingSummary[[#This Row],[SiteAcquired_BL]]</f>
        <v>100</v>
      </c>
      <c r="AK42" s="96">
        <f>COUNTIFS(Table_SiteMilestoneTracking[SiteAcquired_AC],"&gt;="&amp;Table_SiteMilestoneTrackingSummary[[#This Row],[StartDate]:[StartDate]],
Table_SiteMilestoneTracking[SiteAcquired_AC],"&lt;"&amp;Table_SiteMilestoneTrackingSummary[[#This Row],[EndDate]:[EndDate]]+1)</f>
        <v>0</v>
      </c>
      <c r="AL42" s="100">
        <f>AL41+Table_SiteMilestoneTrackingSummary[[#This Row],[SiteAcquired_AC]]</f>
        <v>84</v>
      </c>
      <c r="AM42" s="100">
        <f>Table_SiteMilestoneTrackingSummary[[#This Row],[ReadyForCW_AC]]*$AM$2</f>
        <v>0</v>
      </c>
      <c r="AN42" s="100">
        <f>AN41+Table_SiteMilestoneTrackingSummary[[#This Row],[c2a_SiteCWReadinessEV]]</f>
        <v>12000</v>
      </c>
      <c r="AO42" s="96">
        <f>SUMIFS(Table_SiteMilestoneTracking[c2a_SiteCWReadinessCost_BL],
Table_SiteMilestoneTracking[SiteReadyForCW_BL],"&gt;="&amp;Table_SiteMilestoneTrackingSummary[[#This Row],[StartDate]:[StartDate]],
Table_SiteMilestoneTracking[SiteReadyForCW_BL],"&lt;"&amp;Table_SiteMilestoneTrackingSummary[[#This Row],[EndDate]:[EndDate]]+1)</f>
        <v>0</v>
      </c>
      <c r="AP42" s="100">
        <f>AP41+Table_SiteMilestoneTrackingSummary[[#This Row],[c2a_SiteCWReadinessCostBL]]</f>
        <v>15000</v>
      </c>
      <c r="AQ42" s="96">
        <f>SUMIFS(Table_SiteMilestoneTracking[c2a_SiteCWReadinessCost_AC],
Table_SiteMilestoneTracking[SiteReadyForCW_AC],"&gt;="&amp;Table_SiteMilestoneTrackingSummary[[#This Row],[StartDate]:[StartDate]],
Table_SiteMilestoneTracking[SiteReadyForCW_AC],"&lt;"&amp;Table_SiteMilestoneTrackingSummary[[#This Row],[EndDate]:[EndDate]]+1)</f>
        <v>0</v>
      </c>
      <c r="AR42" s="100">
        <f>AR41+Table_SiteMilestoneTrackingSummary[[#This Row],[c2a_SiteCWReadinessCostAC]]</f>
        <v>12045</v>
      </c>
      <c r="AS42" s="96">
        <f>COUNTIFS(Table_SiteMilestoneTracking[SiteReadyForCW_BL],"&gt;="&amp;Table_SiteMilestoneTrackingSummary[[#This Row],[StartDate]:[StartDate]],
Table_SiteMilestoneTracking[SiteReadyForCW_BL],"&lt;"&amp;Table_SiteMilestoneTrackingSummary[[#This Row],[EndDate]:[EndDate]]+1)</f>
        <v>0</v>
      </c>
      <c r="AT42" s="100">
        <f>AT41+Table_SiteMilestoneTrackingSummary[[#This Row],[ReadyForCW_BL]]</f>
        <v>100</v>
      </c>
      <c r="AU42" s="96">
        <f>COUNTIFS(Table_SiteMilestoneTracking[SiteReadyForCW_AC],"&gt;="&amp;Table_SiteMilestoneTrackingSummary[[#This Row],[StartDate]:[StartDate]],
Table_SiteMilestoneTracking[SiteReadyForCW_AC],"&lt;"&amp;Table_SiteMilestoneTrackingSummary[[#This Row],[EndDate]:[EndDate]]+1)</f>
        <v>0</v>
      </c>
      <c r="AV42" s="100">
        <f>AV41+Table_SiteMilestoneTrackingSummary[[#This Row],[ReadyForCW_AC]]</f>
        <v>80</v>
      </c>
      <c r="AW42" s="100">
        <f>$AW$2*Table_SiteMilestoneTrackingSummary[[#This Row],[ReadyForPower_AC]]</f>
        <v>0</v>
      </c>
      <c r="AX42" s="100">
        <f>AX41+Table_SiteMilestoneTrackingSummary[[#This Row],[c3_CivilWorksEV]]</f>
        <v>105000</v>
      </c>
      <c r="AY42" s="96">
        <f>SUMIFS(Table_SiteMilestoneTracking[c3_CivilWorksCostBL],
Table_SiteMilestoneTracking[SiteReadyForPower_BL],"&gt;="&amp;Table_SiteMilestoneTrackingSummary[[#This Row],[StartDate]:[StartDate]],
Table_SiteMilestoneTracking[SiteReadyForPower_BL],"&lt;"&amp;Table_SiteMilestoneTrackingSummary[[#This Row],[EndDate]:[EndDate]]+1)</f>
        <v>0</v>
      </c>
      <c r="AZ42" s="100">
        <f>AZ41+Table_SiteMilestoneTrackingSummary[[#This Row],[c3_CivilWorksCostBL]]</f>
        <v>150000</v>
      </c>
      <c r="BA42" s="96">
        <f>SUMIFS(Table_SiteMilestoneTracking[c3_CivilWorksCostAC],
Table_SiteMilestoneTracking[SiteReadyForPower_AC],"&gt;="&amp;Table_SiteMilestoneTrackingSummary[[#This Row],[StartDate]:[StartDate]],
Table_SiteMilestoneTracking[SiteReadyForPower_AC],"&lt;"&amp;Table_SiteMilestoneTrackingSummary[[#This Row],[EndDate]:[EndDate]]+1)</f>
        <v>0</v>
      </c>
      <c r="BB42" s="100">
        <f>BB41+Table_SiteMilestoneTrackingSummary[[#This Row],[c3_CivilWorksCostAC]]</f>
        <v>112350</v>
      </c>
      <c r="BC42" s="96">
        <f>COUNTIFS(Table_SiteMilestoneTracking[SiteReadyForPower_BL],"&gt;="&amp;Table_SiteMilestoneTrackingSummary[[#This Row],[StartDate]:[StartDate]],
Table_SiteMilestoneTracking[SiteReadyForPower_BL],"&lt;"&amp;Table_SiteMilestoneTrackingSummary[[#This Row],[EndDate]:[EndDate]]+1)</f>
        <v>0</v>
      </c>
      <c r="BD42" s="100">
        <f>BD41+Table_SiteMilestoneTrackingSummary[[#This Row],[ReadyForPower_BL]]</f>
        <v>100</v>
      </c>
      <c r="BE42" s="96">
        <f>COUNTIFS(Table_SiteMilestoneTracking[SiteReadyForPower_AC],"&gt;="&amp;Table_SiteMilestoneTrackingSummary[[#This Row],[StartDate]:[StartDate]],
Table_SiteMilestoneTracking[SiteReadyForPower_AC],"&lt;"&amp;Table_SiteMilestoneTrackingSummary[[#This Row],[EndDate]:[EndDate]]+1)</f>
        <v>0</v>
      </c>
      <c r="BF42" s="100">
        <f>BF41+Table_SiteMilestoneTrackingSummary[[#This Row],[ReadyForPower_AC]]</f>
        <v>70</v>
      </c>
      <c r="BG42" s="100">
        <f>$BG$2*Table_SiteMilestoneTrackingSummary[[#This Row],[TXReady_AC]]</f>
        <v>0</v>
      </c>
      <c r="BH42" s="100">
        <f>BH41+Table_SiteMilestoneTrackingSummary[[#This Row],[c4_PowerInstallEV]]</f>
        <v>30000</v>
      </c>
      <c r="BI42" s="96">
        <f>SUMIFS(Table_SiteMilestoneTracking[c4_PowerInstallCostBL],
Table_SiteMilestoneTracking[TXReady_BL],"&gt;="&amp;Table_SiteMilestoneTrackingSummary[[#This Row],[StartDate]:[StartDate]],
Table_SiteMilestoneTracking[TXReady_BL],"&lt;"&amp;Table_SiteMilestoneTrackingSummary[[#This Row],[EndDate]:[EndDate]]+1)</f>
        <v>0</v>
      </c>
      <c r="BJ42" s="100">
        <f>BJ41+Table_SiteMilestoneTrackingSummary[[#This Row],[c4_PowerInstallCostBL]]</f>
        <v>50000</v>
      </c>
      <c r="BK42" s="96">
        <f>SUMIFS(Table_SiteMilestoneTracking[c4_PowerInstallCostAC],
Table_SiteMilestoneTracking[TXReady_AC],"&gt;="&amp;Table_SiteMilestoneTrackingSummary[[#This Row],[StartDate]:[StartDate]],
Table_SiteMilestoneTracking[TXReady_AC],"&lt;"&amp;Table_SiteMilestoneTrackingSummary[[#This Row],[EndDate]:[EndDate]]+1)</f>
        <v>0</v>
      </c>
      <c r="BL42" s="100">
        <f>BL41+Table_SiteMilestoneTrackingSummary[[#This Row],[c4_PowerInstallCostAC]]</f>
        <v>28050</v>
      </c>
      <c r="BM42" s="96">
        <f>COUNTIFS(Table_SiteMilestoneTracking[TXReady_BL],"&gt;="&amp;Table_SiteMilestoneTrackingSummary[[#This Row],[StartDate]:[StartDate]],
Table_SiteMilestoneTracking[TXReady_BL],"&lt;"&amp;Table_SiteMilestoneTrackingSummary[[#This Row],[EndDate]:[EndDate]]+1)</f>
        <v>0</v>
      </c>
      <c r="BN42" s="100">
        <f>BN41+Table_SiteMilestoneTrackingSummary[[#This Row],[TXReady_BL]]</f>
        <v>100</v>
      </c>
      <c r="BO42" s="100">
        <f>COUNTIFS(Table_SiteMilestoneTracking[TXReady_AC],"&gt;="&amp;Table_SiteMilestoneTrackingSummary[[#This Row],[StartDate]:[StartDate]],Table_SiteMilestoneTracking[TXReady_AC],"&lt;"&amp;Table_SiteMilestoneTrackingSummary[[#This Row],[EndDate]:[EndDate]]+1)</f>
        <v>0</v>
      </c>
      <c r="BP42" s="100">
        <f>BP41+Table_SiteMilestoneTrackingSummary[[#This Row],[TXReady_AC]]</f>
        <v>60</v>
      </c>
      <c r="BQ42" s="100">
        <f>$BQ$2*Table_SiteMilestoneTrackingSummary[[#This Row],[ReadyForInstallation_AC]]</f>
        <v>0</v>
      </c>
      <c r="BR42" s="100">
        <f>BR41+Table_SiteMilestoneTrackingSummary[[#This Row],[c5_TxIntegrationEV]]</f>
        <v>25500</v>
      </c>
      <c r="BS42" s="96">
        <f>SUMIFS(Table_SiteMilestoneTracking[c5_TxintegrationCostBL],
Table_SiteMilestoneTracking[SiteReadyForInstallation_BL],"&gt;="&amp;Table_SiteMilestoneTrackingSummary[[#This Row],[StartDate]:[StartDate]],
Table_SiteMilestoneTracking[SiteReadyForInstallation_BL],"&lt;"&amp;Table_SiteMilestoneTrackingSummary[[#This Row],[EndDate]:[EndDate]]+1)</f>
        <v>0</v>
      </c>
      <c r="BT42" s="100">
        <f>BT41+Table_SiteMilestoneTrackingSummary[[#This Row],[c5_TxIntegrationCostBL]]</f>
        <v>50000</v>
      </c>
      <c r="BU42" s="96">
        <f>SUMIFS(Table_SiteMilestoneTracking[c5_TxintegrationCostAC],
Table_SiteMilestoneTracking[SiteReadyForInstallation_AC],"&gt;="&amp;Table_SiteMilestoneTrackingSummary[[#This Row],[StartDate]:[StartDate]],
Table_SiteMilestoneTracking[SiteReadyForInstallation_AC],"&lt;"&amp;Table_SiteMilestoneTrackingSummary[[#This Row],[EndDate]:[EndDate]]+1)</f>
        <v>0</v>
      </c>
      <c r="BV42" s="100">
        <f>BV41+Table_SiteMilestoneTrackingSummary[[#This Row],[c5_TxIntegrationCostAC]]</f>
        <v>24850</v>
      </c>
      <c r="BW42" s="96">
        <f>COUNTIFS(Table_SiteMilestoneTracking[SiteReadyForInstallation_BL],"&gt;="&amp;Table_SiteMilestoneTrackingSummary[[#This Row],[StartDate]:[StartDate]],
Table_SiteMilestoneTracking[SiteReadyForInstallation_BL],"&lt;"&amp;Table_SiteMilestoneTrackingSummary[[#This Row],[EndDate]:[EndDate]]+1)</f>
        <v>0</v>
      </c>
      <c r="BX42" s="100">
        <f>BX41+Table_SiteMilestoneTrackingSummary[[#This Row],[ReadyForInstallation_BL]]</f>
        <v>100</v>
      </c>
      <c r="BY42" s="96">
        <f>COUNTIFS(Table_SiteMilestoneTracking[SiteReadyForInstallation_AC],"&gt;="&amp;Table_SiteMilestoneTrackingSummary[[#This Row],[StartDate]:[StartDate]],
Table_SiteMilestoneTracking[SiteReadyForInstallation_AC],"&lt;"&amp;Table_SiteMilestoneTrackingSummary[[#This Row],[EndDate]:[EndDate]]+1)</f>
        <v>0</v>
      </c>
      <c r="BZ42" s="100">
        <f>BZ41+Table_SiteMilestoneTrackingSummary[[#This Row],[ReadyForInstallation_AC]]</f>
        <v>51</v>
      </c>
      <c r="CA42" s="100">
        <f>$CA$2*Table_SiteMilestoneTrackingSummary[[#This Row],[ReadyForIntegration_AC]]</f>
        <v>0</v>
      </c>
      <c r="CB42" s="100">
        <f>CB41+Table_SiteMilestoneTrackingSummary[[#This Row],[c6_InstallationEV]]</f>
        <v>100000</v>
      </c>
      <c r="CC42" s="96">
        <f>SUMIFS(Table_SiteMilestoneTracking[c6_InstallationCostBL],
Table_SiteMilestoneTracking[SiteReadyForIntegration_BL],"&gt;="&amp;Table_SiteMilestoneTrackingSummary[[#This Row],[StartDate]:[StartDate]],
Table_SiteMilestoneTracking[SiteReadyForIntegration_BL],"&lt;"&amp;Table_SiteMilestoneTrackingSummary[[#This Row],[EndDate]:[EndDate]]+1)</f>
        <v>0</v>
      </c>
      <c r="CD42" s="100">
        <f>CD41+Table_SiteMilestoneTrackingSummary[[#This Row],[c6_InstallationCostBL]]</f>
        <v>250000</v>
      </c>
      <c r="CE42" s="96">
        <f>SUMIFS(Table_SiteMilestoneTracking[c6_InstallationCostAC],
Table_SiteMilestoneTracking[SiteReadyForIntegration_AC],"&gt;="&amp;Table_SiteMilestoneTrackingSummary[[#This Row],[StartDate]:[StartDate]],
Table_SiteMilestoneTracking[SiteReadyForIntegration_AC],"&lt;"&amp;Table_SiteMilestoneTrackingSummary[[#This Row],[EndDate]:[EndDate]]+1)</f>
        <v>0</v>
      </c>
      <c r="CF42" s="100">
        <f>CF41+Table_SiteMilestoneTrackingSummary[[#This Row],[c6_InstallationCostAC]]</f>
        <v>87600</v>
      </c>
      <c r="CG42" s="96">
        <f>COUNTIFS(Table_SiteMilestoneTracking[SiteReadyForIntegration_BL],"&gt;="&amp;Table_SiteMilestoneTrackingSummary[[#This Row],[StartDate]:[StartDate]],
Table_SiteMilestoneTracking[SiteReadyForIntegration_BL],"&lt;"&amp;Table_SiteMilestoneTrackingSummary[[#This Row],[EndDate]:[EndDate]]+1)</f>
        <v>0</v>
      </c>
      <c r="CH42" s="100">
        <f>CH41+Table_SiteMilestoneTrackingSummary[[#This Row],[ReadyForIntegration_BL]]</f>
        <v>100</v>
      </c>
      <c r="CI42" s="96">
        <f>COUNTIFS(Table_SiteMilestoneTracking[SiteReadyForIntegration_AC],"&gt;="&amp;Table_SiteMilestoneTrackingSummary[[#This Row],[StartDate]:[StartDate]],
Table_SiteMilestoneTracking[SiteReadyForIntegration_AC],"&lt;"&amp;Table_SiteMilestoneTrackingSummary[[#This Row],[EndDate]:[EndDate]]+1)</f>
        <v>0</v>
      </c>
      <c r="CJ42" s="100">
        <f>CJ41+Table_SiteMilestoneTrackingSummary[[#This Row],[ReadyForIntegration_AC]]</f>
        <v>40</v>
      </c>
      <c r="CK42" s="100">
        <f>$CK$2*Table_SiteMilestoneTrackingSummary[[#This Row],[SiteOnAir_AC]]</f>
        <v>0</v>
      </c>
      <c r="CL42" s="100">
        <f>CL41+Table_SiteMilestoneTrackingSummary[[#This Row],[c7_IntegrationEV]]</f>
        <v>15000</v>
      </c>
      <c r="CM42" s="96">
        <f>SUMIFS(Table_SiteMilestoneTracking[c7_IntegrationCostBL],
Table_SiteMilestoneTracking[SiteOnAir_BL],"&gt;="&amp;Table_SiteMilestoneTrackingSummary[[#This Row],[StartDate]:[StartDate]],
Table_SiteMilestoneTracking[SiteOnAir_BL],"&lt;"&amp;Table_SiteMilestoneTrackingSummary[[#This Row],[EndDate]:[EndDate]]+1)</f>
        <v>0</v>
      </c>
      <c r="CN42" s="100">
        <f>CN41+Table_SiteMilestoneTrackingSummary[[#This Row],[c7_IntegrationCostBL]]</f>
        <v>50000</v>
      </c>
      <c r="CO42" s="96">
        <f>SUMIFS(Table_SiteMilestoneTracking[c7_IntegrationCostAC],
Table_SiteMilestoneTracking[SiteOnAir_AC],"&gt;="&amp;Table_SiteMilestoneTrackingSummary[[#This Row],[StartDate]:[StartDate]],
Table_SiteMilestoneTracking[SiteOnAir_AC],"&lt;"&amp;Table_SiteMilestoneTrackingSummary[[#This Row],[EndDate]:[EndDate]]+1)</f>
        <v>0</v>
      </c>
      <c r="CP42" s="100">
        <f>CP41+Table_SiteMilestoneTrackingSummary[[#This Row],[c7_IntegrationCostAC]]</f>
        <v>14150</v>
      </c>
      <c r="CQ42" s="96">
        <f>COUNTIFS(Table_SiteMilestoneTracking[SiteOnAir_BL],"&gt;="&amp;Table_SiteMilestoneTrackingSummary[[#This Row],[StartDate]:[StartDate]],
Table_SiteMilestoneTracking[SiteOnAir_BL],"&lt;"&amp;Table_SiteMilestoneTrackingSummary[[#This Row],[EndDate]:[EndDate]]+1)</f>
        <v>0</v>
      </c>
      <c r="CR42" s="100">
        <f>CR41+Table_SiteMilestoneTrackingSummary[[#This Row],[SiteOnAir_BL]]</f>
        <v>100</v>
      </c>
      <c r="CS42" s="96">
        <f>COUNTIFS(Table_SiteMilestoneTracking[SiteOnAir_AC],"&gt;="&amp;Table_SiteMilestoneTrackingSummary[[#This Row],[StartDate]:[StartDate]],
Table_SiteMilestoneTracking[SiteOnAir_AC],"&lt;"&amp;Table_SiteMilestoneTrackingSummary[[#This Row],[EndDate]:[EndDate]]+1)</f>
        <v>0</v>
      </c>
      <c r="CT42" s="100">
        <f>CT41+Table_SiteMilestoneTrackingSummary[[#This Row],[SiteOnAir_AC]]</f>
        <v>30</v>
      </c>
      <c r="CU42" s="100">
        <f>$CU$2*Table_SiteMilestoneTrackingSummary[[#This Row],[SiteAccepted_AC]]</f>
        <v>0</v>
      </c>
      <c r="CV42" s="100">
        <f>CV41+Table_SiteMilestoneTrackingSummary[[#This Row],[c8_AcceptanceEV]]</f>
        <v>5000</v>
      </c>
      <c r="CW42" s="96">
        <f>SUMIFS(Table_SiteMilestoneTracking[c8_AcceptanceCostBL],
Table_SiteMilestoneTracking[SiteAccepted_BL],"&gt;="&amp;Table_SiteMilestoneTrackingSummary[[#This Row],[StartDate]:[StartDate]],
Table_SiteMilestoneTracking[SiteAccepted_BL],"&lt;"&amp;Table_SiteMilestoneTrackingSummary[[#This Row],[EndDate]:[EndDate]]+1)</f>
        <v>0</v>
      </c>
      <c r="CX42" s="100">
        <f>CX41+Table_SiteMilestoneTrackingSummary[[#This Row],[c8_AcceptanceCostBL]]</f>
        <v>25000</v>
      </c>
      <c r="CY42" s="96">
        <f>SUMIFS(Table_SiteMilestoneTracking[c8_AcceptanceCostAC],
Table_SiteMilestoneTracking[SiteAccepted_AC],"&gt;="&amp;Table_SiteMilestoneTrackingSummary[[#This Row],[StartDate]:[StartDate]],
Table_SiteMilestoneTracking[SiteAccepted_AC],"&lt;"&amp;Table_SiteMilestoneTrackingSummary[[#This Row],[EndDate]:[EndDate]]+1)</f>
        <v>0</v>
      </c>
      <c r="CZ42" s="100">
        <f>CZ41+Table_SiteMilestoneTrackingSummary[[#This Row],[c8_AcceptanceCostAC]]</f>
        <v>5000</v>
      </c>
      <c r="DA42" s="96">
        <f>COUNTIFS(Table_SiteMilestoneTracking[SiteAccepted_BL],"&gt;="&amp;Table_SiteMilestoneTrackingSummary[[#This Row],[StartDate]:[StartDate]],
Table_SiteMilestoneTracking[SiteAccepted_BL],"&lt;"&amp;Table_SiteMilestoneTrackingSummary[[#This Row],[EndDate]:[EndDate]]+1)</f>
        <v>0</v>
      </c>
      <c r="DB42" s="100">
        <f>DB41+Table_SiteMilestoneTrackingSummary[[#This Row],[SiteAccepted_BL]]</f>
        <v>100</v>
      </c>
      <c r="DC42" s="96">
        <f>COUNTIFS(Table_SiteMilestoneTracking[SiteAccepted_AC],"&gt;="&amp;Table_SiteMilestoneTrackingSummary[[#This Row],[StartDate]:[StartDate]],
Table_SiteMilestoneTracking[SiteAccepted_AC],"&lt;"&amp;Table_SiteMilestoneTrackingSummary[[#This Row],[EndDate]:[EndDate]]+1)</f>
        <v>0</v>
      </c>
      <c r="DD42" s="100">
        <f>DD41+Table_SiteMilestoneTrackingSummary[[#This Row],[SiteAccepted_AC]]</f>
        <v>20</v>
      </c>
      <c r="DE42" s="100">
        <f>$DE$2*Table_SiteMilestoneTrackingSummary[[#This Row],[SiteInOperations_AC]]</f>
        <v>0</v>
      </c>
      <c r="DF42" s="100">
        <f>DF41+Table_SiteMilestoneTrackingSummary[[#This Row],[c9_HandoverEV]]</f>
        <v>2000</v>
      </c>
      <c r="DG42" s="96">
        <f>SUMIFS(Table_SiteMilestoneTracking[c9_HandoverCostBL],
Table_SiteMilestoneTracking[SiteInOperations_BL],"&gt;="&amp;Table_SiteMilestoneTrackingSummary[[#This Row],[StartDate]:[StartDate]],
Table_SiteMilestoneTracking[SiteInOperations_BL],"&lt;"&amp;Table_SiteMilestoneTrackingSummary[[#This Row],[EndDate]:[EndDate]]+1)</f>
        <v>0</v>
      </c>
      <c r="DH42" s="100">
        <f>DH41+Table_SiteMilestoneTrackingSummary[[#This Row],[c9_HandoverCostBL2]]</f>
        <v>20000</v>
      </c>
      <c r="DI42" s="96">
        <f>SUMIFS(Table_SiteMilestoneTracking[c9_HandoverCostAC],
Table_SiteMilestoneTracking[SiteInOperations_AC],"&gt;="&amp;Table_SiteMilestoneTrackingSummary[[#This Row],[StartDate]:[StartDate]],
Table_SiteMilestoneTracking[SiteInOperations_AC],"&lt;"&amp;Table_SiteMilestoneTrackingSummary[[#This Row],[EndDate]:[EndDate]]+1)</f>
        <v>0</v>
      </c>
      <c r="DJ42" s="100">
        <f>DJ41+Table_SiteMilestoneTrackingSummary[[#This Row],[c9_HandoverCostAC]]</f>
        <v>2000</v>
      </c>
      <c r="DK42" s="96">
        <f>COUNTIFS(Table_SiteMilestoneTracking[SiteInOperations_BL],"&gt;="&amp;Table_SiteMilestoneTrackingSummary[[#This Row],[StartDate]:[StartDate]],
Table_SiteMilestoneTracking[SiteInOperations_BL],"&lt;"&amp;Table_SiteMilestoneTrackingSummary[[#This Row],[EndDate]:[EndDate]]+1)</f>
        <v>0</v>
      </c>
      <c r="DL42" s="100">
        <f>DL41+Table_SiteMilestoneTrackingSummary[[#This Row],[SiteInOperations_BL]]</f>
        <v>100</v>
      </c>
      <c r="DM42" s="96">
        <f>COUNTIFS(Table_SiteMilestoneTracking[SiteInOperations_AC],"&gt;="&amp;Table_SiteMilestoneTrackingSummary[[#This Row],[StartDate]:[StartDate]],
Table_SiteMilestoneTracking[SiteInOperations_AC],"&lt;"&amp;Table_SiteMilestoneTrackingSummary[[#This Row],[EndDate]:[EndDate]]+1)</f>
        <v>0</v>
      </c>
      <c r="DN42" s="100">
        <f>DN41+Table_SiteMilestoneTrackingSummary[[#This Row],[SiteInOperations_AC]]</f>
        <v>10</v>
      </c>
      <c r="DO42" s="59">
        <f>Table_SiteMilestoneTrackingSummary[[#This Row],[c0_SiteDesignEV(SUM)]]+Table_SiteMilestoneTrackingSummary[[#This Row],[c1_SiteSurveyEV(SUM)]]+Table_SiteMilestoneTrackingSummary[[#This Row],[c2_SiteAcquisitionEV(SUM)]]+Table_SiteMilestoneTrackingSummary[[#This Row],[c2a_SiteCWReadinessEV(SUM)]]+Table_SiteMilestoneTrackingSummary[[#This Row],[c3_CivilWorksEV(SUM)]]+Table_SiteMilestoneTrackingSummary[[#This Row],[c4_PowerInstallEV(SUM)]]+Table_SiteMilestoneTrackingSummary[[#This Row],[c5_TxIntegrationEV(SUM)]]+Table_SiteMilestoneTrackingSummary[[#This Row],[c6_InstallationEV(SUM)]]+Table_SiteMilestoneTrackingSummary[[#This Row],[c7_IntegrationEV(SUM)]]+Table_SiteMilestoneTrackingSummary[[#This Row],[c8_AcceptanceEV(SUM)]]+Table_SiteMilestoneTrackingSummary[[#This Row],[c9_HandoverEV(SUM)]]</f>
        <v>429900</v>
      </c>
      <c r="DP42" s="59">
        <f>Table_SiteMilestoneTrackingSummary[[#This Row],[c0_SiteDesignCostBL(SUM)]]+Table_SiteMilestoneTrackingSummary[[#This Row],[c1_SiteSurveyCostBL(SUM)]]+Table_SiteMilestoneTrackingSummary[[#This Row],[c2_SiteAcquisitionCostBL(SUM)]]+Table_SiteMilestoneTrackingSummary[[#This Row],[c2a_SiteCWReadinessCostBL(SUM)]]+Table_SiteMilestoneTrackingSummary[[#This Row],[c3_CivilWorksCostBL(SUM)]]+Table_SiteMilestoneTrackingSummary[[#This Row],[c4_PowerInstallCostBL(SUM)]]+Table_SiteMilestoneTrackingSummary[[#This Row],[c5_TxIntegrationCostBL(SUM)]]+Table_SiteMilestoneTrackingSummary[[#This Row],[c6_InstallationCostBL(SUM)]]+Table_SiteMilestoneTrackingSummary[[#This Row],[c7_IntegrationCostBL(SUM)]]+Table_SiteMilestoneTrackingSummary[[#This Row],[c8_AcceptanceCostBL(SUM)]]+Table_SiteMilestoneTrackingSummary[[#This Row],[c9_HandoverCostBL(SUM)]]</f>
        <v>770000</v>
      </c>
      <c r="DQ42" s="59">
        <f>Table_SiteMilestoneTrackingSummary[[#This Row],[c0_SiteDesignCostAC(SUM)]]+Table_SiteMilestoneTrackingSummary[[#This Row],[c1_SiteSurveyCostAC(SUM)]]+Table_SiteMilestoneTrackingSummary[[#This Row],[c2_SiteAcquisitionCostAC(SUM)]]+Table_SiteMilestoneTrackingSummary[[#This Row],[c2a_SiteCWReadinessCostAC(SUM)]]+Table_SiteMilestoneTrackingSummary[[#This Row],[c3_CivilWorksCostAC(SUM)]]+Table_SiteMilestoneTrackingSummary[[#This Row],[c4_PowerInstallCostAC(SUM)]]+Table_SiteMilestoneTrackingSummary[[#This Row],[c5_TxIntegrationCostAC(SUM)]]+Table_SiteMilestoneTrackingSummary[[#This Row],[c6_InstallationCostAC(SUM)]]+Table_SiteMilestoneTrackingSummary[[#This Row],[c7_IntegrationCostAC(SUM)]]+Table_SiteMilestoneTrackingSummary[[#This Row],[c8_AcceptanceCostAC(SUM)]]+Table_SiteMilestoneTrackingSummary[[#This Row],[c9_HandoverCostAC(SUM)]]</f>
        <v>433825</v>
      </c>
      <c r="DR42" s="59">
        <f>Table_SiteMilestoneTrackingSummary[[#This Row],[AccumulatedEV]]-Table_SiteMilestoneTrackingSummary[[#This Row],[AccumulatedPV]]</f>
        <v>-340100</v>
      </c>
      <c r="DS42" s="59">
        <f>Table_SiteMilestoneTrackingSummary[[#This Row],[AccumulatedEV]]-Table_SiteMilestoneTrackingSummary[[#This Row],[AccumulatedAC]]</f>
        <v>-3925</v>
      </c>
      <c r="DT42" s="58">
        <f>IFERROR(Table_SiteMilestoneTrackingSummary[[#This Row],[AccumulatedEV]]/Table_SiteMilestoneTrackingSummary[[#This Row],[AccumulatedPV]],"/")</f>
        <v>0.55831168831168831</v>
      </c>
      <c r="DU42" s="101">
        <f>IFERROR(Table_SiteMilestoneTrackingSummary[[#This Row],[AccumulatedEV]]/Table_SiteMilestoneTrackingSummary[[#This Row],[AccumulatedAC]],"/")</f>
        <v>0.99095257304212525</v>
      </c>
    </row>
    <row r="43" spans="1:125" x14ac:dyDescent="0.3">
      <c r="A43" s="79">
        <v>2020</v>
      </c>
      <c r="B43" s="79">
        <v>40</v>
      </c>
      <c r="C43" s="95">
        <f>DATE(Table_SiteMilestoneTrackingSummary[[#This Row],[Year]],1,-2)-WEEKDAY(DATE(Table_SiteMilestoneTrackingSummary[[#This Row],[Year]],1,3))+Table_SiteMilestoneTrackingSummary[[#This Row],[Week]]*7</f>
        <v>44102</v>
      </c>
      <c r="D43" s="95">
        <f>Table_SiteMilestoneTrackingSummary[[#This Row],[StartDate]]+6</f>
        <v>44108</v>
      </c>
      <c r="E43" s="100">
        <f>COUNTIFS(Table_SiteMilestoneTracking[SiteDesignStarted_BL],"&gt;="&amp;Table_SiteMilestoneTrackingSummary[[#This Row],[StartDate]:[StartDate]],Table_SiteMilestoneTracking[SiteDesignStarted_BL],"&lt;"&amp;Table_SiteMilestoneTrackingSummary[[#This Row],[EndDate]:[EndDate]]+1)</f>
        <v>0</v>
      </c>
      <c r="F43" s="100">
        <f>F42+Table_SiteMilestoneTrackingSummary[[#This Row],[SiteDesignStarted_BL]]</f>
        <v>100</v>
      </c>
      <c r="G43" s="100">
        <f>COUNTIFS(Table_SiteMilestoneTracking[SiteDesignStarted_AC],"&gt;="&amp;Table_SiteMilestoneTrackingSummary[[#This Row],[StartDate]:[StartDate]],Table_SiteMilestoneTracking[SiteDesignStarted_AC],"&lt;"&amp;Table_SiteMilestoneTrackingSummary[[#This Row],[EndDate]:[EndDate]]+1)</f>
        <v>0</v>
      </c>
      <c r="H43" s="100">
        <f>H42+Table_SiteMilestoneTrackingSummary[[#This Row],[SiteDesignStarted_AC]]</f>
        <v>96</v>
      </c>
      <c r="I43" s="100">
        <f>Table_SiteMilestoneTrackingSummary[[#This Row],[SiteDesignReady_AC]]*$I$2</f>
        <v>0</v>
      </c>
      <c r="J43" s="100">
        <f>J42+Table_SiteMilestoneTrackingSummary[[#This Row],[c0_SiteDesignEV]]</f>
        <v>45000</v>
      </c>
      <c r="K43" s="97">
        <f>SUMIFS(Table_SiteMilestoneTracking[c0_SiteDesignCostBL],
Table_SiteMilestoneTracking[SiteDesignReady_BL],"&gt;="&amp;Table_SiteMilestoneTrackingSummary[[#This Row],[StartDate]:[StartDate]],
Table_SiteMilestoneTracking[SiteDesignReady_BL],"&lt;"&amp;Table_SiteMilestoneTrackingSummary[[#This Row],[EndDate]:[EndDate]]+1)</f>
        <v>0</v>
      </c>
      <c r="L43" s="59">
        <f>L42+Table_SiteMilestoneTrackingSummary[[#This Row],[c0_SiteDesignCostBL]]</f>
        <v>50000</v>
      </c>
      <c r="M43" s="97">
        <f>SUMIFS(Table_SiteMilestoneTracking[c0_SiteDesignCostAC],
Table_SiteMilestoneTracking[SiteDesignReady_AC],"&gt;="&amp;Table_SiteMilestoneTrackingSummary[[#This Row],[StartDate]:[StartDate]],
Table_SiteMilestoneTracking[SiteDesignReady_AC],"&lt;"&amp;Table_SiteMilestoneTrackingSummary[[#This Row],[EndDate]:[EndDate]]+1)</f>
        <v>0</v>
      </c>
      <c r="N43" s="59">
        <f>N42+Table_SiteMilestoneTrackingSummary[[#This Row],[c0_SiteDesignCostAC]]</f>
        <v>43180</v>
      </c>
      <c r="O43" s="96">
        <f>COUNTIFS(Table_SiteMilestoneTracking[SiteDesignReady_BL],"&gt;="&amp;Table_SiteMilestoneTrackingSummary[[#This Row],[StartDate]:[StartDate]],
Table_SiteMilestoneTracking[SiteDesignReady_BL],"&lt;"&amp;Table_SiteMilestoneTrackingSummary[[#This Row],[EndDate]:[EndDate]]+1)</f>
        <v>0</v>
      </c>
      <c r="P43" s="100">
        <f>P42+Table_SiteMilestoneTrackingSummary[[#This Row],[SiteDesignReady_BL]]</f>
        <v>100</v>
      </c>
      <c r="Q43" s="100">
        <f>COUNTIFS(Table_SiteMilestoneTracking[SiteDesignReady_AC],"&gt;="&amp;Table_SiteMilestoneTrackingSummary[[#This Row],[StartDate]:[StartDate]],Table_SiteMilestoneTracking[SiteDesignReady_AC],"&lt;"&amp;Table_SiteMilestoneTrackingSummary[[#This Row],[EndDate]:[EndDate]]+1)</f>
        <v>0</v>
      </c>
      <c r="R43" s="100">
        <f>R42+Table_SiteMilestoneTrackingSummary[[#This Row],[SiteDesignReady_AC]]</f>
        <v>90</v>
      </c>
      <c r="S43" s="100">
        <f>Table_SiteMilestoneTrackingSummary[[#This Row],[ReadyForCW_AC]]*$S$2</f>
        <v>0</v>
      </c>
      <c r="T43" s="100">
        <f>T42+Table_SiteMilestoneTrackingSummary[[#This Row],[c1_SiteSurveyEV]]</f>
        <v>40000</v>
      </c>
      <c r="U43" s="96">
        <f>SUMIFS(Table_SiteMilestoneTracking[c1_SiteSurveyCostBL],
Table_SiteMilestoneTracking[SiteSurveyCompleted_BL],"&gt;="&amp;Table_SiteMilestoneTrackingSummary[[#This Row],[StartDate]:[StartDate]],
Table_SiteMilestoneTracking[SiteSurveyCompleted_BL],"&lt;"&amp;Table_SiteMilestoneTrackingSummary[[#This Row],[EndDate]:[EndDate]]+1)</f>
        <v>0</v>
      </c>
      <c r="V43" s="100">
        <f>V42+Table_SiteMilestoneTrackingSummary[[#This Row],[c1_SiteSurveyCostBL]]</f>
        <v>50000</v>
      </c>
      <c r="W43" s="96">
        <f>SUMIFS(Table_SiteMilestoneTracking[c1_SiteSurveyCostAC],
Table_SiteMilestoneTracking[SiteSurveyCompleted_AC],"&gt;="&amp;Table_SiteMilestoneTrackingSummary[[#This Row],[StartDate]:[StartDate]],
Table_SiteMilestoneTracking[SiteSurveyCompleted_AC],"&lt;"&amp;Table_SiteMilestoneTrackingSummary[[#This Row],[EndDate]:[EndDate]]+1)</f>
        <v>0</v>
      </c>
      <c r="X43" s="100">
        <f>X42+Table_SiteMilestoneTrackingSummary[[#This Row],[c1_SiteSurveyCostAC]]</f>
        <v>51800</v>
      </c>
      <c r="Y43" s="96">
        <f>COUNTIFS(Table_SiteMilestoneTracking[SiteSurveyCompleted_BL],"&gt;="&amp;Table_SiteMilestoneTrackingSummary[[#This Row],[StartDate]:[StartDate]],
Table_SiteMilestoneTracking[SiteSurveyCompleted_BL],"&lt;"&amp;Table_SiteMilestoneTrackingSummary[[#This Row],[EndDate]:[EndDate]]+1)</f>
        <v>0</v>
      </c>
      <c r="Z43" s="100">
        <f>Z42+Table_SiteMilestoneTrackingSummary[[#This Row],[SiteSurveyCompleted_BL]]</f>
        <v>100</v>
      </c>
      <c r="AA43" s="96">
        <f>COUNTIFS(Table_SiteMilestoneTracking[SiteSurveyCompleted_AC],"&gt;="&amp;Table_SiteMilestoneTrackingSummary[[#This Row],[StartDate]:[StartDate]],
Table_SiteMilestoneTracking[SiteSurveyCompleted_AC],"&lt;"&amp;Table_SiteMilestoneTrackingSummary[[#This Row],[EndDate]:[EndDate]]+1)</f>
        <v>0</v>
      </c>
      <c r="AB43" s="100">
        <f>AB42+Table_SiteMilestoneTrackingSummary[[#This Row],[SiteSurveyCompleted_AC]]</f>
        <v>86</v>
      </c>
      <c r="AC43" s="100">
        <f>$AC$2*Table_SiteMilestoneTrackingSummary[[#This Row],[SiteAcquired_AC]]</f>
        <v>0</v>
      </c>
      <c r="AD43" s="100">
        <f>AD42+Table_SiteMilestoneTrackingSummary[[#This Row],[c2_SiteAcquisitionEV]]</f>
        <v>50400</v>
      </c>
      <c r="AE43" s="96">
        <f>SUMIFS(Table_SiteMilestoneTracking[c2_SiteAcquisitionCostBL],
Table_SiteMilestoneTracking[SiteAcquired_BL],"&gt;="&amp;Table_SiteMilestoneTrackingSummary[[#This Row],[StartDate]:[StartDate]],
Table_SiteMilestoneTracking[SiteAcquired_BL],"&lt;"&amp;Table_SiteMilestoneTrackingSummary[[#This Row],[EndDate]:[EndDate]]+1)</f>
        <v>0</v>
      </c>
      <c r="AF43" s="100">
        <f>AF42+Table_SiteMilestoneTrackingSummary[[#This Row],[c2_SiteAcquisitionCostBL]]</f>
        <v>60000</v>
      </c>
      <c r="AG43" s="96">
        <f>SUMIFS(Table_SiteMilestoneTracking[c2_SiteAcquisitionCostAC],
Table_SiteMilestoneTracking[SiteAcquired_AC],"&gt;="&amp;Table_SiteMilestoneTrackingSummary[[#This Row],[StartDate]:[StartDate]],
Table_SiteMilestoneTracking[SiteAcquired_AC],"&lt;"&amp;Table_SiteMilestoneTrackingSummary[[#This Row],[EndDate]:[EndDate]]+1)</f>
        <v>0</v>
      </c>
      <c r="AH43" s="100">
        <f>AH42+Table_SiteMilestoneTrackingSummary[[#This Row],[c2_SiteAcquisitionCostAC]]</f>
        <v>52800</v>
      </c>
      <c r="AI43" s="96">
        <f>COUNTIFS(Table_SiteMilestoneTracking[SiteAcquired_BL],"&gt;="&amp;Table_SiteMilestoneTrackingSummary[[#This Row],[StartDate]:[StartDate]],
Table_SiteMilestoneTracking[SiteAcquired_BL],"&lt;"&amp;Table_SiteMilestoneTrackingSummary[[#This Row],[EndDate]:[EndDate]]+1)</f>
        <v>0</v>
      </c>
      <c r="AJ43" s="100">
        <f>AJ42+Table_SiteMilestoneTrackingSummary[[#This Row],[SiteAcquired_BL]]</f>
        <v>100</v>
      </c>
      <c r="AK43" s="96">
        <f>COUNTIFS(Table_SiteMilestoneTracking[SiteAcquired_AC],"&gt;="&amp;Table_SiteMilestoneTrackingSummary[[#This Row],[StartDate]:[StartDate]],
Table_SiteMilestoneTracking[SiteAcquired_AC],"&lt;"&amp;Table_SiteMilestoneTrackingSummary[[#This Row],[EndDate]:[EndDate]]+1)</f>
        <v>0</v>
      </c>
      <c r="AL43" s="100">
        <f>AL42+Table_SiteMilestoneTrackingSummary[[#This Row],[SiteAcquired_AC]]</f>
        <v>84</v>
      </c>
      <c r="AM43" s="100">
        <f>Table_SiteMilestoneTrackingSummary[[#This Row],[ReadyForCW_AC]]*$AM$2</f>
        <v>0</v>
      </c>
      <c r="AN43" s="100">
        <f>AN42+Table_SiteMilestoneTrackingSummary[[#This Row],[c2a_SiteCWReadinessEV]]</f>
        <v>12000</v>
      </c>
      <c r="AO43" s="96">
        <f>SUMIFS(Table_SiteMilestoneTracking[c2a_SiteCWReadinessCost_BL],
Table_SiteMilestoneTracking[SiteReadyForCW_BL],"&gt;="&amp;Table_SiteMilestoneTrackingSummary[[#This Row],[StartDate]:[StartDate]],
Table_SiteMilestoneTracking[SiteReadyForCW_BL],"&lt;"&amp;Table_SiteMilestoneTrackingSummary[[#This Row],[EndDate]:[EndDate]]+1)</f>
        <v>0</v>
      </c>
      <c r="AP43" s="100">
        <f>AP42+Table_SiteMilestoneTrackingSummary[[#This Row],[c2a_SiteCWReadinessCostBL]]</f>
        <v>15000</v>
      </c>
      <c r="AQ43" s="96">
        <f>SUMIFS(Table_SiteMilestoneTracking[c2a_SiteCWReadinessCost_AC],
Table_SiteMilestoneTracking[SiteReadyForCW_AC],"&gt;="&amp;Table_SiteMilestoneTrackingSummary[[#This Row],[StartDate]:[StartDate]],
Table_SiteMilestoneTracking[SiteReadyForCW_AC],"&lt;"&amp;Table_SiteMilestoneTrackingSummary[[#This Row],[EndDate]:[EndDate]]+1)</f>
        <v>0</v>
      </c>
      <c r="AR43" s="100">
        <f>AR42+Table_SiteMilestoneTrackingSummary[[#This Row],[c2a_SiteCWReadinessCostAC]]</f>
        <v>12045</v>
      </c>
      <c r="AS43" s="96">
        <f>COUNTIFS(Table_SiteMilestoneTracking[SiteReadyForCW_BL],"&gt;="&amp;Table_SiteMilestoneTrackingSummary[[#This Row],[StartDate]:[StartDate]],
Table_SiteMilestoneTracking[SiteReadyForCW_BL],"&lt;"&amp;Table_SiteMilestoneTrackingSummary[[#This Row],[EndDate]:[EndDate]]+1)</f>
        <v>0</v>
      </c>
      <c r="AT43" s="100">
        <f>AT42+Table_SiteMilestoneTrackingSummary[[#This Row],[ReadyForCW_BL]]</f>
        <v>100</v>
      </c>
      <c r="AU43" s="96">
        <f>COUNTIFS(Table_SiteMilestoneTracking[SiteReadyForCW_AC],"&gt;="&amp;Table_SiteMilestoneTrackingSummary[[#This Row],[StartDate]:[StartDate]],
Table_SiteMilestoneTracking[SiteReadyForCW_AC],"&lt;"&amp;Table_SiteMilestoneTrackingSummary[[#This Row],[EndDate]:[EndDate]]+1)</f>
        <v>0</v>
      </c>
      <c r="AV43" s="100">
        <f>AV42+Table_SiteMilestoneTrackingSummary[[#This Row],[ReadyForCW_AC]]</f>
        <v>80</v>
      </c>
      <c r="AW43" s="100">
        <f>$AW$2*Table_SiteMilestoneTrackingSummary[[#This Row],[ReadyForPower_AC]]</f>
        <v>0</v>
      </c>
      <c r="AX43" s="100">
        <f>AX42+Table_SiteMilestoneTrackingSummary[[#This Row],[c3_CivilWorksEV]]</f>
        <v>105000</v>
      </c>
      <c r="AY43" s="96">
        <f>SUMIFS(Table_SiteMilestoneTracking[c3_CivilWorksCostBL],
Table_SiteMilestoneTracking[SiteReadyForPower_BL],"&gt;="&amp;Table_SiteMilestoneTrackingSummary[[#This Row],[StartDate]:[StartDate]],
Table_SiteMilestoneTracking[SiteReadyForPower_BL],"&lt;"&amp;Table_SiteMilestoneTrackingSummary[[#This Row],[EndDate]:[EndDate]]+1)</f>
        <v>0</v>
      </c>
      <c r="AZ43" s="100">
        <f>AZ42+Table_SiteMilestoneTrackingSummary[[#This Row],[c3_CivilWorksCostBL]]</f>
        <v>150000</v>
      </c>
      <c r="BA43" s="96">
        <f>SUMIFS(Table_SiteMilestoneTracking[c3_CivilWorksCostAC],
Table_SiteMilestoneTracking[SiteReadyForPower_AC],"&gt;="&amp;Table_SiteMilestoneTrackingSummary[[#This Row],[StartDate]:[StartDate]],
Table_SiteMilestoneTracking[SiteReadyForPower_AC],"&lt;"&amp;Table_SiteMilestoneTrackingSummary[[#This Row],[EndDate]:[EndDate]]+1)</f>
        <v>0</v>
      </c>
      <c r="BB43" s="100">
        <f>BB42+Table_SiteMilestoneTrackingSummary[[#This Row],[c3_CivilWorksCostAC]]</f>
        <v>112350</v>
      </c>
      <c r="BC43" s="96">
        <f>COUNTIFS(Table_SiteMilestoneTracking[SiteReadyForPower_BL],"&gt;="&amp;Table_SiteMilestoneTrackingSummary[[#This Row],[StartDate]:[StartDate]],
Table_SiteMilestoneTracking[SiteReadyForPower_BL],"&lt;"&amp;Table_SiteMilestoneTrackingSummary[[#This Row],[EndDate]:[EndDate]]+1)</f>
        <v>0</v>
      </c>
      <c r="BD43" s="100">
        <f>BD42+Table_SiteMilestoneTrackingSummary[[#This Row],[ReadyForPower_BL]]</f>
        <v>100</v>
      </c>
      <c r="BE43" s="96">
        <f>COUNTIFS(Table_SiteMilestoneTracking[SiteReadyForPower_AC],"&gt;="&amp;Table_SiteMilestoneTrackingSummary[[#This Row],[StartDate]:[StartDate]],
Table_SiteMilestoneTracking[SiteReadyForPower_AC],"&lt;"&amp;Table_SiteMilestoneTrackingSummary[[#This Row],[EndDate]:[EndDate]]+1)</f>
        <v>0</v>
      </c>
      <c r="BF43" s="100">
        <f>BF42+Table_SiteMilestoneTrackingSummary[[#This Row],[ReadyForPower_AC]]</f>
        <v>70</v>
      </c>
      <c r="BG43" s="100">
        <f>$BG$2*Table_SiteMilestoneTrackingSummary[[#This Row],[TXReady_AC]]</f>
        <v>0</v>
      </c>
      <c r="BH43" s="100">
        <f>BH42+Table_SiteMilestoneTrackingSummary[[#This Row],[c4_PowerInstallEV]]</f>
        <v>30000</v>
      </c>
      <c r="BI43" s="96">
        <f>SUMIFS(Table_SiteMilestoneTracking[c4_PowerInstallCostBL],
Table_SiteMilestoneTracking[TXReady_BL],"&gt;="&amp;Table_SiteMilestoneTrackingSummary[[#This Row],[StartDate]:[StartDate]],
Table_SiteMilestoneTracking[TXReady_BL],"&lt;"&amp;Table_SiteMilestoneTrackingSummary[[#This Row],[EndDate]:[EndDate]]+1)</f>
        <v>0</v>
      </c>
      <c r="BJ43" s="100">
        <f>BJ42+Table_SiteMilestoneTrackingSummary[[#This Row],[c4_PowerInstallCostBL]]</f>
        <v>50000</v>
      </c>
      <c r="BK43" s="96">
        <f>SUMIFS(Table_SiteMilestoneTracking[c4_PowerInstallCostAC],
Table_SiteMilestoneTracking[TXReady_AC],"&gt;="&amp;Table_SiteMilestoneTrackingSummary[[#This Row],[StartDate]:[StartDate]],
Table_SiteMilestoneTracking[TXReady_AC],"&lt;"&amp;Table_SiteMilestoneTrackingSummary[[#This Row],[EndDate]:[EndDate]]+1)</f>
        <v>0</v>
      </c>
      <c r="BL43" s="100">
        <f>BL42+Table_SiteMilestoneTrackingSummary[[#This Row],[c4_PowerInstallCostAC]]</f>
        <v>28050</v>
      </c>
      <c r="BM43" s="96">
        <f>COUNTIFS(Table_SiteMilestoneTracking[TXReady_BL],"&gt;="&amp;Table_SiteMilestoneTrackingSummary[[#This Row],[StartDate]:[StartDate]],
Table_SiteMilestoneTracking[TXReady_BL],"&lt;"&amp;Table_SiteMilestoneTrackingSummary[[#This Row],[EndDate]:[EndDate]]+1)</f>
        <v>0</v>
      </c>
      <c r="BN43" s="100">
        <f>BN42+Table_SiteMilestoneTrackingSummary[[#This Row],[TXReady_BL]]</f>
        <v>100</v>
      </c>
      <c r="BO43" s="100">
        <f>COUNTIFS(Table_SiteMilestoneTracking[TXReady_AC],"&gt;="&amp;Table_SiteMilestoneTrackingSummary[[#This Row],[StartDate]:[StartDate]],Table_SiteMilestoneTracking[TXReady_AC],"&lt;"&amp;Table_SiteMilestoneTrackingSummary[[#This Row],[EndDate]:[EndDate]]+1)</f>
        <v>0</v>
      </c>
      <c r="BP43" s="100">
        <f>BP42+Table_SiteMilestoneTrackingSummary[[#This Row],[TXReady_AC]]</f>
        <v>60</v>
      </c>
      <c r="BQ43" s="100">
        <f>$BQ$2*Table_SiteMilestoneTrackingSummary[[#This Row],[ReadyForInstallation_AC]]</f>
        <v>0</v>
      </c>
      <c r="BR43" s="100">
        <f>BR42+Table_SiteMilestoneTrackingSummary[[#This Row],[c5_TxIntegrationEV]]</f>
        <v>25500</v>
      </c>
      <c r="BS43" s="96">
        <f>SUMIFS(Table_SiteMilestoneTracking[c5_TxintegrationCostBL],
Table_SiteMilestoneTracking[SiteReadyForInstallation_BL],"&gt;="&amp;Table_SiteMilestoneTrackingSummary[[#This Row],[StartDate]:[StartDate]],
Table_SiteMilestoneTracking[SiteReadyForInstallation_BL],"&lt;"&amp;Table_SiteMilestoneTrackingSummary[[#This Row],[EndDate]:[EndDate]]+1)</f>
        <v>0</v>
      </c>
      <c r="BT43" s="100">
        <f>BT42+Table_SiteMilestoneTrackingSummary[[#This Row],[c5_TxIntegrationCostBL]]</f>
        <v>50000</v>
      </c>
      <c r="BU43" s="96">
        <f>SUMIFS(Table_SiteMilestoneTracking[c5_TxintegrationCostAC],
Table_SiteMilestoneTracking[SiteReadyForInstallation_AC],"&gt;="&amp;Table_SiteMilestoneTrackingSummary[[#This Row],[StartDate]:[StartDate]],
Table_SiteMilestoneTracking[SiteReadyForInstallation_AC],"&lt;"&amp;Table_SiteMilestoneTrackingSummary[[#This Row],[EndDate]:[EndDate]]+1)</f>
        <v>0</v>
      </c>
      <c r="BV43" s="100">
        <f>BV42+Table_SiteMilestoneTrackingSummary[[#This Row],[c5_TxIntegrationCostAC]]</f>
        <v>24850</v>
      </c>
      <c r="BW43" s="96">
        <f>COUNTIFS(Table_SiteMilestoneTracking[SiteReadyForInstallation_BL],"&gt;="&amp;Table_SiteMilestoneTrackingSummary[[#This Row],[StartDate]:[StartDate]],
Table_SiteMilestoneTracking[SiteReadyForInstallation_BL],"&lt;"&amp;Table_SiteMilestoneTrackingSummary[[#This Row],[EndDate]:[EndDate]]+1)</f>
        <v>0</v>
      </c>
      <c r="BX43" s="100">
        <f>BX42+Table_SiteMilestoneTrackingSummary[[#This Row],[ReadyForInstallation_BL]]</f>
        <v>100</v>
      </c>
      <c r="BY43" s="96">
        <f>COUNTIFS(Table_SiteMilestoneTracking[SiteReadyForInstallation_AC],"&gt;="&amp;Table_SiteMilestoneTrackingSummary[[#This Row],[StartDate]:[StartDate]],
Table_SiteMilestoneTracking[SiteReadyForInstallation_AC],"&lt;"&amp;Table_SiteMilestoneTrackingSummary[[#This Row],[EndDate]:[EndDate]]+1)</f>
        <v>0</v>
      </c>
      <c r="BZ43" s="100">
        <f>BZ42+Table_SiteMilestoneTrackingSummary[[#This Row],[ReadyForInstallation_AC]]</f>
        <v>51</v>
      </c>
      <c r="CA43" s="100">
        <f>$CA$2*Table_SiteMilestoneTrackingSummary[[#This Row],[ReadyForIntegration_AC]]</f>
        <v>0</v>
      </c>
      <c r="CB43" s="100">
        <f>CB42+Table_SiteMilestoneTrackingSummary[[#This Row],[c6_InstallationEV]]</f>
        <v>100000</v>
      </c>
      <c r="CC43" s="96">
        <f>SUMIFS(Table_SiteMilestoneTracking[c6_InstallationCostBL],
Table_SiteMilestoneTracking[SiteReadyForIntegration_BL],"&gt;="&amp;Table_SiteMilestoneTrackingSummary[[#This Row],[StartDate]:[StartDate]],
Table_SiteMilestoneTracking[SiteReadyForIntegration_BL],"&lt;"&amp;Table_SiteMilestoneTrackingSummary[[#This Row],[EndDate]:[EndDate]]+1)</f>
        <v>0</v>
      </c>
      <c r="CD43" s="100">
        <f>CD42+Table_SiteMilestoneTrackingSummary[[#This Row],[c6_InstallationCostBL]]</f>
        <v>250000</v>
      </c>
      <c r="CE43" s="96">
        <f>SUMIFS(Table_SiteMilestoneTracking[c6_InstallationCostAC],
Table_SiteMilestoneTracking[SiteReadyForIntegration_AC],"&gt;="&amp;Table_SiteMilestoneTrackingSummary[[#This Row],[StartDate]:[StartDate]],
Table_SiteMilestoneTracking[SiteReadyForIntegration_AC],"&lt;"&amp;Table_SiteMilestoneTrackingSummary[[#This Row],[EndDate]:[EndDate]]+1)</f>
        <v>0</v>
      </c>
      <c r="CF43" s="100">
        <f>CF42+Table_SiteMilestoneTrackingSummary[[#This Row],[c6_InstallationCostAC]]</f>
        <v>87600</v>
      </c>
      <c r="CG43" s="96">
        <f>COUNTIFS(Table_SiteMilestoneTracking[SiteReadyForIntegration_BL],"&gt;="&amp;Table_SiteMilestoneTrackingSummary[[#This Row],[StartDate]:[StartDate]],
Table_SiteMilestoneTracking[SiteReadyForIntegration_BL],"&lt;"&amp;Table_SiteMilestoneTrackingSummary[[#This Row],[EndDate]:[EndDate]]+1)</f>
        <v>0</v>
      </c>
      <c r="CH43" s="100">
        <f>CH42+Table_SiteMilestoneTrackingSummary[[#This Row],[ReadyForIntegration_BL]]</f>
        <v>100</v>
      </c>
      <c r="CI43" s="96">
        <f>COUNTIFS(Table_SiteMilestoneTracking[SiteReadyForIntegration_AC],"&gt;="&amp;Table_SiteMilestoneTrackingSummary[[#This Row],[StartDate]:[StartDate]],
Table_SiteMilestoneTracking[SiteReadyForIntegration_AC],"&lt;"&amp;Table_SiteMilestoneTrackingSummary[[#This Row],[EndDate]:[EndDate]]+1)</f>
        <v>0</v>
      </c>
      <c r="CJ43" s="100">
        <f>CJ42+Table_SiteMilestoneTrackingSummary[[#This Row],[ReadyForIntegration_AC]]</f>
        <v>40</v>
      </c>
      <c r="CK43" s="100">
        <f>$CK$2*Table_SiteMilestoneTrackingSummary[[#This Row],[SiteOnAir_AC]]</f>
        <v>0</v>
      </c>
      <c r="CL43" s="100">
        <f>CL42+Table_SiteMilestoneTrackingSummary[[#This Row],[c7_IntegrationEV]]</f>
        <v>15000</v>
      </c>
      <c r="CM43" s="96">
        <f>SUMIFS(Table_SiteMilestoneTracking[c7_IntegrationCostBL],
Table_SiteMilestoneTracking[SiteOnAir_BL],"&gt;="&amp;Table_SiteMilestoneTrackingSummary[[#This Row],[StartDate]:[StartDate]],
Table_SiteMilestoneTracking[SiteOnAir_BL],"&lt;"&amp;Table_SiteMilestoneTrackingSummary[[#This Row],[EndDate]:[EndDate]]+1)</f>
        <v>0</v>
      </c>
      <c r="CN43" s="100">
        <f>CN42+Table_SiteMilestoneTrackingSummary[[#This Row],[c7_IntegrationCostBL]]</f>
        <v>50000</v>
      </c>
      <c r="CO43" s="96">
        <f>SUMIFS(Table_SiteMilestoneTracking[c7_IntegrationCostAC],
Table_SiteMilestoneTracking[SiteOnAir_AC],"&gt;="&amp;Table_SiteMilestoneTrackingSummary[[#This Row],[StartDate]:[StartDate]],
Table_SiteMilestoneTracking[SiteOnAir_AC],"&lt;"&amp;Table_SiteMilestoneTrackingSummary[[#This Row],[EndDate]:[EndDate]]+1)</f>
        <v>0</v>
      </c>
      <c r="CP43" s="100">
        <f>CP42+Table_SiteMilestoneTrackingSummary[[#This Row],[c7_IntegrationCostAC]]</f>
        <v>14150</v>
      </c>
      <c r="CQ43" s="96">
        <f>COUNTIFS(Table_SiteMilestoneTracking[SiteOnAir_BL],"&gt;="&amp;Table_SiteMilestoneTrackingSummary[[#This Row],[StartDate]:[StartDate]],
Table_SiteMilestoneTracking[SiteOnAir_BL],"&lt;"&amp;Table_SiteMilestoneTrackingSummary[[#This Row],[EndDate]:[EndDate]]+1)</f>
        <v>0</v>
      </c>
      <c r="CR43" s="100">
        <f>CR42+Table_SiteMilestoneTrackingSummary[[#This Row],[SiteOnAir_BL]]</f>
        <v>100</v>
      </c>
      <c r="CS43" s="96">
        <f>COUNTIFS(Table_SiteMilestoneTracking[SiteOnAir_AC],"&gt;="&amp;Table_SiteMilestoneTrackingSummary[[#This Row],[StartDate]:[StartDate]],
Table_SiteMilestoneTracking[SiteOnAir_AC],"&lt;"&amp;Table_SiteMilestoneTrackingSummary[[#This Row],[EndDate]:[EndDate]]+1)</f>
        <v>0</v>
      </c>
      <c r="CT43" s="100">
        <f>CT42+Table_SiteMilestoneTrackingSummary[[#This Row],[SiteOnAir_AC]]</f>
        <v>30</v>
      </c>
      <c r="CU43" s="100">
        <f>$CU$2*Table_SiteMilestoneTrackingSummary[[#This Row],[SiteAccepted_AC]]</f>
        <v>0</v>
      </c>
      <c r="CV43" s="100">
        <f>CV42+Table_SiteMilestoneTrackingSummary[[#This Row],[c8_AcceptanceEV]]</f>
        <v>5000</v>
      </c>
      <c r="CW43" s="96">
        <f>SUMIFS(Table_SiteMilestoneTracking[c8_AcceptanceCostBL],
Table_SiteMilestoneTracking[SiteAccepted_BL],"&gt;="&amp;Table_SiteMilestoneTrackingSummary[[#This Row],[StartDate]:[StartDate]],
Table_SiteMilestoneTracking[SiteAccepted_BL],"&lt;"&amp;Table_SiteMilestoneTrackingSummary[[#This Row],[EndDate]:[EndDate]]+1)</f>
        <v>0</v>
      </c>
      <c r="CX43" s="100">
        <f>CX42+Table_SiteMilestoneTrackingSummary[[#This Row],[c8_AcceptanceCostBL]]</f>
        <v>25000</v>
      </c>
      <c r="CY43" s="96">
        <f>SUMIFS(Table_SiteMilestoneTracking[c8_AcceptanceCostAC],
Table_SiteMilestoneTracking[SiteAccepted_AC],"&gt;="&amp;Table_SiteMilestoneTrackingSummary[[#This Row],[StartDate]:[StartDate]],
Table_SiteMilestoneTracking[SiteAccepted_AC],"&lt;"&amp;Table_SiteMilestoneTrackingSummary[[#This Row],[EndDate]:[EndDate]]+1)</f>
        <v>0</v>
      </c>
      <c r="CZ43" s="100">
        <f>CZ42+Table_SiteMilestoneTrackingSummary[[#This Row],[c8_AcceptanceCostAC]]</f>
        <v>5000</v>
      </c>
      <c r="DA43" s="96">
        <f>COUNTIFS(Table_SiteMilestoneTracking[SiteAccepted_BL],"&gt;="&amp;Table_SiteMilestoneTrackingSummary[[#This Row],[StartDate]:[StartDate]],
Table_SiteMilestoneTracking[SiteAccepted_BL],"&lt;"&amp;Table_SiteMilestoneTrackingSummary[[#This Row],[EndDate]:[EndDate]]+1)</f>
        <v>0</v>
      </c>
      <c r="DB43" s="100">
        <f>DB42+Table_SiteMilestoneTrackingSummary[[#This Row],[SiteAccepted_BL]]</f>
        <v>100</v>
      </c>
      <c r="DC43" s="96">
        <f>COUNTIFS(Table_SiteMilestoneTracking[SiteAccepted_AC],"&gt;="&amp;Table_SiteMilestoneTrackingSummary[[#This Row],[StartDate]:[StartDate]],
Table_SiteMilestoneTracking[SiteAccepted_AC],"&lt;"&amp;Table_SiteMilestoneTrackingSummary[[#This Row],[EndDate]:[EndDate]]+1)</f>
        <v>0</v>
      </c>
      <c r="DD43" s="100">
        <f>DD42+Table_SiteMilestoneTrackingSummary[[#This Row],[SiteAccepted_AC]]</f>
        <v>20</v>
      </c>
      <c r="DE43" s="100">
        <f>$DE$2*Table_SiteMilestoneTrackingSummary[[#This Row],[SiteInOperations_AC]]</f>
        <v>0</v>
      </c>
      <c r="DF43" s="100">
        <f>DF42+Table_SiteMilestoneTrackingSummary[[#This Row],[c9_HandoverEV]]</f>
        <v>2000</v>
      </c>
      <c r="DG43" s="96">
        <f>SUMIFS(Table_SiteMilestoneTracking[c9_HandoverCostBL],
Table_SiteMilestoneTracking[SiteInOperations_BL],"&gt;="&amp;Table_SiteMilestoneTrackingSummary[[#This Row],[StartDate]:[StartDate]],
Table_SiteMilestoneTracking[SiteInOperations_BL],"&lt;"&amp;Table_SiteMilestoneTrackingSummary[[#This Row],[EndDate]:[EndDate]]+1)</f>
        <v>0</v>
      </c>
      <c r="DH43" s="100">
        <f>DH42+Table_SiteMilestoneTrackingSummary[[#This Row],[c9_HandoverCostBL2]]</f>
        <v>20000</v>
      </c>
      <c r="DI43" s="96">
        <f>SUMIFS(Table_SiteMilestoneTracking[c9_HandoverCostAC],
Table_SiteMilestoneTracking[SiteInOperations_AC],"&gt;="&amp;Table_SiteMilestoneTrackingSummary[[#This Row],[StartDate]:[StartDate]],
Table_SiteMilestoneTracking[SiteInOperations_AC],"&lt;"&amp;Table_SiteMilestoneTrackingSummary[[#This Row],[EndDate]:[EndDate]]+1)</f>
        <v>0</v>
      </c>
      <c r="DJ43" s="100">
        <f>DJ42+Table_SiteMilestoneTrackingSummary[[#This Row],[c9_HandoverCostAC]]</f>
        <v>2000</v>
      </c>
      <c r="DK43" s="96">
        <f>COUNTIFS(Table_SiteMilestoneTracking[SiteInOperations_BL],"&gt;="&amp;Table_SiteMilestoneTrackingSummary[[#This Row],[StartDate]:[StartDate]],
Table_SiteMilestoneTracking[SiteInOperations_BL],"&lt;"&amp;Table_SiteMilestoneTrackingSummary[[#This Row],[EndDate]:[EndDate]]+1)</f>
        <v>0</v>
      </c>
      <c r="DL43" s="100">
        <f>DL42+Table_SiteMilestoneTrackingSummary[[#This Row],[SiteInOperations_BL]]</f>
        <v>100</v>
      </c>
      <c r="DM43" s="96">
        <f>COUNTIFS(Table_SiteMilestoneTracking[SiteInOperations_AC],"&gt;="&amp;Table_SiteMilestoneTrackingSummary[[#This Row],[StartDate]:[StartDate]],
Table_SiteMilestoneTracking[SiteInOperations_AC],"&lt;"&amp;Table_SiteMilestoneTrackingSummary[[#This Row],[EndDate]:[EndDate]]+1)</f>
        <v>0</v>
      </c>
      <c r="DN43" s="100">
        <f>DN42+Table_SiteMilestoneTrackingSummary[[#This Row],[SiteInOperations_AC]]</f>
        <v>10</v>
      </c>
      <c r="DO43" s="59">
        <f>Table_SiteMilestoneTrackingSummary[[#This Row],[c0_SiteDesignEV(SUM)]]+Table_SiteMilestoneTrackingSummary[[#This Row],[c1_SiteSurveyEV(SUM)]]+Table_SiteMilestoneTrackingSummary[[#This Row],[c2_SiteAcquisitionEV(SUM)]]+Table_SiteMilestoneTrackingSummary[[#This Row],[c2a_SiteCWReadinessEV(SUM)]]+Table_SiteMilestoneTrackingSummary[[#This Row],[c3_CivilWorksEV(SUM)]]+Table_SiteMilestoneTrackingSummary[[#This Row],[c4_PowerInstallEV(SUM)]]+Table_SiteMilestoneTrackingSummary[[#This Row],[c5_TxIntegrationEV(SUM)]]+Table_SiteMilestoneTrackingSummary[[#This Row],[c6_InstallationEV(SUM)]]+Table_SiteMilestoneTrackingSummary[[#This Row],[c7_IntegrationEV(SUM)]]+Table_SiteMilestoneTrackingSummary[[#This Row],[c8_AcceptanceEV(SUM)]]+Table_SiteMilestoneTrackingSummary[[#This Row],[c9_HandoverEV(SUM)]]</f>
        <v>429900</v>
      </c>
      <c r="DP43" s="59">
        <f>Table_SiteMilestoneTrackingSummary[[#This Row],[c0_SiteDesignCostBL(SUM)]]+Table_SiteMilestoneTrackingSummary[[#This Row],[c1_SiteSurveyCostBL(SUM)]]+Table_SiteMilestoneTrackingSummary[[#This Row],[c2_SiteAcquisitionCostBL(SUM)]]+Table_SiteMilestoneTrackingSummary[[#This Row],[c2a_SiteCWReadinessCostBL(SUM)]]+Table_SiteMilestoneTrackingSummary[[#This Row],[c3_CivilWorksCostBL(SUM)]]+Table_SiteMilestoneTrackingSummary[[#This Row],[c4_PowerInstallCostBL(SUM)]]+Table_SiteMilestoneTrackingSummary[[#This Row],[c5_TxIntegrationCostBL(SUM)]]+Table_SiteMilestoneTrackingSummary[[#This Row],[c6_InstallationCostBL(SUM)]]+Table_SiteMilestoneTrackingSummary[[#This Row],[c7_IntegrationCostBL(SUM)]]+Table_SiteMilestoneTrackingSummary[[#This Row],[c8_AcceptanceCostBL(SUM)]]+Table_SiteMilestoneTrackingSummary[[#This Row],[c9_HandoverCostBL(SUM)]]</f>
        <v>770000</v>
      </c>
      <c r="DQ43" s="59">
        <f>Table_SiteMilestoneTrackingSummary[[#This Row],[c0_SiteDesignCostAC(SUM)]]+Table_SiteMilestoneTrackingSummary[[#This Row],[c1_SiteSurveyCostAC(SUM)]]+Table_SiteMilestoneTrackingSummary[[#This Row],[c2_SiteAcquisitionCostAC(SUM)]]+Table_SiteMilestoneTrackingSummary[[#This Row],[c2a_SiteCWReadinessCostAC(SUM)]]+Table_SiteMilestoneTrackingSummary[[#This Row],[c3_CivilWorksCostAC(SUM)]]+Table_SiteMilestoneTrackingSummary[[#This Row],[c4_PowerInstallCostAC(SUM)]]+Table_SiteMilestoneTrackingSummary[[#This Row],[c5_TxIntegrationCostAC(SUM)]]+Table_SiteMilestoneTrackingSummary[[#This Row],[c6_InstallationCostAC(SUM)]]+Table_SiteMilestoneTrackingSummary[[#This Row],[c7_IntegrationCostAC(SUM)]]+Table_SiteMilestoneTrackingSummary[[#This Row],[c8_AcceptanceCostAC(SUM)]]+Table_SiteMilestoneTrackingSummary[[#This Row],[c9_HandoverCostAC(SUM)]]</f>
        <v>433825</v>
      </c>
      <c r="DR43" s="59">
        <f>Table_SiteMilestoneTrackingSummary[[#This Row],[AccumulatedEV]]-Table_SiteMilestoneTrackingSummary[[#This Row],[AccumulatedPV]]</f>
        <v>-340100</v>
      </c>
      <c r="DS43" s="59">
        <f>Table_SiteMilestoneTrackingSummary[[#This Row],[AccumulatedEV]]-Table_SiteMilestoneTrackingSummary[[#This Row],[AccumulatedAC]]</f>
        <v>-3925</v>
      </c>
      <c r="DT43" s="58">
        <f>IFERROR(Table_SiteMilestoneTrackingSummary[[#This Row],[AccumulatedEV]]/Table_SiteMilestoneTrackingSummary[[#This Row],[AccumulatedPV]],"/")</f>
        <v>0.55831168831168831</v>
      </c>
      <c r="DU43" s="101">
        <f>IFERROR(Table_SiteMilestoneTrackingSummary[[#This Row],[AccumulatedEV]]/Table_SiteMilestoneTrackingSummary[[#This Row],[AccumulatedAC]],"/")</f>
        <v>0.99095257304212525</v>
      </c>
    </row>
    <row r="44" spans="1:125" x14ac:dyDescent="0.3">
      <c r="DQ44" s="30" t="s">
        <v>441</v>
      </c>
      <c r="DT44" s="30" t="s">
        <v>442</v>
      </c>
    </row>
  </sheetData>
  <sheetProtection sheet="1" objects="1" scenarios="1"/>
  <phoneticPr fontId="8" type="noConversion"/>
  <pageMargins left="0.7" right="0.7" top="0.75" bottom="0.75" header="0.3" footer="0.3"/>
  <pageSetup orientation="portrait" r:id="rId1"/>
  <ignoredErrors>
    <ignoredError sqref="E5 F7" calculatedColumn="1"/>
  </ignoredErrors>
  <legacyDrawing r:id="rId2"/>
  <tableParts count="1">
    <tablePart r:id="rId3"/>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41892F-CCFC-48FE-8DD0-CFAE9A4FB4C5}">
  <dimension ref="A1:AF289"/>
  <sheetViews>
    <sheetView zoomScale="55" zoomScaleNormal="55" workbookViewId="0">
      <selection activeCell="AG3" sqref="AG3"/>
    </sheetView>
  </sheetViews>
  <sheetFormatPr defaultColWidth="8.88671875" defaultRowHeight="14.4" x14ac:dyDescent="0.3"/>
  <cols>
    <col min="1" max="1" width="3.33203125" customWidth="1"/>
    <col min="17" max="17" width="3.109375" customWidth="1"/>
  </cols>
  <sheetData>
    <row r="1" spans="1:32" ht="33" customHeight="1" x14ac:dyDescent="0.3">
      <c r="A1" s="16"/>
      <c r="B1" s="17" t="s">
        <v>219</v>
      </c>
      <c r="C1" s="18"/>
      <c r="D1" s="18"/>
      <c r="E1" s="18"/>
      <c r="F1" s="18"/>
      <c r="G1" s="18"/>
      <c r="H1" s="18"/>
      <c r="I1" s="18"/>
      <c r="J1" s="18"/>
      <c r="K1" s="18"/>
      <c r="L1" s="18"/>
      <c r="M1" s="18"/>
      <c r="N1" s="18"/>
      <c r="O1" s="18"/>
      <c r="P1" s="18"/>
      <c r="Q1" s="16"/>
      <c r="R1" s="18"/>
      <c r="S1" s="18"/>
      <c r="T1" s="18"/>
      <c r="U1" s="18"/>
      <c r="V1" s="18"/>
      <c r="W1" s="18"/>
      <c r="X1" s="18"/>
      <c r="Y1" s="18"/>
      <c r="Z1" s="18"/>
      <c r="AA1" s="18"/>
      <c r="AB1" s="18"/>
      <c r="AC1" s="18"/>
      <c r="AD1" s="18"/>
      <c r="AE1" s="18"/>
      <c r="AF1" s="19"/>
    </row>
    <row r="2" spans="1:32" x14ac:dyDescent="0.3">
      <c r="A2" s="7"/>
      <c r="B2" s="4"/>
      <c r="C2" s="4"/>
      <c r="D2" s="4"/>
      <c r="E2" s="4"/>
      <c r="F2" s="4"/>
      <c r="G2" s="4"/>
      <c r="H2" s="4"/>
      <c r="I2" s="4"/>
      <c r="J2" s="4"/>
      <c r="K2" s="4"/>
      <c r="L2" s="4"/>
      <c r="M2" s="4"/>
      <c r="N2" s="4"/>
      <c r="O2" s="4"/>
      <c r="P2" s="4"/>
      <c r="Q2" s="7"/>
      <c r="R2" s="4"/>
      <c r="S2" s="4"/>
      <c r="T2" s="4"/>
      <c r="U2" s="4"/>
      <c r="V2" s="4"/>
      <c r="W2" s="4"/>
      <c r="X2" s="4"/>
      <c r="Y2" s="4"/>
      <c r="Z2" s="4"/>
      <c r="AA2" s="4"/>
      <c r="AB2" s="4"/>
      <c r="AC2" s="4"/>
      <c r="AD2" s="4"/>
      <c r="AE2" s="4"/>
      <c r="AF2" s="2"/>
    </row>
    <row r="3" spans="1:32" ht="21" x14ac:dyDescent="0.4">
      <c r="A3" s="7"/>
      <c r="B3" s="20" t="s">
        <v>207</v>
      </c>
      <c r="C3" s="4"/>
      <c r="D3" s="4"/>
      <c r="E3" s="4"/>
      <c r="F3" s="4"/>
      <c r="G3" s="4"/>
      <c r="H3" s="4"/>
      <c r="I3" s="4"/>
      <c r="J3" s="4"/>
      <c r="K3" s="4"/>
      <c r="L3" s="4"/>
      <c r="M3" s="4"/>
      <c r="N3" s="4"/>
      <c r="O3" s="4"/>
      <c r="P3" s="4"/>
      <c r="Q3" s="7"/>
      <c r="R3" s="20" t="s">
        <v>218</v>
      </c>
      <c r="S3" s="4"/>
      <c r="T3" s="4"/>
      <c r="U3" s="4"/>
      <c r="V3" s="4"/>
      <c r="W3" s="4"/>
      <c r="X3" s="4"/>
      <c r="Y3" s="4"/>
      <c r="Z3" s="4"/>
      <c r="AA3" s="4"/>
      <c r="AB3" s="4"/>
      <c r="AC3" s="4"/>
      <c r="AD3" s="4"/>
      <c r="AE3" s="4"/>
      <c r="AF3" s="2"/>
    </row>
    <row r="4" spans="1:32" x14ac:dyDescent="0.3">
      <c r="A4" s="7"/>
      <c r="B4" s="4" t="s">
        <v>225</v>
      </c>
      <c r="C4" s="4"/>
      <c r="D4" s="4"/>
      <c r="E4" s="4"/>
      <c r="F4" s="4"/>
      <c r="G4" s="4"/>
      <c r="H4" s="4"/>
      <c r="I4" s="4"/>
      <c r="J4" s="4"/>
      <c r="K4" s="4"/>
      <c r="L4" s="4"/>
      <c r="M4" s="4"/>
      <c r="N4" s="4"/>
      <c r="O4" s="4"/>
      <c r="P4" s="4"/>
      <c r="Q4" s="7"/>
      <c r="R4" s="4" t="s">
        <v>225</v>
      </c>
      <c r="S4" s="4"/>
      <c r="T4" s="4"/>
      <c r="U4" s="4"/>
      <c r="V4" s="4"/>
      <c r="W4" s="4"/>
      <c r="X4" s="4"/>
      <c r="Y4" s="4"/>
      <c r="Z4" s="4"/>
      <c r="AA4" s="4"/>
      <c r="AB4" s="4"/>
      <c r="AC4" s="4"/>
      <c r="AD4" s="4"/>
      <c r="AE4" s="4"/>
      <c r="AF4" s="2"/>
    </row>
    <row r="5" spans="1:32" x14ac:dyDescent="0.3">
      <c r="A5" s="7"/>
      <c r="B5" s="4"/>
      <c r="C5" s="4"/>
      <c r="D5" s="4"/>
      <c r="E5" s="4"/>
      <c r="F5" s="4"/>
      <c r="G5" s="4"/>
      <c r="H5" s="4"/>
      <c r="I5" s="4"/>
      <c r="J5" s="4"/>
      <c r="K5" s="4"/>
      <c r="L5" s="4"/>
      <c r="M5" s="4"/>
      <c r="N5" s="4"/>
      <c r="O5" s="4"/>
      <c r="P5" s="4"/>
      <c r="Q5" s="7"/>
      <c r="R5" s="4"/>
      <c r="S5" s="4"/>
      <c r="T5" s="4"/>
      <c r="U5" s="4"/>
      <c r="V5" s="4"/>
      <c r="W5" s="4"/>
      <c r="X5" s="4"/>
      <c r="Y5" s="4"/>
      <c r="Z5" s="4"/>
      <c r="AA5" s="4"/>
      <c r="AB5" s="4"/>
      <c r="AC5" s="4"/>
      <c r="AD5" s="4"/>
      <c r="AE5" s="4"/>
      <c r="AF5" s="2"/>
    </row>
    <row r="6" spans="1:32" x14ac:dyDescent="0.3">
      <c r="A6" s="7"/>
      <c r="B6" s="4"/>
      <c r="C6" s="4"/>
      <c r="D6" s="4"/>
      <c r="E6" s="4"/>
      <c r="F6" s="4"/>
      <c r="G6" s="4"/>
      <c r="H6" s="4"/>
      <c r="I6" s="4"/>
      <c r="J6" s="4"/>
      <c r="K6" s="4"/>
      <c r="L6" s="4"/>
      <c r="M6" s="4"/>
      <c r="N6" s="4"/>
      <c r="O6" s="4"/>
      <c r="P6" s="4"/>
      <c r="Q6" s="7"/>
      <c r="R6" s="4"/>
      <c r="S6" s="4"/>
      <c r="T6" s="4"/>
      <c r="U6" s="4"/>
      <c r="V6" s="4"/>
      <c r="W6" s="4"/>
      <c r="X6" s="4"/>
      <c r="Y6" s="4"/>
      <c r="Z6" s="4"/>
      <c r="AA6" s="4"/>
      <c r="AB6" s="4"/>
      <c r="AC6" s="4"/>
      <c r="AD6" s="4"/>
      <c r="AE6" s="4"/>
      <c r="AF6" s="2"/>
    </row>
    <row r="7" spans="1:32" x14ac:dyDescent="0.3">
      <c r="A7" s="7"/>
      <c r="B7" s="4"/>
      <c r="C7" s="4"/>
      <c r="D7" s="4"/>
      <c r="E7" s="4"/>
      <c r="F7" s="4"/>
      <c r="G7" s="4"/>
      <c r="H7" s="4"/>
      <c r="I7" s="4"/>
      <c r="J7" s="4"/>
      <c r="K7" s="4"/>
      <c r="L7" s="4"/>
      <c r="M7" s="4"/>
      <c r="N7" s="4"/>
      <c r="O7" s="4"/>
      <c r="P7" s="4"/>
      <c r="Q7" s="7"/>
      <c r="R7" s="4"/>
      <c r="S7" s="4"/>
      <c r="T7" s="4"/>
      <c r="U7" s="4"/>
      <c r="V7" s="4"/>
      <c r="W7" s="4"/>
      <c r="X7" s="4"/>
      <c r="Y7" s="4"/>
      <c r="Z7" s="4"/>
      <c r="AA7" s="4"/>
      <c r="AB7" s="4"/>
      <c r="AC7" s="4"/>
      <c r="AD7" s="4"/>
      <c r="AE7" s="4"/>
      <c r="AF7" s="2"/>
    </row>
    <row r="8" spans="1:32" x14ac:dyDescent="0.3">
      <c r="A8" s="7"/>
      <c r="B8" s="4"/>
      <c r="C8" s="4"/>
      <c r="D8" s="4"/>
      <c r="E8" s="4"/>
      <c r="F8" s="4"/>
      <c r="G8" s="4"/>
      <c r="H8" s="4"/>
      <c r="I8" s="4"/>
      <c r="J8" s="4"/>
      <c r="K8" s="4"/>
      <c r="L8" s="4"/>
      <c r="M8" s="4"/>
      <c r="N8" s="4"/>
      <c r="O8" s="4"/>
      <c r="P8" s="4"/>
      <c r="Q8" s="7"/>
      <c r="R8" s="4"/>
      <c r="S8" s="4"/>
      <c r="T8" s="4"/>
      <c r="U8" s="4"/>
      <c r="V8" s="4"/>
      <c r="W8" s="4"/>
      <c r="X8" s="4"/>
      <c r="Y8" s="4"/>
      <c r="Z8" s="4"/>
      <c r="AA8" s="4"/>
      <c r="AB8" s="4"/>
      <c r="AC8" s="4"/>
      <c r="AD8" s="4"/>
      <c r="AE8" s="4"/>
      <c r="AF8" s="2"/>
    </row>
    <row r="9" spans="1:32" x14ac:dyDescent="0.3">
      <c r="A9" s="7"/>
      <c r="B9" s="4"/>
      <c r="C9" s="4"/>
      <c r="D9" s="4"/>
      <c r="E9" s="4"/>
      <c r="F9" s="4"/>
      <c r="G9" s="4"/>
      <c r="H9" s="4"/>
      <c r="I9" s="4"/>
      <c r="J9" s="4"/>
      <c r="K9" s="4"/>
      <c r="L9" s="4"/>
      <c r="M9" s="4"/>
      <c r="N9" s="4"/>
      <c r="O9" s="4"/>
      <c r="P9" s="4"/>
      <c r="Q9" s="7"/>
      <c r="R9" s="4"/>
      <c r="S9" s="4"/>
      <c r="T9" s="4"/>
      <c r="U9" s="4"/>
      <c r="V9" s="4"/>
      <c r="W9" s="4"/>
      <c r="X9" s="4"/>
      <c r="Y9" s="4"/>
      <c r="Z9" s="4"/>
      <c r="AA9" s="4"/>
      <c r="AB9" s="4"/>
      <c r="AC9" s="4"/>
      <c r="AD9" s="4"/>
      <c r="AE9" s="4"/>
      <c r="AF9" s="2"/>
    </row>
    <row r="10" spans="1:32" x14ac:dyDescent="0.3">
      <c r="A10" s="7"/>
      <c r="B10" s="4"/>
      <c r="C10" s="4"/>
      <c r="D10" s="4"/>
      <c r="E10" s="4"/>
      <c r="F10" s="4"/>
      <c r="G10" s="4"/>
      <c r="H10" s="4"/>
      <c r="I10" s="4"/>
      <c r="J10" s="4"/>
      <c r="K10" s="4"/>
      <c r="L10" s="4"/>
      <c r="M10" s="4"/>
      <c r="N10" s="4"/>
      <c r="O10" s="4"/>
      <c r="P10" s="4"/>
      <c r="Q10" s="7"/>
      <c r="R10" s="4"/>
      <c r="S10" s="4"/>
      <c r="T10" s="4"/>
      <c r="U10" s="4"/>
      <c r="V10" s="4"/>
      <c r="W10" s="4"/>
      <c r="X10" s="4"/>
      <c r="Y10" s="4"/>
      <c r="Z10" s="4"/>
      <c r="AA10" s="4"/>
      <c r="AB10" s="4"/>
      <c r="AC10" s="4"/>
      <c r="AD10" s="4"/>
      <c r="AE10" s="4"/>
      <c r="AF10" s="2"/>
    </row>
    <row r="11" spans="1:32" x14ac:dyDescent="0.3">
      <c r="A11" s="7"/>
      <c r="B11" s="4"/>
      <c r="C11" s="4"/>
      <c r="D11" s="4"/>
      <c r="E11" s="4"/>
      <c r="F11" s="4"/>
      <c r="G11" s="4"/>
      <c r="H11" s="4"/>
      <c r="I11" s="4"/>
      <c r="J11" s="4"/>
      <c r="K11" s="4"/>
      <c r="L11" s="4"/>
      <c r="M11" s="4"/>
      <c r="N11" s="4"/>
      <c r="O11" s="4"/>
      <c r="P11" s="4"/>
      <c r="Q11" s="7"/>
      <c r="R11" s="4"/>
      <c r="S11" s="4"/>
      <c r="T11" s="4"/>
      <c r="U11" s="4"/>
      <c r="V11" s="4"/>
      <c r="W11" s="4"/>
      <c r="X11" s="4"/>
      <c r="Y11" s="4"/>
      <c r="Z11" s="4"/>
      <c r="AA11" s="4"/>
      <c r="AB11" s="4"/>
      <c r="AC11" s="4"/>
      <c r="AD11" s="4"/>
      <c r="AE11" s="4"/>
      <c r="AF11" s="2"/>
    </row>
    <row r="12" spans="1:32" x14ac:dyDescent="0.3">
      <c r="A12" s="7"/>
      <c r="B12" s="4"/>
      <c r="C12" s="4"/>
      <c r="D12" s="4"/>
      <c r="E12" s="4"/>
      <c r="F12" s="4"/>
      <c r="G12" s="4"/>
      <c r="H12" s="4"/>
      <c r="I12" s="4"/>
      <c r="J12" s="4"/>
      <c r="K12" s="4"/>
      <c r="L12" s="4"/>
      <c r="M12" s="4"/>
      <c r="N12" s="4"/>
      <c r="O12" s="4"/>
      <c r="P12" s="4"/>
      <c r="Q12" s="7"/>
      <c r="R12" s="4"/>
      <c r="S12" s="4"/>
      <c r="T12" s="4"/>
      <c r="U12" s="4"/>
      <c r="V12" s="4"/>
      <c r="W12" s="4"/>
      <c r="X12" s="4"/>
      <c r="Y12" s="4"/>
      <c r="Z12" s="4"/>
      <c r="AA12" s="4"/>
      <c r="AB12" s="4"/>
      <c r="AC12" s="4"/>
      <c r="AD12" s="4"/>
      <c r="AE12" s="4"/>
      <c r="AF12" s="2"/>
    </row>
    <row r="13" spans="1:32" x14ac:dyDescent="0.3">
      <c r="A13" s="7"/>
      <c r="B13" s="4"/>
      <c r="C13" s="4"/>
      <c r="D13" s="4"/>
      <c r="E13" s="4"/>
      <c r="F13" s="4"/>
      <c r="G13" s="4"/>
      <c r="H13" s="4"/>
      <c r="I13" s="4"/>
      <c r="J13" s="4"/>
      <c r="K13" s="4"/>
      <c r="L13" s="4"/>
      <c r="M13" s="4"/>
      <c r="N13" s="4"/>
      <c r="O13" s="4"/>
      <c r="P13" s="4"/>
      <c r="Q13" s="7"/>
      <c r="R13" s="4"/>
      <c r="S13" s="4"/>
      <c r="T13" s="4"/>
      <c r="U13" s="4"/>
      <c r="V13" s="4"/>
      <c r="W13" s="4"/>
      <c r="X13" s="4"/>
      <c r="Y13" s="4"/>
      <c r="Z13" s="4"/>
      <c r="AA13" s="4"/>
      <c r="AB13" s="4"/>
      <c r="AC13" s="4"/>
      <c r="AD13" s="4"/>
      <c r="AE13" s="4"/>
      <c r="AF13" s="2"/>
    </row>
    <row r="14" spans="1:32" x14ac:dyDescent="0.3">
      <c r="A14" s="7"/>
      <c r="B14" s="4"/>
      <c r="C14" s="4"/>
      <c r="D14" s="4"/>
      <c r="E14" s="4"/>
      <c r="F14" s="4"/>
      <c r="G14" s="4"/>
      <c r="H14" s="4"/>
      <c r="I14" s="4"/>
      <c r="J14" s="4"/>
      <c r="K14" s="4"/>
      <c r="L14" s="4"/>
      <c r="M14" s="4"/>
      <c r="N14" s="4"/>
      <c r="O14" s="4"/>
      <c r="P14" s="4"/>
      <c r="Q14" s="7"/>
      <c r="R14" s="4"/>
      <c r="S14" s="4"/>
      <c r="T14" s="4"/>
      <c r="U14" s="4"/>
      <c r="V14" s="4"/>
      <c r="W14" s="4"/>
      <c r="X14" s="4"/>
      <c r="Y14" s="4"/>
      <c r="Z14" s="4"/>
      <c r="AA14" s="4"/>
      <c r="AB14" s="4"/>
      <c r="AC14" s="4"/>
      <c r="AD14" s="4"/>
      <c r="AE14" s="4"/>
      <c r="AF14" s="2"/>
    </row>
    <row r="15" spans="1:32" x14ac:dyDescent="0.3">
      <c r="A15" s="7"/>
      <c r="B15" s="4"/>
      <c r="C15" s="4"/>
      <c r="D15" s="4"/>
      <c r="E15" s="4"/>
      <c r="F15" s="4"/>
      <c r="G15" s="4"/>
      <c r="H15" s="4"/>
      <c r="I15" s="4"/>
      <c r="J15" s="4"/>
      <c r="K15" s="4"/>
      <c r="L15" s="4"/>
      <c r="M15" s="4"/>
      <c r="N15" s="4"/>
      <c r="O15" s="4"/>
      <c r="P15" s="4"/>
      <c r="Q15" s="7"/>
      <c r="R15" s="4"/>
      <c r="S15" s="4"/>
      <c r="T15" s="4"/>
      <c r="U15" s="4"/>
      <c r="V15" s="4"/>
      <c r="W15" s="4"/>
      <c r="X15" s="4"/>
      <c r="Y15" s="4"/>
      <c r="Z15" s="4"/>
      <c r="AA15" s="4"/>
      <c r="AB15" s="4"/>
      <c r="AC15" s="4"/>
      <c r="AD15" s="4"/>
      <c r="AE15" s="4"/>
      <c r="AF15" s="2"/>
    </row>
    <row r="16" spans="1:32" x14ac:dyDescent="0.3">
      <c r="A16" s="7"/>
      <c r="B16" s="4"/>
      <c r="C16" s="4"/>
      <c r="D16" s="4"/>
      <c r="E16" s="4"/>
      <c r="F16" s="4"/>
      <c r="G16" s="4"/>
      <c r="H16" s="4"/>
      <c r="I16" s="4"/>
      <c r="J16" s="4"/>
      <c r="K16" s="4"/>
      <c r="L16" s="4"/>
      <c r="M16" s="4"/>
      <c r="N16" s="4"/>
      <c r="O16" s="4"/>
      <c r="P16" s="4"/>
      <c r="Q16" s="7"/>
      <c r="R16" s="4"/>
      <c r="S16" s="4"/>
      <c r="T16" s="4"/>
      <c r="U16" s="4"/>
      <c r="V16" s="4"/>
      <c r="W16" s="4"/>
      <c r="X16" s="4"/>
      <c r="Y16" s="4"/>
      <c r="Z16" s="4"/>
      <c r="AA16" s="4"/>
      <c r="AB16" s="4"/>
      <c r="AC16" s="4"/>
      <c r="AD16" s="4"/>
      <c r="AE16" s="4"/>
      <c r="AF16" s="2"/>
    </row>
    <row r="17" spans="1:32" x14ac:dyDescent="0.3">
      <c r="A17" s="7"/>
      <c r="B17" s="4"/>
      <c r="C17" s="4"/>
      <c r="D17" s="4"/>
      <c r="E17" s="4"/>
      <c r="F17" s="4"/>
      <c r="G17" s="4"/>
      <c r="H17" s="4"/>
      <c r="I17" s="4"/>
      <c r="J17" s="4"/>
      <c r="K17" s="4"/>
      <c r="L17" s="4"/>
      <c r="M17" s="4"/>
      <c r="N17" s="4"/>
      <c r="O17" s="4"/>
      <c r="P17" s="4"/>
      <c r="Q17" s="7"/>
      <c r="R17" s="4"/>
      <c r="S17" s="4"/>
      <c r="T17" s="4"/>
      <c r="U17" s="4"/>
      <c r="V17" s="4"/>
      <c r="W17" s="4"/>
      <c r="X17" s="4"/>
      <c r="Y17" s="4"/>
      <c r="Z17" s="4"/>
      <c r="AA17" s="4"/>
      <c r="AB17" s="4"/>
      <c r="AC17" s="4"/>
      <c r="AD17" s="4"/>
      <c r="AE17" s="4"/>
      <c r="AF17" s="2"/>
    </row>
    <row r="18" spans="1:32" x14ac:dyDescent="0.3">
      <c r="A18" s="7"/>
      <c r="B18" s="4"/>
      <c r="C18" s="4"/>
      <c r="D18" s="4"/>
      <c r="E18" s="4"/>
      <c r="F18" s="4"/>
      <c r="G18" s="4"/>
      <c r="H18" s="4"/>
      <c r="I18" s="4"/>
      <c r="J18" s="4"/>
      <c r="K18" s="4"/>
      <c r="L18" s="4"/>
      <c r="M18" s="4"/>
      <c r="N18" s="4"/>
      <c r="O18" s="4"/>
      <c r="P18" s="4"/>
      <c r="Q18" s="7"/>
      <c r="R18" s="4"/>
      <c r="S18" s="4"/>
      <c r="T18" s="4"/>
      <c r="U18" s="4"/>
      <c r="V18" s="4"/>
      <c r="W18" s="4"/>
      <c r="X18" s="4"/>
      <c r="Y18" s="4"/>
      <c r="Z18" s="4"/>
      <c r="AA18" s="4"/>
      <c r="AB18" s="4"/>
      <c r="AC18" s="4"/>
      <c r="AD18" s="4"/>
      <c r="AE18" s="4"/>
      <c r="AF18" s="2"/>
    </row>
    <row r="19" spans="1:32" x14ac:dyDescent="0.3">
      <c r="A19" s="7"/>
      <c r="B19" s="4"/>
      <c r="C19" s="4"/>
      <c r="D19" s="4"/>
      <c r="E19" s="4"/>
      <c r="F19" s="4"/>
      <c r="G19" s="4"/>
      <c r="H19" s="4"/>
      <c r="I19" s="4"/>
      <c r="J19" s="4"/>
      <c r="K19" s="4"/>
      <c r="L19" s="4"/>
      <c r="M19" s="4"/>
      <c r="N19" s="4"/>
      <c r="O19" s="4"/>
      <c r="P19" s="4"/>
      <c r="Q19" s="7"/>
      <c r="R19" s="4"/>
      <c r="S19" s="4"/>
      <c r="T19" s="4"/>
      <c r="U19" s="4"/>
      <c r="V19" s="4"/>
      <c r="W19" s="4"/>
      <c r="X19" s="4"/>
      <c r="Y19" s="4"/>
      <c r="Z19" s="4"/>
      <c r="AA19" s="4"/>
      <c r="AB19" s="4"/>
      <c r="AC19" s="4"/>
      <c r="AD19" s="4"/>
      <c r="AE19" s="4"/>
      <c r="AF19" s="2"/>
    </row>
    <row r="20" spans="1:32" x14ac:dyDescent="0.3">
      <c r="A20" s="7"/>
      <c r="B20" s="4"/>
      <c r="C20" s="4"/>
      <c r="D20" s="4"/>
      <c r="E20" s="4"/>
      <c r="F20" s="4"/>
      <c r="G20" s="4"/>
      <c r="H20" s="4"/>
      <c r="I20" s="4"/>
      <c r="J20" s="4"/>
      <c r="K20" s="4"/>
      <c r="L20" s="4"/>
      <c r="M20" s="4"/>
      <c r="N20" s="4"/>
      <c r="O20" s="4"/>
      <c r="P20" s="4"/>
      <c r="Q20" s="7"/>
      <c r="R20" s="4"/>
      <c r="S20" s="4"/>
      <c r="T20" s="4"/>
      <c r="U20" s="4"/>
      <c r="V20" s="4"/>
      <c r="W20" s="4"/>
      <c r="X20" s="4"/>
      <c r="Y20" s="4"/>
      <c r="Z20" s="4"/>
      <c r="AA20" s="4"/>
      <c r="AB20" s="4"/>
      <c r="AC20" s="4"/>
      <c r="AD20" s="4"/>
      <c r="AE20" s="4"/>
      <c r="AF20" s="2"/>
    </row>
    <row r="21" spans="1:32" x14ac:dyDescent="0.3">
      <c r="A21" s="7"/>
      <c r="B21" s="4"/>
      <c r="C21" s="4"/>
      <c r="D21" s="4"/>
      <c r="E21" s="4"/>
      <c r="F21" s="4"/>
      <c r="G21" s="4"/>
      <c r="H21" s="4"/>
      <c r="I21" s="4"/>
      <c r="J21" s="4"/>
      <c r="K21" s="4"/>
      <c r="L21" s="4"/>
      <c r="M21" s="4"/>
      <c r="N21" s="4"/>
      <c r="O21" s="4"/>
      <c r="P21" s="4"/>
      <c r="Q21" s="7"/>
      <c r="R21" s="4"/>
      <c r="S21" s="4"/>
      <c r="T21" s="4"/>
      <c r="U21" s="4"/>
      <c r="V21" s="4"/>
      <c r="W21" s="4"/>
      <c r="X21" s="4"/>
      <c r="Y21" s="4"/>
      <c r="Z21" s="4"/>
      <c r="AA21" s="4"/>
      <c r="AB21" s="4"/>
      <c r="AC21" s="4"/>
      <c r="AD21" s="4"/>
      <c r="AE21" s="4"/>
      <c r="AF21" s="2"/>
    </row>
    <row r="22" spans="1:32" x14ac:dyDescent="0.3">
      <c r="A22" s="7"/>
      <c r="B22" s="4"/>
      <c r="C22" s="4"/>
      <c r="D22" s="4"/>
      <c r="E22" s="4"/>
      <c r="F22" s="4"/>
      <c r="G22" s="4"/>
      <c r="H22" s="4"/>
      <c r="I22" s="4"/>
      <c r="J22" s="4"/>
      <c r="K22" s="4"/>
      <c r="L22" s="4"/>
      <c r="M22" s="4"/>
      <c r="N22" s="4"/>
      <c r="O22" s="4"/>
      <c r="P22" s="4"/>
      <c r="Q22" s="7"/>
      <c r="R22" s="4"/>
      <c r="S22" s="4"/>
      <c r="T22" s="4"/>
      <c r="U22" s="4"/>
      <c r="V22" s="4"/>
      <c r="W22" s="4"/>
      <c r="X22" s="4"/>
      <c r="Y22" s="4"/>
      <c r="Z22" s="4"/>
      <c r="AA22" s="4"/>
      <c r="AB22" s="4"/>
      <c r="AC22" s="4"/>
      <c r="AD22" s="4"/>
      <c r="AE22" s="4"/>
      <c r="AF22" s="2"/>
    </row>
    <row r="23" spans="1:32" x14ac:dyDescent="0.3">
      <c r="A23" s="7"/>
      <c r="B23" s="4"/>
      <c r="C23" s="4"/>
      <c r="D23" s="4"/>
      <c r="E23" s="4"/>
      <c r="F23" s="4"/>
      <c r="G23" s="4"/>
      <c r="H23" s="4"/>
      <c r="I23" s="4"/>
      <c r="J23" s="4"/>
      <c r="K23" s="4"/>
      <c r="L23" s="4"/>
      <c r="M23" s="4"/>
      <c r="N23" s="4"/>
      <c r="O23" s="4"/>
      <c r="P23" s="4"/>
      <c r="Q23" s="7"/>
      <c r="R23" s="4"/>
      <c r="S23" s="4"/>
      <c r="T23" s="4"/>
      <c r="U23" s="4"/>
      <c r="V23" s="4"/>
      <c r="W23" s="4"/>
      <c r="X23" s="4"/>
      <c r="Y23" s="4"/>
      <c r="Z23" s="4"/>
      <c r="AA23" s="4"/>
      <c r="AB23" s="4"/>
      <c r="AC23" s="4"/>
      <c r="AD23" s="4"/>
      <c r="AE23" s="4"/>
      <c r="AF23" s="2"/>
    </row>
    <row r="24" spans="1:32" x14ac:dyDescent="0.3">
      <c r="A24" s="7"/>
      <c r="B24" s="4"/>
      <c r="C24" s="4"/>
      <c r="D24" s="4"/>
      <c r="E24" s="4"/>
      <c r="F24" s="4"/>
      <c r="G24" s="4"/>
      <c r="H24" s="4"/>
      <c r="I24" s="4"/>
      <c r="J24" s="4"/>
      <c r="K24" s="4"/>
      <c r="L24" s="4"/>
      <c r="M24" s="4"/>
      <c r="N24" s="4"/>
      <c r="O24" s="4"/>
      <c r="P24" s="4"/>
      <c r="Q24" s="7"/>
      <c r="R24" s="4"/>
      <c r="S24" s="4"/>
      <c r="T24" s="4"/>
      <c r="U24" s="4"/>
      <c r="V24" s="4"/>
      <c r="W24" s="4"/>
      <c r="X24" s="4"/>
      <c r="Y24" s="4"/>
      <c r="Z24" s="4"/>
      <c r="AA24" s="4"/>
      <c r="AB24" s="4"/>
      <c r="AC24" s="4"/>
      <c r="AD24" s="4"/>
      <c r="AE24" s="4"/>
      <c r="AF24" s="2"/>
    </row>
    <row r="25" spans="1:32" x14ac:dyDescent="0.3">
      <c r="A25" s="7"/>
      <c r="B25" s="4"/>
      <c r="C25" s="4"/>
      <c r="D25" s="4"/>
      <c r="E25" s="4"/>
      <c r="F25" s="4"/>
      <c r="G25" s="4"/>
      <c r="H25" s="4"/>
      <c r="I25" s="4"/>
      <c r="J25" s="4"/>
      <c r="K25" s="4"/>
      <c r="L25" s="4"/>
      <c r="M25" s="4"/>
      <c r="N25" s="4"/>
      <c r="O25" s="4"/>
      <c r="P25" s="4"/>
      <c r="Q25" s="7"/>
      <c r="R25" s="4"/>
      <c r="S25" s="4"/>
      <c r="T25" s="4"/>
      <c r="U25" s="4"/>
      <c r="V25" s="4"/>
      <c r="W25" s="4"/>
      <c r="X25" s="4"/>
      <c r="Y25" s="4"/>
      <c r="Z25" s="4"/>
      <c r="AA25" s="4"/>
      <c r="AB25" s="4"/>
      <c r="AC25" s="4"/>
      <c r="AD25" s="4"/>
      <c r="AE25" s="4"/>
      <c r="AF25" s="2"/>
    </row>
    <row r="26" spans="1:32" x14ac:dyDescent="0.3">
      <c r="A26" s="7"/>
      <c r="B26" s="4"/>
      <c r="C26" s="4"/>
      <c r="D26" s="4"/>
      <c r="E26" s="4"/>
      <c r="F26" s="4"/>
      <c r="G26" s="4"/>
      <c r="H26" s="4"/>
      <c r="I26" s="4"/>
      <c r="J26" s="4"/>
      <c r="K26" s="4"/>
      <c r="L26" s="4"/>
      <c r="M26" s="4"/>
      <c r="N26" s="4"/>
      <c r="O26" s="4"/>
      <c r="P26" s="4"/>
      <c r="Q26" s="7"/>
      <c r="R26" s="4"/>
      <c r="S26" s="4"/>
      <c r="T26" s="4"/>
      <c r="U26" s="4"/>
      <c r="V26" s="4"/>
      <c r="W26" s="4"/>
      <c r="X26" s="4"/>
      <c r="Y26" s="4"/>
      <c r="Z26" s="4"/>
      <c r="AA26" s="4"/>
      <c r="AB26" s="4"/>
      <c r="AC26" s="4"/>
      <c r="AD26" s="4"/>
      <c r="AE26" s="4"/>
      <c r="AF26" s="2"/>
    </row>
    <row r="27" spans="1:32" x14ac:dyDescent="0.3">
      <c r="A27" s="7"/>
      <c r="B27" s="4"/>
      <c r="C27" s="4"/>
      <c r="D27" s="4"/>
      <c r="E27" s="4"/>
      <c r="F27" s="4"/>
      <c r="G27" s="4"/>
      <c r="H27" s="4"/>
      <c r="I27" s="4"/>
      <c r="J27" s="4"/>
      <c r="K27" s="4"/>
      <c r="L27" s="4"/>
      <c r="M27" s="4"/>
      <c r="N27" s="4"/>
      <c r="O27" s="4"/>
      <c r="P27" s="4"/>
      <c r="Q27" s="7"/>
      <c r="R27" s="4"/>
      <c r="S27" s="4"/>
      <c r="T27" s="4"/>
      <c r="U27" s="4"/>
      <c r="V27" s="4"/>
      <c r="W27" s="4"/>
      <c r="X27" s="4"/>
      <c r="Y27" s="4"/>
      <c r="Z27" s="4"/>
      <c r="AA27" s="4"/>
      <c r="AB27" s="4"/>
      <c r="AC27" s="4"/>
      <c r="AD27" s="4"/>
      <c r="AE27" s="4"/>
      <c r="AF27" s="2"/>
    </row>
    <row r="28" spans="1:32" x14ac:dyDescent="0.3">
      <c r="A28" s="7"/>
      <c r="B28" s="4"/>
      <c r="C28" s="4"/>
      <c r="D28" s="4"/>
      <c r="E28" s="4"/>
      <c r="F28" s="4"/>
      <c r="G28" s="4"/>
      <c r="H28" s="4"/>
      <c r="I28" s="4"/>
      <c r="J28" s="4"/>
      <c r="K28" s="4"/>
      <c r="L28" s="4"/>
      <c r="M28" s="4"/>
      <c r="N28" s="4"/>
      <c r="O28" s="4"/>
      <c r="P28" s="4"/>
      <c r="Q28" s="7"/>
      <c r="R28" s="4"/>
      <c r="S28" s="4"/>
      <c r="T28" s="4"/>
      <c r="U28" s="4"/>
      <c r="V28" s="4"/>
      <c r="W28" s="4"/>
      <c r="X28" s="4"/>
      <c r="Y28" s="4"/>
      <c r="Z28" s="4"/>
      <c r="AA28" s="4"/>
      <c r="AB28" s="4"/>
      <c r="AC28" s="4"/>
      <c r="AD28" s="4"/>
      <c r="AE28" s="4"/>
      <c r="AF28" s="2"/>
    </row>
    <row r="29" spans="1:32" ht="21" x14ac:dyDescent="0.4">
      <c r="A29" s="7"/>
      <c r="B29" s="20" t="s">
        <v>351</v>
      </c>
      <c r="C29" s="4"/>
      <c r="D29" s="4"/>
      <c r="E29" s="4"/>
      <c r="F29" s="4"/>
      <c r="G29" s="4"/>
      <c r="H29" s="4"/>
      <c r="I29" s="4"/>
      <c r="J29" s="4"/>
      <c r="K29" s="4"/>
      <c r="L29" s="4"/>
      <c r="M29" s="4"/>
      <c r="N29" s="4"/>
      <c r="O29" s="4"/>
      <c r="P29" s="4"/>
      <c r="Q29" s="7"/>
      <c r="R29" s="20"/>
      <c r="S29" s="4"/>
      <c r="T29" s="4"/>
      <c r="U29" s="4"/>
      <c r="V29" s="4"/>
      <c r="W29" s="4"/>
      <c r="X29" s="4"/>
      <c r="Y29" s="4"/>
      <c r="Z29" s="4"/>
      <c r="AA29" s="4"/>
      <c r="AB29" s="4"/>
      <c r="AC29" s="4"/>
      <c r="AD29" s="4"/>
      <c r="AE29" s="4"/>
      <c r="AF29" s="2"/>
    </row>
    <row r="30" spans="1:32" x14ac:dyDescent="0.3">
      <c r="A30" s="7"/>
      <c r="B30" s="4" t="s">
        <v>209</v>
      </c>
      <c r="C30" s="4"/>
      <c r="D30" s="4"/>
      <c r="E30" s="4"/>
      <c r="F30" s="4"/>
      <c r="G30" s="4"/>
      <c r="H30" s="4"/>
      <c r="I30" s="4"/>
      <c r="J30" s="4"/>
      <c r="K30" s="4"/>
      <c r="L30" s="4"/>
      <c r="M30" s="4"/>
      <c r="N30" s="4"/>
      <c r="O30" s="4"/>
      <c r="P30" s="4"/>
      <c r="Q30" s="7"/>
      <c r="R30" s="4"/>
      <c r="S30" s="4"/>
      <c r="T30" s="4"/>
      <c r="U30" s="4"/>
      <c r="V30" s="4"/>
      <c r="W30" s="4"/>
      <c r="X30" s="4"/>
      <c r="Y30" s="4"/>
      <c r="Z30" s="4"/>
      <c r="AA30" s="4"/>
      <c r="AB30" s="4"/>
      <c r="AC30" s="4"/>
      <c r="AD30" s="4"/>
      <c r="AE30" s="4"/>
      <c r="AF30" s="2"/>
    </row>
    <row r="31" spans="1:32" x14ac:dyDescent="0.3">
      <c r="A31" s="7"/>
      <c r="B31" s="4"/>
      <c r="C31" s="4"/>
      <c r="D31" s="4"/>
      <c r="E31" s="4"/>
      <c r="F31" s="4"/>
      <c r="G31" s="4"/>
      <c r="H31" s="4"/>
      <c r="I31" s="4"/>
      <c r="J31" s="4"/>
      <c r="K31" s="4"/>
      <c r="L31" s="4"/>
      <c r="M31" s="4"/>
      <c r="N31" s="4"/>
      <c r="O31" s="4"/>
      <c r="P31" s="4"/>
      <c r="Q31" s="7"/>
      <c r="R31" s="32"/>
      <c r="S31" s="4"/>
      <c r="T31" s="4"/>
      <c r="U31" s="4"/>
      <c r="V31" s="4"/>
      <c r="W31" s="4"/>
      <c r="X31" s="4"/>
      <c r="Y31" s="4"/>
      <c r="Z31" s="4"/>
      <c r="AA31" s="4"/>
      <c r="AB31" s="4"/>
      <c r="AC31" s="4"/>
      <c r="AD31" s="4"/>
      <c r="AE31" s="4"/>
      <c r="AF31" s="2"/>
    </row>
    <row r="32" spans="1:32" x14ac:dyDescent="0.3">
      <c r="A32" s="7"/>
      <c r="B32" s="4"/>
      <c r="C32" s="4"/>
      <c r="D32" s="4"/>
      <c r="E32" s="4"/>
      <c r="F32" s="4"/>
      <c r="G32" s="4"/>
      <c r="H32" s="4"/>
      <c r="I32" s="4"/>
      <c r="J32" s="4"/>
      <c r="K32" s="4"/>
      <c r="L32" s="4"/>
      <c r="M32" s="4"/>
      <c r="N32" s="4"/>
      <c r="O32" s="4"/>
      <c r="P32" s="4"/>
      <c r="Q32" s="7"/>
      <c r="R32" s="33"/>
      <c r="S32" s="4"/>
      <c r="T32" s="4"/>
      <c r="U32" s="4"/>
      <c r="V32" s="4"/>
      <c r="W32" s="4"/>
      <c r="X32" s="4"/>
      <c r="Y32" s="4"/>
      <c r="Z32" s="4"/>
      <c r="AA32" s="4"/>
      <c r="AB32" s="4"/>
      <c r="AC32" s="4"/>
      <c r="AD32" s="4"/>
      <c r="AE32" s="4"/>
      <c r="AF32" s="2"/>
    </row>
    <row r="33" spans="1:32" x14ac:dyDescent="0.3">
      <c r="A33" s="7"/>
      <c r="B33" s="4"/>
      <c r="C33" s="4"/>
      <c r="D33" s="4"/>
      <c r="E33" s="4"/>
      <c r="F33" s="4"/>
      <c r="G33" s="4"/>
      <c r="H33" s="4"/>
      <c r="I33" s="4"/>
      <c r="J33" s="4"/>
      <c r="K33" s="4"/>
      <c r="L33" s="4"/>
      <c r="M33" s="4"/>
      <c r="N33" s="4"/>
      <c r="O33" s="4"/>
      <c r="P33" s="4"/>
      <c r="Q33" s="7"/>
      <c r="R33" s="4"/>
      <c r="S33" s="4"/>
      <c r="T33" s="4"/>
      <c r="U33" s="4"/>
      <c r="V33" s="4"/>
      <c r="W33" s="4"/>
      <c r="X33" s="4"/>
      <c r="Y33" s="4"/>
      <c r="Z33" s="4"/>
      <c r="AA33" s="4"/>
      <c r="AB33" s="4"/>
      <c r="AC33" s="4"/>
      <c r="AD33" s="4"/>
      <c r="AE33" s="4"/>
      <c r="AF33" s="2"/>
    </row>
    <row r="34" spans="1:32" x14ac:dyDescent="0.3">
      <c r="A34" s="7"/>
      <c r="B34" s="4"/>
      <c r="C34" s="4"/>
      <c r="D34" s="4"/>
      <c r="E34" s="4"/>
      <c r="F34" s="4"/>
      <c r="G34" s="4"/>
      <c r="H34" s="4"/>
      <c r="I34" s="4"/>
      <c r="J34" s="4"/>
      <c r="K34" s="4"/>
      <c r="L34" s="4"/>
      <c r="M34" s="4"/>
      <c r="N34" s="4"/>
      <c r="O34" s="4"/>
      <c r="P34" s="4"/>
      <c r="Q34" s="7"/>
      <c r="R34" s="4"/>
      <c r="S34" s="4"/>
      <c r="T34" s="4"/>
      <c r="U34" s="4"/>
      <c r="V34" s="4"/>
      <c r="W34" s="4"/>
      <c r="X34" s="4"/>
      <c r="Y34" s="4"/>
      <c r="Z34" s="4"/>
      <c r="AA34" s="4"/>
      <c r="AB34" s="4"/>
      <c r="AC34" s="4"/>
      <c r="AD34" s="4"/>
      <c r="AE34" s="4"/>
      <c r="AF34" s="2"/>
    </row>
    <row r="35" spans="1:32" x14ac:dyDescent="0.3">
      <c r="A35" s="7"/>
      <c r="B35" s="4"/>
      <c r="C35" s="4"/>
      <c r="D35" s="4"/>
      <c r="E35" s="4"/>
      <c r="F35" s="4"/>
      <c r="G35" s="4"/>
      <c r="H35" s="4"/>
      <c r="I35" s="4"/>
      <c r="J35" s="4"/>
      <c r="K35" s="4"/>
      <c r="L35" s="4"/>
      <c r="M35" s="4"/>
      <c r="N35" s="4"/>
      <c r="O35" s="4"/>
      <c r="P35" s="4"/>
      <c r="Q35" s="7"/>
      <c r="R35" s="4"/>
      <c r="S35" s="4"/>
      <c r="T35" s="4"/>
      <c r="U35" s="4"/>
      <c r="V35" s="4"/>
      <c r="W35" s="4"/>
      <c r="X35" s="4"/>
      <c r="Y35" s="4"/>
      <c r="Z35" s="4"/>
      <c r="AA35" s="4"/>
      <c r="AB35" s="4"/>
      <c r="AC35" s="4"/>
      <c r="AD35" s="4"/>
      <c r="AE35" s="4"/>
      <c r="AF35" s="2"/>
    </row>
    <row r="36" spans="1:32" x14ac:dyDescent="0.3">
      <c r="A36" s="7"/>
      <c r="B36" s="4"/>
      <c r="C36" s="4"/>
      <c r="D36" s="4"/>
      <c r="E36" s="4"/>
      <c r="F36" s="4"/>
      <c r="G36" s="4"/>
      <c r="H36" s="4"/>
      <c r="I36" s="4"/>
      <c r="J36" s="4"/>
      <c r="K36" s="4"/>
      <c r="L36" s="4"/>
      <c r="M36" s="4"/>
      <c r="N36" s="4"/>
      <c r="O36" s="4"/>
      <c r="P36" s="4"/>
      <c r="Q36" s="7"/>
      <c r="R36" s="4"/>
      <c r="S36" s="4"/>
      <c r="T36" s="4"/>
      <c r="U36" s="4"/>
      <c r="V36" s="4"/>
      <c r="W36" s="4"/>
      <c r="X36" s="4"/>
      <c r="Y36" s="4"/>
      <c r="Z36" s="4"/>
      <c r="AA36" s="4"/>
      <c r="AB36" s="4"/>
      <c r="AC36" s="4"/>
      <c r="AD36" s="4"/>
      <c r="AE36" s="4"/>
      <c r="AF36" s="2"/>
    </row>
    <row r="37" spans="1:32" x14ac:dyDescent="0.3">
      <c r="A37" s="7"/>
      <c r="B37" s="4"/>
      <c r="C37" s="4"/>
      <c r="D37" s="4"/>
      <c r="E37" s="4"/>
      <c r="F37" s="4"/>
      <c r="G37" s="4"/>
      <c r="H37" s="4"/>
      <c r="I37" s="4"/>
      <c r="J37" s="4"/>
      <c r="K37" s="4"/>
      <c r="L37" s="4"/>
      <c r="M37" s="4"/>
      <c r="N37" s="4"/>
      <c r="O37" s="4"/>
      <c r="P37" s="4"/>
      <c r="Q37" s="7"/>
      <c r="R37" s="4"/>
      <c r="S37" s="4"/>
      <c r="T37" s="4"/>
      <c r="U37" s="4"/>
      <c r="V37" s="4"/>
      <c r="W37" s="4"/>
      <c r="X37" s="4"/>
      <c r="Y37" s="4"/>
      <c r="Z37" s="4"/>
      <c r="AA37" s="4"/>
      <c r="AB37" s="4"/>
      <c r="AC37" s="4"/>
      <c r="AD37" s="4"/>
      <c r="AE37" s="4"/>
      <c r="AF37" s="2"/>
    </row>
    <row r="38" spans="1:32" x14ac:dyDescent="0.3">
      <c r="A38" s="7"/>
      <c r="B38" s="4"/>
      <c r="C38" s="4"/>
      <c r="D38" s="4"/>
      <c r="E38" s="4"/>
      <c r="F38" s="4"/>
      <c r="G38" s="4"/>
      <c r="H38" s="4"/>
      <c r="I38" s="4"/>
      <c r="J38" s="4"/>
      <c r="K38" s="4"/>
      <c r="L38" s="4"/>
      <c r="M38" s="4"/>
      <c r="N38" s="4"/>
      <c r="O38" s="4"/>
      <c r="P38" s="4"/>
      <c r="Q38" s="7"/>
      <c r="R38" s="4"/>
      <c r="S38" s="4"/>
      <c r="T38" s="4"/>
      <c r="U38" s="4"/>
      <c r="V38" s="4"/>
      <c r="W38" s="4"/>
      <c r="X38" s="4"/>
      <c r="Y38" s="4"/>
      <c r="Z38" s="4"/>
      <c r="AA38" s="4"/>
      <c r="AB38" s="4"/>
      <c r="AC38" s="4"/>
      <c r="AD38" s="4"/>
      <c r="AE38" s="4"/>
      <c r="AF38" s="2"/>
    </row>
    <row r="39" spans="1:32" x14ac:dyDescent="0.3">
      <c r="A39" s="7"/>
      <c r="B39" s="4"/>
      <c r="C39" s="4"/>
      <c r="D39" s="4"/>
      <c r="E39" s="4"/>
      <c r="F39" s="4"/>
      <c r="G39" s="4"/>
      <c r="H39" s="4"/>
      <c r="I39" s="4"/>
      <c r="J39" s="4"/>
      <c r="K39" s="4"/>
      <c r="L39" s="4"/>
      <c r="M39" s="4"/>
      <c r="N39" s="4"/>
      <c r="O39" s="4"/>
      <c r="P39" s="4"/>
      <c r="Q39" s="7"/>
      <c r="R39" s="4"/>
      <c r="S39" s="4"/>
      <c r="T39" s="4"/>
      <c r="U39" s="4"/>
      <c r="V39" s="4"/>
      <c r="W39" s="4"/>
      <c r="X39" s="4"/>
      <c r="Y39" s="4"/>
      <c r="Z39" s="4"/>
      <c r="AA39" s="4"/>
      <c r="AB39" s="4"/>
      <c r="AC39" s="4"/>
      <c r="AD39" s="4"/>
      <c r="AE39" s="4"/>
      <c r="AF39" s="2"/>
    </row>
    <row r="40" spans="1:32" x14ac:dyDescent="0.3">
      <c r="A40" s="7"/>
      <c r="B40" s="4"/>
      <c r="C40" s="4"/>
      <c r="D40" s="4"/>
      <c r="E40" s="4"/>
      <c r="F40" s="4"/>
      <c r="G40" s="4"/>
      <c r="H40" s="4"/>
      <c r="I40" s="4"/>
      <c r="J40" s="4"/>
      <c r="K40" s="4"/>
      <c r="L40" s="4"/>
      <c r="M40" s="4"/>
      <c r="N40" s="4"/>
      <c r="O40" s="4"/>
      <c r="P40" s="4"/>
      <c r="Q40" s="7"/>
      <c r="R40" s="4"/>
      <c r="S40" s="4"/>
      <c r="T40" s="4"/>
      <c r="U40" s="4"/>
      <c r="V40" s="4"/>
      <c r="W40" s="4"/>
      <c r="X40" s="4"/>
      <c r="Y40" s="4"/>
      <c r="Z40" s="4"/>
      <c r="AA40" s="4"/>
      <c r="AB40" s="4"/>
      <c r="AC40" s="4"/>
      <c r="AD40" s="4"/>
      <c r="AE40" s="4"/>
      <c r="AF40" s="2"/>
    </row>
    <row r="41" spans="1:32" x14ac:dyDescent="0.3">
      <c r="A41" s="7"/>
      <c r="B41" s="4"/>
      <c r="C41" s="4"/>
      <c r="D41" s="4"/>
      <c r="E41" s="4"/>
      <c r="F41" s="4"/>
      <c r="G41" s="4"/>
      <c r="H41" s="4"/>
      <c r="I41" s="4"/>
      <c r="J41" s="4"/>
      <c r="K41" s="4"/>
      <c r="L41" s="4"/>
      <c r="M41" s="4"/>
      <c r="N41" s="4"/>
      <c r="O41" s="4"/>
      <c r="P41" s="4"/>
      <c r="Q41" s="7"/>
      <c r="R41" s="4"/>
      <c r="S41" s="4"/>
      <c r="T41" s="4"/>
      <c r="U41" s="4"/>
      <c r="V41" s="4"/>
      <c r="W41" s="4"/>
      <c r="X41" s="4"/>
      <c r="Y41" s="4"/>
      <c r="Z41" s="4"/>
      <c r="AA41" s="4"/>
      <c r="AB41" s="4"/>
      <c r="AC41" s="4"/>
      <c r="AD41" s="4"/>
      <c r="AE41" s="4"/>
      <c r="AF41" s="2"/>
    </row>
    <row r="42" spans="1:32" x14ac:dyDescent="0.3">
      <c r="A42" s="7"/>
      <c r="B42" s="4"/>
      <c r="C42" s="4"/>
      <c r="D42" s="4"/>
      <c r="E42" s="4"/>
      <c r="F42" s="4"/>
      <c r="G42" s="4"/>
      <c r="H42" s="4"/>
      <c r="I42" s="4"/>
      <c r="J42" s="4"/>
      <c r="K42" s="4"/>
      <c r="L42" s="4"/>
      <c r="M42" s="4"/>
      <c r="N42" s="4"/>
      <c r="O42" s="4"/>
      <c r="P42" s="4"/>
      <c r="Q42" s="7"/>
      <c r="R42" s="4"/>
      <c r="S42" s="4"/>
      <c r="T42" s="4"/>
      <c r="U42" s="4"/>
      <c r="V42" s="4"/>
      <c r="W42" s="4"/>
      <c r="X42" s="4"/>
      <c r="Y42" s="4"/>
      <c r="Z42" s="4"/>
      <c r="AA42" s="4"/>
      <c r="AB42" s="4"/>
      <c r="AC42" s="4"/>
      <c r="AD42" s="4"/>
      <c r="AE42" s="4"/>
      <c r="AF42" s="2"/>
    </row>
    <row r="43" spans="1:32" x14ac:dyDescent="0.3">
      <c r="A43" s="7"/>
      <c r="B43" s="4"/>
      <c r="C43" s="4"/>
      <c r="D43" s="4"/>
      <c r="E43" s="4"/>
      <c r="F43" s="4"/>
      <c r="G43" s="4"/>
      <c r="H43" s="4"/>
      <c r="I43" s="4"/>
      <c r="J43" s="4"/>
      <c r="K43" s="4"/>
      <c r="L43" s="4"/>
      <c r="M43" s="4"/>
      <c r="N43" s="4"/>
      <c r="O43" s="4"/>
      <c r="P43" s="4"/>
      <c r="Q43" s="7"/>
      <c r="R43" s="4"/>
      <c r="S43" s="4"/>
      <c r="T43" s="4"/>
      <c r="U43" s="4"/>
      <c r="V43" s="4"/>
      <c r="W43" s="4"/>
      <c r="X43" s="4"/>
      <c r="Y43" s="4"/>
      <c r="Z43" s="4"/>
      <c r="AA43" s="4"/>
      <c r="AB43" s="4"/>
      <c r="AC43" s="4"/>
      <c r="AD43" s="4"/>
      <c r="AE43" s="4"/>
      <c r="AF43" s="2"/>
    </row>
    <row r="44" spans="1:32" x14ac:dyDescent="0.3">
      <c r="A44" s="7"/>
      <c r="B44" s="4"/>
      <c r="C44" s="4"/>
      <c r="D44" s="4"/>
      <c r="E44" s="4"/>
      <c r="F44" s="4"/>
      <c r="G44" s="4"/>
      <c r="H44" s="4"/>
      <c r="I44" s="4"/>
      <c r="J44" s="4"/>
      <c r="K44" s="4"/>
      <c r="L44" s="4"/>
      <c r="M44" s="4"/>
      <c r="N44" s="4"/>
      <c r="O44" s="4"/>
      <c r="P44" s="4"/>
      <c r="Q44" s="7"/>
      <c r="R44" s="4"/>
      <c r="S44" s="4"/>
      <c r="T44" s="4"/>
      <c r="U44" s="4"/>
      <c r="V44" s="4"/>
      <c r="W44" s="4"/>
      <c r="X44" s="4"/>
      <c r="Y44" s="4"/>
      <c r="Z44" s="4"/>
      <c r="AA44" s="4"/>
      <c r="AB44" s="4"/>
      <c r="AC44" s="4"/>
      <c r="AD44" s="4"/>
      <c r="AE44" s="4"/>
      <c r="AF44" s="2"/>
    </row>
    <row r="45" spans="1:32" x14ac:dyDescent="0.3">
      <c r="A45" s="7"/>
      <c r="B45" s="4"/>
      <c r="C45" s="4"/>
      <c r="D45" s="4"/>
      <c r="E45" s="4"/>
      <c r="F45" s="4"/>
      <c r="G45" s="4"/>
      <c r="H45" s="4"/>
      <c r="I45" s="4"/>
      <c r="J45" s="4"/>
      <c r="K45" s="4"/>
      <c r="L45" s="4"/>
      <c r="M45" s="4"/>
      <c r="N45" s="4"/>
      <c r="O45" s="4"/>
      <c r="P45" s="4"/>
      <c r="Q45" s="7"/>
      <c r="R45" s="4"/>
      <c r="S45" s="4"/>
      <c r="T45" s="4"/>
      <c r="U45" s="4"/>
      <c r="V45" s="4"/>
      <c r="W45" s="4"/>
      <c r="X45" s="4"/>
      <c r="Y45" s="4"/>
      <c r="Z45" s="4"/>
      <c r="AA45" s="4"/>
      <c r="AB45" s="4"/>
      <c r="AC45" s="4"/>
      <c r="AD45" s="4"/>
      <c r="AE45" s="4"/>
      <c r="AF45" s="2"/>
    </row>
    <row r="46" spans="1:32" x14ac:dyDescent="0.3">
      <c r="A46" s="7"/>
      <c r="B46" s="4"/>
      <c r="C46" s="4"/>
      <c r="D46" s="4"/>
      <c r="E46" s="4"/>
      <c r="F46" s="4"/>
      <c r="G46" s="4"/>
      <c r="H46" s="4"/>
      <c r="I46" s="4"/>
      <c r="J46" s="4"/>
      <c r="K46" s="4"/>
      <c r="L46" s="4"/>
      <c r="M46" s="4"/>
      <c r="N46" s="4"/>
      <c r="O46" s="4"/>
      <c r="P46" s="4"/>
      <c r="Q46" s="7"/>
      <c r="R46" s="4"/>
      <c r="S46" s="4"/>
      <c r="T46" s="4"/>
      <c r="U46" s="4"/>
      <c r="V46" s="4"/>
      <c r="W46" s="4"/>
      <c r="X46" s="4"/>
      <c r="Y46" s="4"/>
      <c r="Z46" s="4"/>
      <c r="AA46" s="4"/>
      <c r="AB46" s="4"/>
      <c r="AC46" s="4"/>
      <c r="AD46" s="4"/>
      <c r="AE46" s="4"/>
      <c r="AF46" s="2"/>
    </row>
    <row r="47" spans="1:32" x14ac:dyDescent="0.3">
      <c r="A47" s="7"/>
      <c r="B47" s="4"/>
      <c r="C47" s="4"/>
      <c r="D47" s="4"/>
      <c r="E47" s="4"/>
      <c r="F47" s="4"/>
      <c r="G47" s="4"/>
      <c r="H47" s="4"/>
      <c r="I47" s="4"/>
      <c r="J47" s="4"/>
      <c r="K47" s="4"/>
      <c r="L47" s="4"/>
      <c r="M47" s="4"/>
      <c r="N47" s="4"/>
      <c r="O47" s="4"/>
      <c r="P47" s="4"/>
      <c r="Q47" s="7"/>
      <c r="R47" s="4"/>
      <c r="S47" s="4"/>
      <c r="T47" s="4"/>
      <c r="U47" s="4"/>
      <c r="V47" s="4"/>
      <c r="W47" s="4"/>
      <c r="X47" s="4"/>
      <c r="Y47" s="4"/>
      <c r="Z47" s="4"/>
      <c r="AA47" s="4"/>
      <c r="AB47" s="4"/>
      <c r="AC47" s="4"/>
      <c r="AD47" s="4"/>
      <c r="AE47" s="4"/>
      <c r="AF47" s="2"/>
    </row>
    <row r="48" spans="1:32" x14ac:dyDescent="0.3">
      <c r="A48" s="7"/>
      <c r="B48" s="4"/>
      <c r="C48" s="4"/>
      <c r="D48" s="4"/>
      <c r="E48" s="4"/>
      <c r="F48" s="4"/>
      <c r="G48" s="4"/>
      <c r="H48" s="4"/>
      <c r="I48" s="4"/>
      <c r="J48" s="4"/>
      <c r="K48" s="4"/>
      <c r="L48" s="4"/>
      <c r="M48" s="4"/>
      <c r="N48" s="4"/>
      <c r="O48" s="4"/>
      <c r="P48" s="4"/>
      <c r="Q48" s="7"/>
      <c r="R48" s="4"/>
      <c r="S48" s="4"/>
      <c r="T48" s="4"/>
      <c r="U48" s="4"/>
      <c r="V48" s="4"/>
      <c r="W48" s="4"/>
      <c r="X48" s="4"/>
      <c r="Y48" s="4"/>
      <c r="Z48" s="4"/>
      <c r="AA48" s="4"/>
      <c r="AB48" s="4"/>
      <c r="AC48" s="4"/>
      <c r="AD48" s="4"/>
      <c r="AE48" s="4"/>
      <c r="AF48" s="2"/>
    </row>
    <row r="49" spans="1:32" x14ac:dyDescent="0.3">
      <c r="A49" s="7"/>
      <c r="B49" s="4"/>
      <c r="C49" s="4"/>
      <c r="D49" s="4"/>
      <c r="E49" s="4"/>
      <c r="F49" s="4"/>
      <c r="G49" s="4"/>
      <c r="H49" s="4"/>
      <c r="I49" s="4"/>
      <c r="J49" s="4"/>
      <c r="K49" s="4"/>
      <c r="L49" s="4"/>
      <c r="M49" s="4"/>
      <c r="N49" s="4"/>
      <c r="O49" s="4"/>
      <c r="P49" s="4"/>
      <c r="Q49" s="7"/>
      <c r="R49" s="4"/>
      <c r="S49" s="4"/>
      <c r="T49" s="4"/>
      <c r="U49" s="4"/>
      <c r="V49" s="4"/>
      <c r="W49" s="4"/>
      <c r="X49" s="4"/>
      <c r="Y49" s="4"/>
      <c r="Z49" s="4"/>
      <c r="AA49" s="4"/>
      <c r="AB49" s="4"/>
      <c r="AC49" s="4"/>
      <c r="AD49" s="4"/>
      <c r="AE49" s="4"/>
      <c r="AF49" s="2"/>
    </row>
    <row r="50" spans="1:32" x14ac:dyDescent="0.3">
      <c r="A50" s="7"/>
      <c r="B50" s="4"/>
      <c r="C50" s="4"/>
      <c r="D50" s="4"/>
      <c r="E50" s="4"/>
      <c r="F50" s="4"/>
      <c r="G50" s="4"/>
      <c r="H50" s="4"/>
      <c r="I50" s="4"/>
      <c r="J50" s="4"/>
      <c r="K50" s="4"/>
      <c r="L50" s="4"/>
      <c r="M50" s="4"/>
      <c r="N50" s="4"/>
      <c r="O50" s="4"/>
      <c r="P50" s="4"/>
      <c r="Q50" s="7"/>
      <c r="R50" s="4"/>
      <c r="S50" s="4"/>
      <c r="T50" s="4"/>
      <c r="U50" s="4"/>
      <c r="V50" s="4"/>
      <c r="W50" s="4"/>
      <c r="X50" s="4"/>
      <c r="Y50" s="4"/>
      <c r="Z50" s="4"/>
      <c r="AA50" s="4"/>
      <c r="AB50" s="4"/>
      <c r="AC50" s="4"/>
      <c r="AD50" s="4"/>
      <c r="AE50" s="4"/>
      <c r="AF50" s="2"/>
    </row>
    <row r="51" spans="1:32" x14ac:dyDescent="0.3">
      <c r="A51" s="7"/>
      <c r="B51" s="4"/>
      <c r="C51" s="4"/>
      <c r="D51" s="4"/>
      <c r="E51" s="4"/>
      <c r="F51" s="4"/>
      <c r="G51" s="4"/>
      <c r="H51" s="4"/>
      <c r="I51" s="4"/>
      <c r="J51" s="4"/>
      <c r="K51" s="4"/>
      <c r="L51" s="4"/>
      <c r="M51" s="4"/>
      <c r="N51" s="4"/>
      <c r="O51" s="4"/>
      <c r="P51" s="4"/>
      <c r="Q51" s="7"/>
      <c r="R51" s="4"/>
      <c r="S51" s="4"/>
      <c r="T51" s="4"/>
      <c r="U51" s="4"/>
      <c r="V51" s="4"/>
      <c r="W51" s="4"/>
      <c r="X51" s="4"/>
      <c r="Y51" s="4"/>
      <c r="Z51" s="4"/>
      <c r="AA51" s="4"/>
      <c r="AB51" s="4"/>
      <c r="AC51" s="4"/>
      <c r="AD51" s="4"/>
      <c r="AE51" s="4"/>
      <c r="AF51" s="2"/>
    </row>
    <row r="52" spans="1:32" x14ac:dyDescent="0.3">
      <c r="A52" s="7"/>
      <c r="B52" s="4"/>
      <c r="C52" s="4"/>
      <c r="D52" s="4"/>
      <c r="E52" s="4"/>
      <c r="F52" s="4"/>
      <c r="G52" s="4"/>
      <c r="H52" s="4"/>
      <c r="I52" s="4"/>
      <c r="J52" s="4"/>
      <c r="K52" s="4"/>
      <c r="L52" s="4"/>
      <c r="M52" s="4"/>
      <c r="N52" s="4"/>
      <c r="O52" s="4"/>
      <c r="P52" s="4"/>
      <c r="Q52" s="7"/>
      <c r="R52" s="4"/>
      <c r="S52" s="4"/>
      <c r="T52" s="4"/>
      <c r="U52" s="4"/>
      <c r="V52" s="4"/>
      <c r="W52" s="4"/>
      <c r="X52" s="4"/>
      <c r="Y52" s="4"/>
      <c r="Z52" s="4"/>
      <c r="AA52" s="4"/>
      <c r="AB52" s="4"/>
      <c r="AC52" s="4"/>
      <c r="AD52" s="4"/>
      <c r="AE52" s="4"/>
      <c r="AF52" s="2"/>
    </row>
    <row r="53" spans="1:32" x14ac:dyDescent="0.3">
      <c r="A53" s="7"/>
      <c r="B53" s="4"/>
      <c r="C53" s="4"/>
      <c r="D53" s="4"/>
      <c r="E53" s="4"/>
      <c r="F53" s="4"/>
      <c r="G53" s="4"/>
      <c r="H53" s="4"/>
      <c r="I53" s="4"/>
      <c r="J53" s="4"/>
      <c r="K53" s="4"/>
      <c r="L53" s="4"/>
      <c r="M53" s="4"/>
      <c r="N53" s="4"/>
      <c r="O53" s="4"/>
      <c r="P53" s="4"/>
      <c r="Q53" s="7"/>
      <c r="R53" s="4"/>
      <c r="S53" s="4"/>
      <c r="T53" s="4"/>
      <c r="U53" s="4"/>
      <c r="V53" s="4"/>
      <c r="W53" s="4"/>
      <c r="X53" s="4"/>
      <c r="Y53" s="4"/>
      <c r="Z53" s="4"/>
      <c r="AA53" s="4"/>
      <c r="AB53" s="4"/>
      <c r="AC53" s="4"/>
      <c r="AD53" s="4"/>
      <c r="AE53" s="4"/>
      <c r="AF53" s="2"/>
    </row>
    <row r="54" spans="1:32" x14ac:dyDescent="0.3">
      <c r="A54" s="7"/>
      <c r="B54" s="4"/>
      <c r="C54" s="4"/>
      <c r="D54" s="4"/>
      <c r="E54" s="4"/>
      <c r="F54" s="4"/>
      <c r="G54" s="4"/>
      <c r="H54" s="4"/>
      <c r="I54" s="4"/>
      <c r="J54" s="4"/>
      <c r="K54" s="4"/>
      <c r="L54" s="4"/>
      <c r="M54" s="4"/>
      <c r="N54" s="4"/>
      <c r="O54" s="4"/>
      <c r="P54" s="4"/>
      <c r="Q54" s="7"/>
      <c r="R54" s="4"/>
      <c r="S54" s="4"/>
      <c r="T54" s="4"/>
      <c r="U54" s="4"/>
      <c r="V54" s="4"/>
      <c r="W54" s="4"/>
      <c r="X54" s="4"/>
      <c r="Y54" s="4"/>
      <c r="Z54" s="4"/>
      <c r="AA54" s="4"/>
      <c r="AB54" s="4"/>
      <c r="AC54" s="4"/>
      <c r="AD54" s="4"/>
      <c r="AE54" s="4"/>
      <c r="AF54" s="2"/>
    </row>
    <row r="55" spans="1:32" ht="21" x14ac:dyDescent="0.4">
      <c r="A55" s="7"/>
      <c r="B55" s="20" t="s">
        <v>208</v>
      </c>
      <c r="C55" s="4"/>
      <c r="D55" s="4"/>
      <c r="E55" s="4"/>
      <c r="F55" s="4"/>
      <c r="G55" s="4"/>
      <c r="H55" s="4"/>
      <c r="I55" s="4"/>
      <c r="J55" s="4"/>
      <c r="K55" s="4"/>
      <c r="L55" s="4"/>
      <c r="M55" s="4"/>
      <c r="N55" s="4"/>
      <c r="O55" s="4"/>
      <c r="P55" s="4"/>
      <c r="Q55" s="7"/>
      <c r="R55" s="4"/>
      <c r="S55" s="4"/>
      <c r="T55" s="4"/>
      <c r="U55" s="4"/>
      <c r="V55" s="4"/>
      <c r="W55" s="4"/>
      <c r="X55" s="4"/>
      <c r="Y55" s="4"/>
      <c r="Z55" s="4"/>
      <c r="AA55" s="4"/>
      <c r="AB55" s="4"/>
      <c r="AC55" s="4"/>
      <c r="AD55" s="4"/>
      <c r="AE55" s="4"/>
      <c r="AF55" s="2"/>
    </row>
    <row r="56" spans="1:32" ht="15" thickBot="1" x14ac:dyDescent="0.35">
      <c r="A56" s="7"/>
      <c r="B56" s="4" t="s">
        <v>209</v>
      </c>
      <c r="C56" s="4"/>
      <c r="D56" s="4"/>
      <c r="E56" s="4"/>
      <c r="F56" s="4"/>
      <c r="G56" s="4"/>
      <c r="H56" s="4"/>
      <c r="I56" s="4"/>
      <c r="J56" s="4"/>
      <c r="K56" s="4"/>
      <c r="L56" s="4"/>
      <c r="M56" s="4"/>
      <c r="N56" s="4"/>
      <c r="O56" s="4"/>
      <c r="P56" s="4"/>
      <c r="Q56" s="8"/>
      <c r="R56" s="9"/>
      <c r="S56" s="9"/>
      <c r="T56" s="9"/>
      <c r="U56" s="9"/>
      <c r="V56" s="9"/>
      <c r="W56" s="9"/>
      <c r="X56" s="9"/>
      <c r="Y56" s="9"/>
      <c r="Z56" s="9"/>
      <c r="AA56" s="9"/>
      <c r="AB56" s="9"/>
      <c r="AC56" s="9"/>
      <c r="AD56" s="9"/>
      <c r="AE56" s="9"/>
      <c r="AF56" s="10"/>
    </row>
    <row r="57" spans="1:32" x14ac:dyDescent="0.3">
      <c r="A57" s="7"/>
      <c r="B57" s="4"/>
      <c r="C57" s="4"/>
      <c r="D57" s="4"/>
      <c r="E57" s="4"/>
      <c r="F57" s="4"/>
      <c r="G57" s="4"/>
      <c r="H57" s="4"/>
      <c r="I57" s="4"/>
      <c r="J57" s="4"/>
      <c r="K57" s="4"/>
      <c r="L57" s="4"/>
      <c r="M57" s="4"/>
      <c r="N57" s="4"/>
      <c r="O57" s="4"/>
      <c r="P57" s="2"/>
    </row>
    <row r="58" spans="1:32" x14ac:dyDescent="0.3">
      <c r="A58" s="7"/>
      <c r="B58" s="4"/>
      <c r="C58" s="4"/>
      <c r="D58" s="4"/>
      <c r="E58" s="4"/>
      <c r="F58" s="4"/>
      <c r="G58" s="4"/>
      <c r="H58" s="4"/>
      <c r="I58" s="4"/>
      <c r="J58" s="4"/>
      <c r="K58" s="4"/>
      <c r="L58" s="4"/>
      <c r="M58" s="4"/>
      <c r="N58" s="4"/>
      <c r="O58" s="4"/>
      <c r="P58" s="2"/>
    </row>
    <row r="59" spans="1:32" x14ac:dyDescent="0.3">
      <c r="A59" s="7"/>
      <c r="B59" s="4"/>
      <c r="C59" s="4"/>
      <c r="D59" s="4"/>
      <c r="E59" s="4"/>
      <c r="F59" s="4"/>
      <c r="G59" s="4"/>
      <c r="H59" s="4"/>
      <c r="I59" s="4"/>
      <c r="J59" s="4"/>
      <c r="K59" s="4"/>
      <c r="L59" s="4"/>
      <c r="M59" s="4"/>
      <c r="N59" s="4"/>
      <c r="O59" s="4"/>
      <c r="P59" s="2"/>
    </row>
    <row r="60" spans="1:32" x14ac:dyDescent="0.3">
      <c r="A60" s="7"/>
      <c r="B60" s="4"/>
      <c r="C60" s="4"/>
      <c r="D60" s="4"/>
      <c r="E60" s="4"/>
      <c r="F60" s="4"/>
      <c r="G60" s="4"/>
      <c r="H60" s="4"/>
      <c r="I60" s="4"/>
      <c r="J60" s="4"/>
      <c r="K60" s="4"/>
      <c r="L60" s="4"/>
      <c r="M60" s="4"/>
      <c r="N60" s="4"/>
      <c r="O60" s="4"/>
      <c r="P60" s="2"/>
    </row>
    <row r="61" spans="1:32" x14ac:dyDescent="0.3">
      <c r="A61" s="7"/>
      <c r="B61" s="4"/>
      <c r="C61" s="4"/>
      <c r="D61" s="4"/>
      <c r="E61" s="4"/>
      <c r="F61" s="4"/>
      <c r="G61" s="4"/>
      <c r="H61" s="4"/>
      <c r="I61" s="4"/>
      <c r="J61" s="4"/>
      <c r="K61" s="4"/>
      <c r="L61" s="4"/>
      <c r="M61" s="4"/>
      <c r="N61" s="4"/>
      <c r="O61" s="4"/>
      <c r="P61" s="2"/>
    </row>
    <row r="62" spans="1:32" x14ac:dyDescent="0.3">
      <c r="A62" s="7"/>
      <c r="B62" s="4"/>
      <c r="C62" s="4"/>
      <c r="D62" s="4"/>
      <c r="E62" s="4"/>
      <c r="F62" s="4"/>
      <c r="G62" s="4"/>
      <c r="H62" s="4"/>
      <c r="I62" s="4"/>
      <c r="J62" s="4"/>
      <c r="K62" s="4"/>
      <c r="L62" s="4"/>
      <c r="M62" s="4"/>
      <c r="N62" s="4"/>
      <c r="O62" s="4"/>
      <c r="P62" s="2"/>
    </row>
    <row r="63" spans="1:32" x14ac:dyDescent="0.3">
      <c r="A63" s="7"/>
      <c r="B63" s="4"/>
      <c r="C63" s="4"/>
      <c r="D63" s="4"/>
      <c r="E63" s="4"/>
      <c r="F63" s="4"/>
      <c r="G63" s="4"/>
      <c r="H63" s="4"/>
      <c r="I63" s="4"/>
      <c r="J63" s="4"/>
      <c r="K63" s="4"/>
      <c r="L63" s="4"/>
      <c r="M63" s="4"/>
      <c r="N63" s="4"/>
      <c r="O63" s="4"/>
      <c r="P63" s="2"/>
    </row>
    <row r="64" spans="1:32" x14ac:dyDescent="0.3">
      <c r="A64" s="7"/>
      <c r="B64" s="4"/>
      <c r="C64" s="4"/>
      <c r="D64" s="4"/>
      <c r="E64" s="4"/>
      <c r="F64" s="4"/>
      <c r="G64" s="4"/>
      <c r="H64" s="4"/>
      <c r="I64" s="4"/>
      <c r="J64" s="4"/>
      <c r="K64" s="4"/>
      <c r="L64" s="4"/>
      <c r="M64" s="4"/>
      <c r="N64" s="4"/>
      <c r="O64" s="4"/>
      <c r="P64" s="2"/>
    </row>
    <row r="65" spans="1:16" x14ac:dyDescent="0.3">
      <c r="A65" s="7"/>
      <c r="B65" s="4"/>
      <c r="C65" s="4"/>
      <c r="D65" s="4"/>
      <c r="E65" s="4"/>
      <c r="F65" s="4"/>
      <c r="G65" s="4"/>
      <c r="H65" s="4"/>
      <c r="I65" s="4"/>
      <c r="J65" s="4"/>
      <c r="K65" s="4"/>
      <c r="L65" s="4"/>
      <c r="M65" s="4"/>
      <c r="N65" s="4"/>
      <c r="O65" s="4"/>
      <c r="P65" s="2"/>
    </row>
    <row r="66" spans="1:16" x14ac:dyDescent="0.3">
      <c r="A66" s="7"/>
      <c r="B66" s="4"/>
      <c r="C66" s="4"/>
      <c r="D66" s="4"/>
      <c r="E66" s="4"/>
      <c r="F66" s="4"/>
      <c r="G66" s="4"/>
      <c r="H66" s="4"/>
      <c r="I66" s="4"/>
      <c r="J66" s="4"/>
      <c r="K66" s="4"/>
      <c r="L66" s="4"/>
      <c r="M66" s="4"/>
      <c r="N66" s="4"/>
      <c r="O66" s="4"/>
      <c r="P66" s="2"/>
    </row>
    <row r="67" spans="1:16" x14ac:dyDescent="0.3">
      <c r="A67" s="7"/>
      <c r="B67" s="4"/>
      <c r="C67" s="4"/>
      <c r="D67" s="4"/>
      <c r="E67" s="4"/>
      <c r="F67" s="4"/>
      <c r="G67" s="4"/>
      <c r="H67" s="4"/>
      <c r="I67" s="4"/>
      <c r="J67" s="4"/>
      <c r="K67" s="4"/>
      <c r="L67" s="4"/>
      <c r="M67" s="4"/>
      <c r="N67" s="4"/>
      <c r="O67" s="4"/>
      <c r="P67" s="2"/>
    </row>
    <row r="68" spans="1:16" x14ac:dyDescent="0.3">
      <c r="A68" s="7"/>
      <c r="B68" s="4"/>
      <c r="C68" s="4"/>
      <c r="D68" s="4"/>
      <c r="E68" s="4"/>
      <c r="F68" s="4"/>
      <c r="G68" s="4"/>
      <c r="H68" s="4"/>
      <c r="I68" s="4"/>
      <c r="J68" s="4"/>
      <c r="K68" s="4"/>
      <c r="L68" s="4"/>
      <c r="M68" s="4"/>
      <c r="N68" s="4"/>
      <c r="O68" s="4"/>
      <c r="P68" s="2"/>
    </row>
    <row r="69" spans="1:16" x14ac:dyDescent="0.3">
      <c r="A69" s="7"/>
      <c r="B69" s="4"/>
      <c r="C69" s="4"/>
      <c r="D69" s="4"/>
      <c r="E69" s="4"/>
      <c r="F69" s="4"/>
      <c r="G69" s="4"/>
      <c r="H69" s="4"/>
      <c r="I69" s="4"/>
      <c r="J69" s="4"/>
      <c r="K69" s="4"/>
      <c r="L69" s="4"/>
      <c r="M69" s="4"/>
      <c r="N69" s="4"/>
      <c r="O69" s="4"/>
      <c r="P69" s="2"/>
    </row>
    <row r="70" spans="1:16" x14ac:dyDescent="0.3">
      <c r="A70" s="7"/>
      <c r="B70" s="4"/>
      <c r="C70" s="4"/>
      <c r="D70" s="4"/>
      <c r="E70" s="4"/>
      <c r="F70" s="4"/>
      <c r="G70" s="4"/>
      <c r="H70" s="4"/>
      <c r="I70" s="4"/>
      <c r="J70" s="4"/>
      <c r="K70" s="4"/>
      <c r="L70" s="4"/>
      <c r="M70" s="4"/>
      <c r="N70" s="4"/>
      <c r="O70" s="4"/>
      <c r="P70" s="2"/>
    </row>
    <row r="71" spans="1:16" x14ac:dyDescent="0.3">
      <c r="A71" s="7"/>
      <c r="B71" s="4"/>
      <c r="C71" s="4"/>
      <c r="D71" s="4"/>
      <c r="E71" s="4"/>
      <c r="F71" s="4"/>
      <c r="G71" s="4"/>
      <c r="H71" s="4"/>
      <c r="I71" s="4"/>
      <c r="J71" s="4"/>
      <c r="K71" s="4"/>
      <c r="L71" s="4"/>
      <c r="M71" s="4"/>
      <c r="N71" s="4"/>
      <c r="O71" s="4"/>
      <c r="P71" s="2"/>
    </row>
    <row r="72" spans="1:16" x14ac:dyDescent="0.3">
      <c r="A72" s="7"/>
      <c r="B72" s="4"/>
      <c r="C72" s="4"/>
      <c r="D72" s="4"/>
      <c r="E72" s="4"/>
      <c r="F72" s="4"/>
      <c r="G72" s="4"/>
      <c r="H72" s="4"/>
      <c r="I72" s="4"/>
      <c r="J72" s="4"/>
      <c r="K72" s="4"/>
      <c r="L72" s="4"/>
      <c r="M72" s="4"/>
      <c r="N72" s="4"/>
      <c r="O72" s="4"/>
      <c r="P72" s="2"/>
    </row>
    <row r="73" spans="1:16" x14ac:dyDescent="0.3">
      <c r="A73" s="7"/>
      <c r="B73" s="4"/>
      <c r="C73" s="4"/>
      <c r="D73" s="4"/>
      <c r="E73" s="4"/>
      <c r="F73" s="4"/>
      <c r="G73" s="4"/>
      <c r="H73" s="4"/>
      <c r="I73" s="4"/>
      <c r="J73" s="4"/>
      <c r="K73" s="4"/>
      <c r="L73" s="4"/>
      <c r="M73" s="4"/>
      <c r="N73" s="4"/>
      <c r="O73" s="4"/>
      <c r="P73" s="2"/>
    </row>
    <row r="74" spans="1:16" x14ac:dyDescent="0.3">
      <c r="A74" s="7"/>
      <c r="B74" s="4"/>
      <c r="C74" s="4"/>
      <c r="D74" s="4"/>
      <c r="E74" s="4"/>
      <c r="F74" s="4"/>
      <c r="G74" s="4"/>
      <c r="H74" s="4"/>
      <c r="I74" s="4"/>
      <c r="J74" s="4"/>
      <c r="K74" s="4"/>
      <c r="L74" s="4"/>
      <c r="M74" s="4"/>
      <c r="N74" s="4"/>
      <c r="O74" s="4"/>
      <c r="P74" s="2"/>
    </row>
    <row r="75" spans="1:16" x14ac:dyDescent="0.3">
      <c r="A75" s="7"/>
      <c r="B75" s="4"/>
      <c r="C75" s="4"/>
      <c r="D75" s="4"/>
      <c r="E75" s="4"/>
      <c r="F75" s="4"/>
      <c r="G75" s="4"/>
      <c r="H75" s="4"/>
      <c r="I75" s="4"/>
      <c r="J75" s="4"/>
      <c r="K75" s="4"/>
      <c r="L75" s="4"/>
      <c r="M75" s="4"/>
      <c r="N75" s="4"/>
      <c r="O75" s="4"/>
      <c r="P75" s="2"/>
    </row>
    <row r="76" spans="1:16" x14ac:dyDescent="0.3">
      <c r="A76" s="7"/>
      <c r="B76" s="4"/>
      <c r="C76" s="4"/>
      <c r="D76" s="4"/>
      <c r="E76" s="4"/>
      <c r="F76" s="4"/>
      <c r="G76" s="4"/>
      <c r="H76" s="4"/>
      <c r="I76" s="4"/>
      <c r="J76" s="4"/>
      <c r="K76" s="4"/>
      <c r="L76" s="4"/>
      <c r="M76" s="4"/>
      <c r="N76" s="4"/>
      <c r="O76" s="4"/>
      <c r="P76" s="2"/>
    </row>
    <row r="77" spans="1:16" x14ac:dyDescent="0.3">
      <c r="A77" s="7"/>
      <c r="B77" s="4"/>
      <c r="C77" s="4"/>
      <c r="D77" s="4"/>
      <c r="E77" s="4"/>
      <c r="F77" s="4"/>
      <c r="G77" s="4"/>
      <c r="H77" s="4"/>
      <c r="I77" s="4"/>
      <c r="J77" s="4"/>
      <c r="K77" s="4"/>
      <c r="L77" s="4"/>
      <c r="M77" s="4"/>
      <c r="N77" s="4"/>
      <c r="O77" s="4"/>
      <c r="P77" s="2"/>
    </row>
    <row r="78" spans="1:16" x14ac:dyDescent="0.3">
      <c r="A78" s="7"/>
      <c r="B78" s="4"/>
      <c r="C78" s="4"/>
      <c r="D78" s="4"/>
      <c r="E78" s="4"/>
      <c r="F78" s="4"/>
      <c r="G78" s="4"/>
      <c r="H78" s="4"/>
      <c r="I78" s="4"/>
      <c r="J78" s="4"/>
      <c r="K78" s="4"/>
      <c r="L78" s="4"/>
      <c r="M78" s="4"/>
      <c r="N78" s="4"/>
      <c r="O78" s="4"/>
      <c r="P78" s="2"/>
    </row>
    <row r="79" spans="1:16" x14ac:dyDescent="0.3">
      <c r="A79" s="7"/>
      <c r="B79" s="4"/>
      <c r="C79" s="4"/>
      <c r="D79" s="4"/>
      <c r="E79" s="4"/>
      <c r="F79" s="4"/>
      <c r="G79" s="4"/>
      <c r="H79" s="4"/>
      <c r="I79" s="4"/>
      <c r="J79" s="4"/>
      <c r="K79" s="4"/>
      <c r="L79" s="4"/>
      <c r="M79" s="4"/>
      <c r="N79" s="4"/>
      <c r="O79" s="4"/>
      <c r="P79" s="2"/>
    </row>
    <row r="80" spans="1:16" x14ac:dyDescent="0.3">
      <c r="A80" s="7"/>
      <c r="B80" s="4"/>
      <c r="C80" s="4"/>
      <c r="D80" s="4"/>
      <c r="E80" s="4"/>
      <c r="F80" s="4"/>
      <c r="G80" s="4"/>
      <c r="H80" s="4"/>
      <c r="I80" s="4"/>
      <c r="J80" s="4"/>
      <c r="K80" s="4"/>
      <c r="L80" s="4"/>
      <c r="M80" s="4"/>
      <c r="N80" s="4"/>
      <c r="O80" s="4"/>
      <c r="P80" s="2"/>
    </row>
    <row r="81" spans="1:28" ht="21" x14ac:dyDescent="0.4">
      <c r="A81" s="7"/>
      <c r="B81" s="20" t="s">
        <v>210</v>
      </c>
      <c r="C81" s="4"/>
      <c r="D81" s="4"/>
      <c r="E81" s="4"/>
      <c r="F81" s="4"/>
      <c r="G81" s="4"/>
      <c r="H81" s="4"/>
      <c r="I81" s="4"/>
      <c r="J81" s="4"/>
      <c r="K81" s="4"/>
      <c r="L81" s="4"/>
      <c r="M81" s="4"/>
      <c r="N81" s="4"/>
      <c r="O81" s="4"/>
      <c r="P81" s="2"/>
    </row>
    <row r="82" spans="1:28" x14ac:dyDescent="0.3">
      <c r="A82" s="7"/>
      <c r="B82" s="4" t="s">
        <v>209</v>
      </c>
      <c r="C82" s="4"/>
      <c r="D82" s="4"/>
      <c r="E82" s="4"/>
      <c r="F82" s="4"/>
      <c r="G82" s="4"/>
      <c r="H82" s="4"/>
      <c r="I82" s="4"/>
      <c r="J82" s="4"/>
      <c r="K82" s="4"/>
      <c r="L82" s="4"/>
      <c r="M82" s="4"/>
      <c r="N82" s="4"/>
      <c r="O82" s="4"/>
      <c r="P82" s="2"/>
    </row>
    <row r="83" spans="1:28" x14ac:dyDescent="0.3">
      <c r="A83" s="7"/>
      <c r="B83" s="4"/>
      <c r="C83" s="4"/>
      <c r="D83" s="4"/>
      <c r="E83" s="4"/>
      <c r="F83" s="4"/>
      <c r="G83" s="4"/>
      <c r="H83" s="4"/>
      <c r="I83" s="4"/>
      <c r="J83" s="4"/>
      <c r="K83" s="4"/>
      <c r="L83" s="4"/>
      <c r="M83" s="4"/>
      <c r="N83" s="4"/>
      <c r="O83" s="4"/>
      <c r="P83" s="2"/>
    </row>
    <row r="84" spans="1:28" x14ac:dyDescent="0.3">
      <c r="A84" s="7"/>
      <c r="B84" s="4"/>
      <c r="C84" s="4"/>
      <c r="D84" s="4"/>
      <c r="E84" s="4"/>
      <c r="F84" s="4"/>
      <c r="G84" s="4"/>
      <c r="H84" s="4"/>
      <c r="I84" s="4"/>
      <c r="J84" s="4"/>
      <c r="K84" s="4"/>
      <c r="L84" s="4"/>
      <c r="M84" s="4"/>
      <c r="N84" s="4"/>
      <c r="O84" s="4"/>
      <c r="P84" s="2"/>
      <c r="AB84" s="1"/>
    </row>
    <row r="85" spans="1:28" x14ac:dyDescent="0.3">
      <c r="A85" s="7"/>
      <c r="B85" s="4"/>
      <c r="C85" s="4"/>
      <c r="D85" s="4"/>
      <c r="E85" s="4"/>
      <c r="F85" s="4"/>
      <c r="G85" s="4"/>
      <c r="H85" s="4"/>
      <c r="I85" s="4"/>
      <c r="J85" s="4"/>
      <c r="K85" s="4"/>
      <c r="L85" s="4"/>
      <c r="M85" s="4"/>
      <c r="N85" s="4"/>
      <c r="O85" s="4"/>
      <c r="P85" s="2"/>
    </row>
    <row r="86" spans="1:28" x14ac:dyDescent="0.3">
      <c r="A86" s="7"/>
      <c r="B86" s="4"/>
      <c r="C86" s="4"/>
      <c r="D86" s="4"/>
      <c r="E86" s="4"/>
      <c r="F86" s="4"/>
      <c r="G86" s="4"/>
      <c r="H86" s="4"/>
      <c r="I86" s="4"/>
      <c r="J86" s="4"/>
      <c r="K86" s="4"/>
      <c r="L86" s="4"/>
      <c r="M86" s="4"/>
      <c r="N86" s="4"/>
      <c r="O86" s="4"/>
      <c r="P86" s="2"/>
    </row>
    <row r="87" spans="1:28" x14ac:dyDescent="0.3">
      <c r="A87" s="7"/>
      <c r="B87" s="4"/>
      <c r="C87" s="4"/>
      <c r="D87" s="4"/>
      <c r="E87" s="4"/>
      <c r="F87" s="4"/>
      <c r="G87" s="4"/>
      <c r="H87" s="4"/>
      <c r="I87" s="4"/>
      <c r="J87" s="4"/>
      <c r="K87" s="4"/>
      <c r="L87" s="4"/>
      <c r="M87" s="4"/>
      <c r="N87" s="4"/>
      <c r="O87" s="4"/>
      <c r="P87" s="2"/>
    </row>
    <row r="88" spans="1:28" x14ac:dyDescent="0.3">
      <c r="A88" s="7"/>
      <c r="B88" s="4"/>
      <c r="C88" s="4"/>
      <c r="D88" s="4"/>
      <c r="E88" s="4"/>
      <c r="F88" s="4"/>
      <c r="G88" s="4"/>
      <c r="H88" s="4"/>
      <c r="I88" s="4"/>
      <c r="J88" s="4"/>
      <c r="K88" s="4"/>
      <c r="L88" s="4"/>
      <c r="M88" s="4"/>
      <c r="N88" s="4"/>
      <c r="O88" s="4"/>
      <c r="P88" s="2"/>
    </row>
    <row r="89" spans="1:28" x14ac:dyDescent="0.3">
      <c r="A89" s="7"/>
      <c r="B89" s="4"/>
      <c r="C89" s="4"/>
      <c r="D89" s="4"/>
      <c r="E89" s="4"/>
      <c r="F89" s="4"/>
      <c r="G89" s="4"/>
      <c r="H89" s="4"/>
      <c r="I89" s="4"/>
      <c r="J89" s="4"/>
      <c r="K89" s="4"/>
      <c r="L89" s="4"/>
      <c r="M89" s="4"/>
      <c r="N89" s="4"/>
      <c r="O89" s="4"/>
      <c r="P89" s="2"/>
    </row>
    <row r="90" spans="1:28" x14ac:dyDescent="0.3">
      <c r="A90" s="7"/>
      <c r="B90" s="4"/>
      <c r="C90" s="4"/>
      <c r="D90" s="4"/>
      <c r="E90" s="4"/>
      <c r="F90" s="4"/>
      <c r="G90" s="4"/>
      <c r="H90" s="4"/>
      <c r="I90" s="4"/>
      <c r="J90" s="4"/>
      <c r="K90" s="4"/>
      <c r="L90" s="4"/>
      <c r="M90" s="4"/>
      <c r="N90" s="4"/>
      <c r="O90" s="4"/>
      <c r="P90" s="2"/>
    </row>
    <row r="91" spans="1:28" x14ac:dyDescent="0.3">
      <c r="A91" s="7"/>
      <c r="B91" s="4"/>
      <c r="C91" s="4"/>
      <c r="D91" s="4"/>
      <c r="E91" s="4"/>
      <c r="F91" s="4"/>
      <c r="G91" s="4"/>
      <c r="H91" s="4"/>
      <c r="I91" s="4"/>
      <c r="J91" s="4"/>
      <c r="K91" s="4"/>
      <c r="L91" s="4"/>
      <c r="M91" s="4"/>
      <c r="N91" s="4"/>
      <c r="O91" s="4"/>
      <c r="P91" s="2"/>
    </row>
    <row r="92" spans="1:28" x14ac:dyDescent="0.3">
      <c r="A92" s="7"/>
      <c r="B92" s="4"/>
      <c r="C92" s="4"/>
      <c r="D92" s="4"/>
      <c r="E92" s="4"/>
      <c r="F92" s="4"/>
      <c r="G92" s="4"/>
      <c r="H92" s="4"/>
      <c r="I92" s="4"/>
      <c r="J92" s="4"/>
      <c r="K92" s="4"/>
      <c r="L92" s="4"/>
      <c r="M92" s="4"/>
      <c r="N92" s="4"/>
      <c r="O92" s="4"/>
      <c r="P92" s="2"/>
    </row>
    <row r="93" spans="1:28" x14ac:dyDescent="0.3">
      <c r="A93" s="7"/>
      <c r="B93" s="4"/>
      <c r="C93" s="4"/>
      <c r="D93" s="4"/>
      <c r="E93" s="4"/>
      <c r="F93" s="4"/>
      <c r="G93" s="4"/>
      <c r="H93" s="4"/>
      <c r="I93" s="4"/>
      <c r="J93" s="4"/>
      <c r="K93" s="4"/>
      <c r="L93" s="4"/>
      <c r="M93" s="4"/>
      <c r="N93" s="4"/>
      <c r="O93" s="4"/>
      <c r="P93" s="2"/>
    </row>
    <row r="94" spans="1:28" x14ac:dyDescent="0.3">
      <c r="A94" s="7"/>
      <c r="B94" s="4"/>
      <c r="C94" s="4"/>
      <c r="D94" s="4"/>
      <c r="E94" s="4"/>
      <c r="F94" s="4"/>
      <c r="G94" s="4"/>
      <c r="H94" s="4"/>
      <c r="I94" s="4"/>
      <c r="J94" s="4"/>
      <c r="K94" s="4"/>
      <c r="L94" s="4"/>
      <c r="M94" s="4"/>
      <c r="N94" s="4"/>
      <c r="O94" s="4"/>
      <c r="P94" s="2"/>
    </row>
    <row r="95" spans="1:28" x14ac:dyDescent="0.3">
      <c r="A95" s="7"/>
      <c r="B95" s="4"/>
      <c r="C95" s="4"/>
      <c r="D95" s="4"/>
      <c r="E95" s="4"/>
      <c r="F95" s="4"/>
      <c r="G95" s="4"/>
      <c r="H95" s="4"/>
      <c r="I95" s="4"/>
      <c r="J95" s="4"/>
      <c r="K95" s="4"/>
      <c r="L95" s="4"/>
      <c r="M95" s="4"/>
      <c r="N95" s="4"/>
      <c r="O95" s="4"/>
      <c r="P95" s="2"/>
    </row>
    <row r="96" spans="1:28" x14ac:dyDescent="0.3">
      <c r="A96" s="7"/>
      <c r="B96" s="4"/>
      <c r="C96" s="4"/>
      <c r="D96" s="4"/>
      <c r="E96" s="4"/>
      <c r="F96" s="4"/>
      <c r="G96" s="4"/>
      <c r="H96" s="4"/>
      <c r="I96" s="4"/>
      <c r="J96" s="4"/>
      <c r="K96" s="4"/>
      <c r="L96" s="4"/>
      <c r="M96" s="4"/>
      <c r="N96" s="4"/>
      <c r="O96" s="4"/>
      <c r="P96" s="2"/>
    </row>
    <row r="97" spans="1:16" x14ac:dyDescent="0.3">
      <c r="A97" s="7"/>
      <c r="B97" s="4"/>
      <c r="C97" s="4"/>
      <c r="D97" s="4"/>
      <c r="E97" s="4"/>
      <c r="F97" s="4"/>
      <c r="G97" s="4"/>
      <c r="H97" s="4"/>
      <c r="I97" s="4"/>
      <c r="J97" s="4"/>
      <c r="K97" s="4"/>
      <c r="L97" s="4"/>
      <c r="M97" s="4"/>
      <c r="N97" s="4"/>
      <c r="O97" s="4"/>
      <c r="P97" s="2"/>
    </row>
    <row r="98" spans="1:16" x14ac:dyDescent="0.3">
      <c r="A98" s="7"/>
      <c r="B98" s="4"/>
      <c r="C98" s="4"/>
      <c r="D98" s="4"/>
      <c r="E98" s="4"/>
      <c r="F98" s="4"/>
      <c r="G98" s="4"/>
      <c r="H98" s="4"/>
      <c r="I98" s="4"/>
      <c r="J98" s="4"/>
      <c r="K98" s="4"/>
      <c r="L98" s="4"/>
      <c r="M98" s="4"/>
      <c r="N98" s="4"/>
      <c r="O98" s="4"/>
      <c r="P98" s="2"/>
    </row>
    <row r="99" spans="1:16" x14ac:dyDescent="0.3">
      <c r="A99" s="7"/>
      <c r="B99" s="4"/>
      <c r="C99" s="4"/>
      <c r="D99" s="4"/>
      <c r="E99" s="4"/>
      <c r="F99" s="4"/>
      <c r="G99" s="4"/>
      <c r="H99" s="4"/>
      <c r="I99" s="4"/>
      <c r="J99" s="4"/>
      <c r="K99" s="4"/>
      <c r="L99" s="4"/>
      <c r="M99" s="4"/>
      <c r="N99" s="4"/>
      <c r="O99" s="4"/>
      <c r="P99" s="2"/>
    </row>
    <row r="100" spans="1:16" x14ac:dyDescent="0.3">
      <c r="A100" s="7"/>
      <c r="B100" s="4"/>
      <c r="C100" s="4"/>
      <c r="D100" s="4"/>
      <c r="E100" s="4"/>
      <c r="F100" s="4"/>
      <c r="G100" s="4"/>
      <c r="H100" s="4"/>
      <c r="I100" s="4"/>
      <c r="J100" s="4"/>
      <c r="K100" s="4"/>
      <c r="L100" s="4"/>
      <c r="M100" s="4"/>
      <c r="N100" s="4"/>
      <c r="O100" s="4"/>
      <c r="P100" s="2"/>
    </row>
    <row r="101" spans="1:16" x14ac:dyDescent="0.3">
      <c r="A101" s="7"/>
      <c r="B101" s="4"/>
      <c r="C101" s="4"/>
      <c r="D101" s="4"/>
      <c r="E101" s="4"/>
      <c r="F101" s="4"/>
      <c r="G101" s="4"/>
      <c r="H101" s="4"/>
      <c r="I101" s="4"/>
      <c r="J101" s="4"/>
      <c r="K101" s="4"/>
      <c r="L101" s="4"/>
      <c r="M101" s="4"/>
      <c r="N101" s="4"/>
      <c r="O101" s="4"/>
      <c r="P101" s="2"/>
    </row>
    <row r="102" spans="1:16" x14ac:dyDescent="0.3">
      <c r="A102" s="7"/>
      <c r="B102" s="4"/>
      <c r="C102" s="4"/>
      <c r="D102" s="4"/>
      <c r="E102" s="4"/>
      <c r="F102" s="4"/>
      <c r="G102" s="4"/>
      <c r="H102" s="4"/>
      <c r="I102" s="4"/>
      <c r="J102" s="4"/>
      <c r="K102" s="4"/>
      <c r="L102" s="4"/>
      <c r="M102" s="4"/>
      <c r="N102" s="4"/>
      <c r="O102" s="4"/>
      <c r="P102" s="2"/>
    </row>
    <row r="103" spans="1:16" x14ac:dyDescent="0.3">
      <c r="A103" s="7"/>
      <c r="B103" s="4"/>
      <c r="C103" s="4"/>
      <c r="D103" s="4"/>
      <c r="E103" s="4"/>
      <c r="F103" s="4"/>
      <c r="G103" s="4"/>
      <c r="H103" s="4"/>
      <c r="I103" s="4"/>
      <c r="J103" s="4"/>
      <c r="K103" s="4"/>
      <c r="L103" s="4"/>
      <c r="M103" s="4"/>
      <c r="N103" s="4"/>
      <c r="O103" s="4"/>
      <c r="P103" s="2"/>
    </row>
    <row r="104" spans="1:16" x14ac:dyDescent="0.3">
      <c r="A104" s="7"/>
      <c r="B104" s="4"/>
      <c r="C104" s="4"/>
      <c r="D104" s="4"/>
      <c r="E104" s="4"/>
      <c r="F104" s="4"/>
      <c r="G104" s="4"/>
      <c r="H104" s="4"/>
      <c r="I104" s="4"/>
      <c r="J104" s="4"/>
      <c r="K104" s="4"/>
      <c r="L104" s="4"/>
      <c r="M104" s="4"/>
      <c r="N104" s="4"/>
      <c r="O104" s="4"/>
      <c r="P104" s="2"/>
    </row>
    <row r="105" spans="1:16" x14ac:dyDescent="0.3">
      <c r="A105" s="7"/>
      <c r="B105" s="4"/>
      <c r="C105" s="4"/>
      <c r="D105" s="4"/>
      <c r="E105" s="4"/>
      <c r="F105" s="4"/>
      <c r="G105" s="4"/>
      <c r="H105" s="4"/>
      <c r="I105" s="4"/>
      <c r="J105" s="4"/>
      <c r="K105" s="4"/>
      <c r="L105" s="4"/>
      <c r="M105" s="4"/>
      <c r="N105" s="4"/>
      <c r="O105" s="4"/>
      <c r="P105" s="2"/>
    </row>
    <row r="106" spans="1:16" x14ac:dyDescent="0.3">
      <c r="A106" s="7"/>
      <c r="B106" s="4"/>
      <c r="C106" s="4"/>
      <c r="D106" s="4"/>
      <c r="E106" s="4"/>
      <c r="F106" s="4"/>
      <c r="G106" s="4"/>
      <c r="H106" s="4"/>
      <c r="I106" s="4"/>
      <c r="J106" s="4"/>
      <c r="K106" s="4"/>
      <c r="L106" s="4"/>
      <c r="M106" s="4"/>
      <c r="N106" s="4"/>
      <c r="O106" s="4"/>
      <c r="P106" s="2"/>
    </row>
    <row r="107" spans="1:16" ht="21" x14ac:dyDescent="0.4">
      <c r="A107" s="7"/>
      <c r="B107" s="20" t="s">
        <v>211</v>
      </c>
      <c r="C107" s="4"/>
      <c r="D107" s="4"/>
      <c r="E107" s="4"/>
      <c r="F107" s="4"/>
      <c r="G107" s="4"/>
      <c r="H107" s="4"/>
      <c r="I107" s="4"/>
      <c r="J107" s="4"/>
      <c r="K107" s="4"/>
      <c r="L107" s="4"/>
      <c r="M107" s="4"/>
      <c r="N107" s="4"/>
      <c r="O107" s="4"/>
      <c r="P107" s="2"/>
    </row>
    <row r="108" spans="1:16" x14ac:dyDescent="0.3">
      <c r="A108" s="7"/>
      <c r="B108" s="4" t="s">
        <v>209</v>
      </c>
      <c r="C108" s="4"/>
      <c r="D108" s="4"/>
      <c r="E108" s="4"/>
      <c r="F108" s="4"/>
      <c r="G108" s="4"/>
      <c r="H108" s="4"/>
      <c r="I108" s="4"/>
      <c r="J108" s="4"/>
      <c r="K108" s="4"/>
      <c r="L108" s="4"/>
      <c r="M108" s="4"/>
      <c r="N108" s="4"/>
      <c r="O108" s="4"/>
      <c r="P108" s="2"/>
    </row>
    <row r="109" spans="1:16" x14ac:dyDescent="0.3">
      <c r="A109" s="7"/>
      <c r="B109" s="4"/>
      <c r="C109" s="4"/>
      <c r="D109" s="4"/>
      <c r="E109" s="4"/>
      <c r="F109" s="4"/>
      <c r="G109" s="4"/>
      <c r="H109" s="4"/>
      <c r="I109" s="4"/>
      <c r="J109" s="4"/>
      <c r="K109" s="4"/>
      <c r="L109" s="4"/>
      <c r="M109" s="4"/>
      <c r="N109" s="4"/>
      <c r="O109" s="4"/>
      <c r="P109" s="2"/>
    </row>
    <row r="110" spans="1:16" x14ac:dyDescent="0.3">
      <c r="A110" s="7"/>
      <c r="B110" s="4"/>
      <c r="C110" s="4"/>
      <c r="D110" s="4"/>
      <c r="E110" s="4"/>
      <c r="F110" s="4"/>
      <c r="G110" s="4"/>
      <c r="H110" s="4"/>
      <c r="I110" s="4"/>
      <c r="J110" s="4"/>
      <c r="K110" s="4"/>
      <c r="L110" s="4"/>
      <c r="M110" s="4"/>
      <c r="N110" s="4"/>
      <c r="O110" s="4"/>
      <c r="P110" s="2"/>
    </row>
    <row r="111" spans="1:16" x14ac:dyDescent="0.3">
      <c r="A111" s="7"/>
      <c r="B111" s="4"/>
      <c r="C111" s="4"/>
      <c r="D111" s="4"/>
      <c r="E111" s="4"/>
      <c r="F111" s="4"/>
      <c r="G111" s="4"/>
      <c r="H111" s="4"/>
      <c r="I111" s="4"/>
      <c r="J111" s="4"/>
      <c r="K111" s="4"/>
      <c r="L111" s="4"/>
      <c r="M111" s="4"/>
      <c r="N111" s="4"/>
      <c r="O111" s="4"/>
      <c r="P111" s="2"/>
    </row>
    <row r="112" spans="1:16" x14ac:dyDescent="0.3">
      <c r="A112" s="7"/>
      <c r="B112" s="4"/>
      <c r="C112" s="4"/>
      <c r="D112" s="4"/>
      <c r="E112" s="4"/>
      <c r="F112" s="4"/>
      <c r="G112" s="4"/>
      <c r="H112" s="4"/>
      <c r="I112" s="4"/>
      <c r="J112" s="4"/>
      <c r="K112" s="4"/>
      <c r="L112" s="4"/>
      <c r="M112" s="4"/>
      <c r="N112" s="4"/>
      <c r="O112" s="4"/>
      <c r="P112" s="2"/>
    </row>
    <row r="113" spans="1:16" x14ac:dyDescent="0.3">
      <c r="A113" s="7"/>
      <c r="B113" s="4"/>
      <c r="C113" s="4"/>
      <c r="D113" s="4"/>
      <c r="E113" s="4"/>
      <c r="F113" s="4"/>
      <c r="G113" s="4"/>
      <c r="H113" s="4"/>
      <c r="I113" s="4"/>
      <c r="J113" s="4"/>
      <c r="K113" s="4"/>
      <c r="L113" s="4"/>
      <c r="M113" s="4"/>
      <c r="N113" s="4"/>
      <c r="O113" s="4"/>
      <c r="P113" s="2"/>
    </row>
    <row r="114" spans="1:16" x14ac:dyDescent="0.3">
      <c r="A114" s="7"/>
      <c r="B114" s="4"/>
      <c r="C114" s="4"/>
      <c r="D114" s="4"/>
      <c r="E114" s="4"/>
      <c r="F114" s="4"/>
      <c r="G114" s="4"/>
      <c r="H114" s="4"/>
      <c r="I114" s="4"/>
      <c r="J114" s="4"/>
      <c r="K114" s="4"/>
      <c r="L114" s="4"/>
      <c r="M114" s="4"/>
      <c r="N114" s="4"/>
      <c r="O114" s="4"/>
      <c r="P114" s="2"/>
    </row>
    <row r="115" spans="1:16" x14ac:dyDescent="0.3">
      <c r="A115" s="7"/>
      <c r="B115" s="4"/>
      <c r="C115" s="4"/>
      <c r="D115" s="4"/>
      <c r="E115" s="4"/>
      <c r="F115" s="4"/>
      <c r="G115" s="4"/>
      <c r="H115" s="4"/>
      <c r="I115" s="4"/>
      <c r="J115" s="4"/>
      <c r="K115" s="4"/>
      <c r="L115" s="4"/>
      <c r="M115" s="4"/>
      <c r="N115" s="4"/>
      <c r="O115" s="4"/>
      <c r="P115" s="2"/>
    </row>
    <row r="116" spans="1:16" x14ac:dyDescent="0.3">
      <c r="A116" s="7"/>
      <c r="B116" s="4"/>
      <c r="C116" s="4"/>
      <c r="D116" s="4"/>
      <c r="E116" s="4"/>
      <c r="F116" s="4"/>
      <c r="G116" s="4"/>
      <c r="H116" s="4"/>
      <c r="I116" s="4"/>
      <c r="J116" s="4"/>
      <c r="K116" s="4"/>
      <c r="L116" s="4"/>
      <c r="M116" s="4"/>
      <c r="N116" s="4"/>
      <c r="O116" s="4"/>
      <c r="P116" s="2"/>
    </row>
    <row r="117" spans="1:16" x14ac:dyDescent="0.3">
      <c r="A117" s="7"/>
      <c r="B117" s="4"/>
      <c r="C117" s="4"/>
      <c r="D117" s="4"/>
      <c r="E117" s="4"/>
      <c r="F117" s="4"/>
      <c r="G117" s="4"/>
      <c r="H117" s="4"/>
      <c r="I117" s="4"/>
      <c r="J117" s="4"/>
      <c r="K117" s="4"/>
      <c r="L117" s="4"/>
      <c r="M117" s="4"/>
      <c r="N117" s="4"/>
      <c r="O117" s="4"/>
      <c r="P117" s="2"/>
    </row>
    <row r="118" spans="1:16" x14ac:dyDescent="0.3">
      <c r="A118" s="7"/>
      <c r="B118" s="4"/>
      <c r="C118" s="4"/>
      <c r="D118" s="4"/>
      <c r="E118" s="4"/>
      <c r="F118" s="4"/>
      <c r="G118" s="4"/>
      <c r="H118" s="4"/>
      <c r="I118" s="4"/>
      <c r="J118" s="4"/>
      <c r="K118" s="4"/>
      <c r="L118" s="4"/>
      <c r="M118" s="4"/>
      <c r="N118" s="4"/>
      <c r="O118" s="4"/>
      <c r="P118" s="2"/>
    </row>
    <row r="119" spans="1:16" x14ac:dyDescent="0.3">
      <c r="A119" s="7"/>
      <c r="B119" s="4"/>
      <c r="C119" s="4"/>
      <c r="D119" s="4"/>
      <c r="E119" s="4"/>
      <c r="F119" s="4"/>
      <c r="G119" s="4"/>
      <c r="H119" s="4"/>
      <c r="I119" s="4"/>
      <c r="J119" s="4"/>
      <c r="K119" s="4"/>
      <c r="L119" s="4"/>
      <c r="M119" s="4"/>
      <c r="N119" s="4"/>
      <c r="O119" s="4"/>
      <c r="P119" s="2"/>
    </row>
    <row r="120" spans="1:16" x14ac:dyDescent="0.3">
      <c r="A120" s="7"/>
      <c r="B120" s="4"/>
      <c r="C120" s="4"/>
      <c r="D120" s="4"/>
      <c r="E120" s="4"/>
      <c r="F120" s="4"/>
      <c r="G120" s="4"/>
      <c r="H120" s="4"/>
      <c r="I120" s="4"/>
      <c r="J120" s="4"/>
      <c r="K120" s="4"/>
      <c r="L120" s="4"/>
      <c r="M120" s="4"/>
      <c r="N120" s="4"/>
      <c r="O120" s="4"/>
      <c r="P120" s="2"/>
    </row>
    <row r="121" spans="1:16" x14ac:dyDescent="0.3">
      <c r="A121" s="7"/>
      <c r="B121" s="4"/>
      <c r="C121" s="4"/>
      <c r="D121" s="4"/>
      <c r="E121" s="4"/>
      <c r="F121" s="4"/>
      <c r="G121" s="4"/>
      <c r="H121" s="4"/>
      <c r="I121" s="4"/>
      <c r="J121" s="4"/>
      <c r="K121" s="4"/>
      <c r="L121" s="4"/>
      <c r="M121" s="4"/>
      <c r="N121" s="4"/>
      <c r="O121" s="4"/>
      <c r="P121" s="2"/>
    </row>
    <row r="122" spans="1:16" x14ac:dyDescent="0.3">
      <c r="A122" s="7"/>
      <c r="B122" s="4"/>
      <c r="C122" s="4"/>
      <c r="D122" s="4"/>
      <c r="E122" s="4"/>
      <c r="F122" s="4"/>
      <c r="G122" s="4"/>
      <c r="H122" s="4"/>
      <c r="I122" s="4"/>
      <c r="J122" s="4"/>
      <c r="K122" s="4"/>
      <c r="L122" s="4"/>
      <c r="M122" s="4"/>
      <c r="N122" s="4"/>
      <c r="O122" s="4"/>
      <c r="P122" s="2"/>
    </row>
    <row r="123" spans="1:16" x14ac:dyDescent="0.3">
      <c r="A123" s="7"/>
      <c r="B123" s="4"/>
      <c r="C123" s="4"/>
      <c r="D123" s="4"/>
      <c r="E123" s="4"/>
      <c r="F123" s="4"/>
      <c r="G123" s="4"/>
      <c r="H123" s="4"/>
      <c r="I123" s="4"/>
      <c r="J123" s="4"/>
      <c r="K123" s="4"/>
      <c r="L123" s="4"/>
      <c r="M123" s="4"/>
      <c r="N123" s="4"/>
      <c r="O123" s="4"/>
      <c r="P123" s="2"/>
    </row>
    <row r="124" spans="1:16" x14ac:dyDescent="0.3">
      <c r="A124" s="7"/>
      <c r="B124" s="4"/>
      <c r="C124" s="4"/>
      <c r="D124" s="4"/>
      <c r="E124" s="4"/>
      <c r="F124" s="4"/>
      <c r="G124" s="4"/>
      <c r="H124" s="4"/>
      <c r="I124" s="4"/>
      <c r="J124" s="4"/>
      <c r="K124" s="4"/>
      <c r="L124" s="4"/>
      <c r="M124" s="4"/>
      <c r="N124" s="4"/>
      <c r="O124" s="4"/>
      <c r="P124" s="2"/>
    </row>
    <row r="125" spans="1:16" x14ac:dyDescent="0.3">
      <c r="A125" s="7"/>
      <c r="B125" s="4"/>
      <c r="C125" s="4"/>
      <c r="D125" s="4"/>
      <c r="E125" s="4"/>
      <c r="F125" s="4"/>
      <c r="G125" s="4"/>
      <c r="H125" s="4"/>
      <c r="I125" s="4"/>
      <c r="J125" s="4"/>
      <c r="K125" s="4"/>
      <c r="L125" s="4"/>
      <c r="M125" s="4"/>
      <c r="N125" s="4"/>
      <c r="O125" s="4"/>
      <c r="P125" s="2"/>
    </row>
    <row r="126" spans="1:16" x14ac:dyDescent="0.3">
      <c r="A126" s="7"/>
      <c r="B126" s="4"/>
      <c r="C126" s="4"/>
      <c r="D126" s="4"/>
      <c r="E126" s="4"/>
      <c r="F126" s="4"/>
      <c r="G126" s="4"/>
      <c r="H126" s="4"/>
      <c r="I126" s="4"/>
      <c r="J126" s="4"/>
      <c r="K126" s="4"/>
      <c r="L126" s="4"/>
      <c r="M126" s="4"/>
      <c r="N126" s="4"/>
      <c r="O126" s="4"/>
      <c r="P126" s="2"/>
    </row>
    <row r="127" spans="1:16" x14ac:dyDescent="0.3">
      <c r="A127" s="7"/>
      <c r="B127" s="4"/>
      <c r="C127" s="4"/>
      <c r="D127" s="4"/>
      <c r="E127" s="4"/>
      <c r="F127" s="4"/>
      <c r="G127" s="4"/>
      <c r="H127" s="4"/>
      <c r="I127" s="4"/>
      <c r="J127" s="4"/>
      <c r="K127" s="4"/>
      <c r="L127" s="4"/>
      <c r="M127" s="4"/>
      <c r="N127" s="4"/>
      <c r="O127" s="4"/>
      <c r="P127" s="2"/>
    </row>
    <row r="128" spans="1:16" x14ac:dyDescent="0.3">
      <c r="A128" s="7"/>
      <c r="B128" s="4"/>
      <c r="C128" s="4"/>
      <c r="D128" s="4"/>
      <c r="E128" s="4"/>
      <c r="F128" s="4"/>
      <c r="G128" s="4"/>
      <c r="H128" s="4"/>
      <c r="I128" s="4"/>
      <c r="J128" s="4"/>
      <c r="K128" s="4"/>
      <c r="L128" s="4"/>
      <c r="M128" s="4"/>
      <c r="N128" s="4"/>
      <c r="O128" s="4"/>
      <c r="P128" s="2"/>
    </row>
    <row r="129" spans="1:16" x14ac:dyDescent="0.3">
      <c r="A129" s="7"/>
      <c r="B129" s="4"/>
      <c r="C129" s="4"/>
      <c r="D129" s="4"/>
      <c r="E129" s="4"/>
      <c r="F129" s="4"/>
      <c r="G129" s="4"/>
      <c r="H129" s="4"/>
      <c r="I129" s="4"/>
      <c r="J129" s="4"/>
      <c r="K129" s="4"/>
      <c r="L129" s="4"/>
      <c r="M129" s="4"/>
      <c r="N129" s="4"/>
      <c r="O129" s="4"/>
      <c r="P129" s="2"/>
    </row>
    <row r="130" spans="1:16" x14ac:dyDescent="0.3">
      <c r="A130" s="7"/>
      <c r="B130" s="4"/>
      <c r="C130" s="4"/>
      <c r="D130" s="4"/>
      <c r="E130" s="4"/>
      <c r="F130" s="4"/>
      <c r="G130" s="4"/>
      <c r="H130" s="4"/>
      <c r="I130" s="4"/>
      <c r="J130" s="4"/>
      <c r="K130" s="4"/>
      <c r="L130" s="4"/>
      <c r="M130" s="4"/>
      <c r="N130" s="4"/>
      <c r="O130" s="4"/>
      <c r="P130" s="2"/>
    </row>
    <row r="131" spans="1:16" x14ac:dyDescent="0.3">
      <c r="A131" s="7"/>
      <c r="B131" s="4"/>
      <c r="C131" s="4"/>
      <c r="D131" s="4"/>
      <c r="E131" s="4"/>
      <c r="F131" s="4"/>
      <c r="G131" s="4"/>
      <c r="H131" s="4"/>
      <c r="I131" s="4"/>
      <c r="J131" s="4"/>
      <c r="K131" s="4"/>
      <c r="L131" s="4"/>
      <c r="M131" s="4"/>
      <c r="N131" s="4"/>
      <c r="O131" s="4"/>
      <c r="P131" s="2"/>
    </row>
    <row r="132" spans="1:16" x14ac:dyDescent="0.3">
      <c r="A132" s="7"/>
      <c r="B132" s="4"/>
      <c r="C132" s="4"/>
      <c r="D132" s="4"/>
      <c r="E132" s="4"/>
      <c r="F132" s="4"/>
      <c r="G132" s="4"/>
      <c r="H132" s="4"/>
      <c r="I132" s="4"/>
      <c r="J132" s="4"/>
      <c r="K132" s="4"/>
      <c r="L132" s="4"/>
      <c r="M132" s="4"/>
      <c r="N132" s="4"/>
      <c r="O132" s="4"/>
      <c r="P132" s="2"/>
    </row>
    <row r="133" spans="1:16" ht="21" x14ac:dyDescent="0.4">
      <c r="A133" s="7"/>
      <c r="B133" s="20" t="s">
        <v>212</v>
      </c>
      <c r="C133" s="4"/>
      <c r="D133" s="4"/>
      <c r="E133" s="4"/>
      <c r="F133" s="4"/>
      <c r="G133" s="4"/>
      <c r="H133" s="4"/>
      <c r="I133" s="4"/>
      <c r="J133" s="4"/>
      <c r="K133" s="4"/>
      <c r="L133" s="4"/>
      <c r="M133" s="4"/>
      <c r="N133" s="4"/>
      <c r="O133" s="4"/>
      <c r="P133" s="2"/>
    </row>
    <row r="134" spans="1:16" x14ac:dyDescent="0.3">
      <c r="A134" s="7"/>
      <c r="B134" s="4" t="s">
        <v>209</v>
      </c>
      <c r="C134" s="4"/>
      <c r="D134" s="4"/>
      <c r="E134" s="4"/>
      <c r="F134" s="4"/>
      <c r="G134" s="4"/>
      <c r="H134" s="4"/>
      <c r="I134" s="4"/>
      <c r="J134" s="4"/>
      <c r="K134" s="4"/>
      <c r="L134" s="4"/>
      <c r="M134" s="4"/>
      <c r="N134" s="4"/>
      <c r="O134" s="4"/>
      <c r="P134" s="2"/>
    </row>
    <row r="135" spans="1:16" x14ac:dyDescent="0.3">
      <c r="A135" s="7"/>
      <c r="B135" s="4"/>
      <c r="C135" s="4"/>
      <c r="D135" s="4"/>
      <c r="E135" s="4"/>
      <c r="F135" s="4"/>
      <c r="G135" s="4"/>
      <c r="H135" s="4"/>
      <c r="I135" s="4"/>
      <c r="J135" s="4"/>
      <c r="K135" s="4"/>
      <c r="L135" s="4"/>
      <c r="M135" s="4"/>
      <c r="N135" s="4"/>
      <c r="O135" s="4"/>
      <c r="P135" s="2"/>
    </row>
    <row r="136" spans="1:16" x14ac:dyDescent="0.3">
      <c r="A136" s="7"/>
      <c r="B136" s="4"/>
      <c r="C136" s="4"/>
      <c r="D136" s="4"/>
      <c r="E136" s="4"/>
      <c r="F136" s="4"/>
      <c r="G136" s="4"/>
      <c r="H136" s="4"/>
      <c r="I136" s="4"/>
      <c r="J136" s="4"/>
      <c r="K136" s="4"/>
      <c r="L136" s="4"/>
      <c r="M136" s="4"/>
      <c r="N136" s="4"/>
      <c r="O136" s="4"/>
      <c r="P136" s="2"/>
    </row>
    <row r="137" spans="1:16" x14ac:dyDescent="0.3">
      <c r="A137" s="7"/>
      <c r="B137" s="4"/>
      <c r="C137" s="4"/>
      <c r="D137" s="4"/>
      <c r="E137" s="4"/>
      <c r="F137" s="4"/>
      <c r="G137" s="4"/>
      <c r="H137" s="4"/>
      <c r="I137" s="4"/>
      <c r="J137" s="4"/>
      <c r="K137" s="4"/>
      <c r="L137" s="4"/>
      <c r="M137" s="4"/>
      <c r="N137" s="4"/>
      <c r="O137" s="4"/>
      <c r="P137" s="2"/>
    </row>
    <row r="138" spans="1:16" x14ac:dyDescent="0.3">
      <c r="A138" s="7"/>
      <c r="B138" s="4"/>
      <c r="C138" s="4"/>
      <c r="D138" s="4"/>
      <c r="E138" s="4"/>
      <c r="F138" s="4"/>
      <c r="G138" s="4"/>
      <c r="H138" s="4"/>
      <c r="I138" s="4"/>
      <c r="J138" s="4"/>
      <c r="K138" s="4"/>
      <c r="L138" s="4"/>
      <c r="M138" s="4"/>
      <c r="N138" s="4"/>
      <c r="O138" s="4"/>
      <c r="P138" s="2"/>
    </row>
    <row r="139" spans="1:16" x14ac:dyDescent="0.3">
      <c r="A139" s="7"/>
      <c r="B139" s="4"/>
      <c r="C139" s="4"/>
      <c r="D139" s="4"/>
      <c r="E139" s="4"/>
      <c r="F139" s="4"/>
      <c r="G139" s="4"/>
      <c r="H139" s="4"/>
      <c r="I139" s="4"/>
      <c r="J139" s="4"/>
      <c r="K139" s="4"/>
      <c r="L139" s="4"/>
      <c r="M139" s="4"/>
      <c r="N139" s="4"/>
      <c r="O139" s="4"/>
      <c r="P139" s="2"/>
    </row>
    <row r="140" spans="1:16" x14ac:dyDescent="0.3">
      <c r="A140" s="7"/>
      <c r="B140" s="4"/>
      <c r="C140" s="4"/>
      <c r="D140" s="4"/>
      <c r="E140" s="4"/>
      <c r="F140" s="4"/>
      <c r="G140" s="4"/>
      <c r="H140" s="4"/>
      <c r="I140" s="4"/>
      <c r="J140" s="4"/>
      <c r="K140" s="4"/>
      <c r="L140" s="4"/>
      <c r="M140" s="4"/>
      <c r="N140" s="4"/>
      <c r="O140" s="4"/>
      <c r="P140" s="2"/>
    </row>
    <row r="141" spans="1:16" x14ac:dyDescent="0.3">
      <c r="A141" s="7"/>
      <c r="B141" s="4"/>
      <c r="C141" s="4"/>
      <c r="D141" s="4"/>
      <c r="E141" s="4"/>
      <c r="F141" s="4"/>
      <c r="G141" s="4"/>
      <c r="H141" s="4"/>
      <c r="I141" s="4"/>
      <c r="J141" s="4"/>
      <c r="K141" s="4"/>
      <c r="L141" s="4"/>
      <c r="M141" s="4"/>
      <c r="N141" s="4"/>
      <c r="O141" s="4"/>
      <c r="P141" s="2"/>
    </row>
    <row r="142" spans="1:16" x14ac:dyDescent="0.3">
      <c r="A142" s="7"/>
      <c r="B142" s="4"/>
      <c r="C142" s="4"/>
      <c r="D142" s="4"/>
      <c r="E142" s="4"/>
      <c r="F142" s="4"/>
      <c r="G142" s="4"/>
      <c r="H142" s="4"/>
      <c r="I142" s="4"/>
      <c r="J142" s="4"/>
      <c r="K142" s="4"/>
      <c r="L142" s="4"/>
      <c r="M142" s="4"/>
      <c r="N142" s="4"/>
      <c r="O142" s="4"/>
      <c r="P142" s="2"/>
    </row>
    <row r="143" spans="1:16" x14ac:dyDescent="0.3">
      <c r="A143" s="7"/>
      <c r="B143" s="4"/>
      <c r="C143" s="4"/>
      <c r="D143" s="4"/>
      <c r="E143" s="4"/>
      <c r="F143" s="4"/>
      <c r="G143" s="4"/>
      <c r="H143" s="4"/>
      <c r="I143" s="4"/>
      <c r="J143" s="4"/>
      <c r="K143" s="4"/>
      <c r="L143" s="4"/>
      <c r="M143" s="4"/>
      <c r="N143" s="4"/>
      <c r="O143" s="4"/>
      <c r="P143" s="2"/>
    </row>
    <row r="144" spans="1:16" x14ac:dyDescent="0.3">
      <c r="A144" s="7"/>
      <c r="B144" s="4"/>
      <c r="C144" s="4"/>
      <c r="D144" s="4"/>
      <c r="E144" s="4"/>
      <c r="F144" s="4"/>
      <c r="G144" s="4"/>
      <c r="H144" s="4"/>
      <c r="I144" s="4"/>
      <c r="J144" s="4"/>
      <c r="K144" s="4"/>
      <c r="L144" s="4"/>
      <c r="M144" s="4"/>
      <c r="N144" s="4"/>
      <c r="O144" s="4"/>
      <c r="P144" s="2"/>
    </row>
    <row r="145" spans="1:16" x14ac:dyDescent="0.3">
      <c r="A145" s="7"/>
      <c r="B145" s="4"/>
      <c r="C145" s="4"/>
      <c r="D145" s="4"/>
      <c r="E145" s="4"/>
      <c r="F145" s="4"/>
      <c r="G145" s="4"/>
      <c r="H145" s="4"/>
      <c r="I145" s="4"/>
      <c r="J145" s="4"/>
      <c r="K145" s="4"/>
      <c r="L145" s="4"/>
      <c r="M145" s="4"/>
      <c r="N145" s="4"/>
      <c r="O145" s="4"/>
      <c r="P145" s="2"/>
    </row>
    <row r="146" spans="1:16" x14ac:dyDescent="0.3">
      <c r="A146" s="7"/>
      <c r="B146" s="4"/>
      <c r="C146" s="4"/>
      <c r="D146" s="4"/>
      <c r="E146" s="4"/>
      <c r="F146" s="4"/>
      <c r="G146" s="4"/>
      <c r="H146" s="4"/>
      <c r="I146" s="4"/>
      <c r="J146" s="4"/>
      <c r="K146" s="4"/>
      <c r="L146" s="4"/>
      <c r="M146" s="4"/>
      <c r="N146" s="4"/>
      <c r="O146" s="4"/>
      <c r="P146" s="2"/>
    </row>
    <row r="147" spans="1:16" x14ac:dyDescent="0.3">
      <c r="A147" s="7"/>
      <c r="B147" s="4"/>
      <c r="C147" s="4"/>
      <c r="D147" s="4"/>
      <c r="E147" s="4"/>
      <c r="F147" s="4"/>
      <c r="G147" s="4"/>
      <c r="H147" s="4"/>
      <c r="I147" s="4"/>
      <c r="J147" s="4"/>
      <c r="K147" s="4"/>
      <c r="L147" s="4"/>
      <c r="M147" s="4"/>
      <c r="N147" s="4"/>
      <c r="O147" s="4"/>
      <c r="P147" s="2"/>
    </row>
    <row r="148" spans="1:16" x14ac:dyDescent="0.3">
      <c r="A148" s="7"/>
      <c r="B148" s="4"/>
      <c r="C148" s="4"/>
      <c r="D148" s="4"/>
      <c r="E148" s="4"/>
      <c r="F148" s="4"/>
      <c r="G148" s="4"/>
      <c r="H148" s="4"/>
      <c r="I148" s="4"/>
      <c r="J148" s="4"/>
      <c r="K148" s="4"/>
      <c r="L148" s="4"/>
      <c r="M148" s="4"/>
      <c r="N148" s="4"/>
      <c r="O148" s="4"/>
      <c r="P148" s="2"/>
    </row>
    <row r="149" spans="1:16" x14ac:dyDescent="0.3">
      <c r="A149" s="7"/>
      <c r="B149" s="4"/>
      <c r="C149" s="4"/>
      <c r="D149" s="4"/>
      <c r="E149" s="4"/>
      <c r="F149" s="4"/>
      <c r="G149" s="4"/>
      <c r="H149" s="4"/>
      <c r="I149" s="4"/>
      <c r="J149" s="4"/>
      <c r="K149" s="4"/>
      <c r="L149" s="4"/>
      <c r="M149" s="4"/>
      <c r="N149" s="4"/>
      <c r="O149" s="4"/>
      <c r="P149" s="2"/>
    </row>
    <row r="150" spans="1:16" x14ac:dyDescent="0.3">
      <c r="A150" s="7"/>
      <c r="B150" s="4"/>
      <c r="C150" s="4"/>
      <c r="D150" s="4"/>
      <c r="E150" s="4"/>
      <c r="F150" s="4"/>
      <c r="G150" s="4"/>
      <c r="H150" s="4"/>
      <c r="I150" s="4"/>
      <c r="J150" s="4"/>
      <c r="K150" s="4"/>
      <c r="L150" s="4"/>
      <c r="M150" s="4"/>
      <c r="N150" s="4"/>
      <c r="O150" s="4"/>
      <c r="P150" s="2"/>
    </row>
    <row r="151" spans="1:16" x14ac:dyDescent="0.3">
      <c r="A151" s="7"/>
      <c r="B151" s="4"/>
      <c r="C151" s="4"/>
      <c r="D151" s="4"/>
      <c r="E151" s="4"/>
      <c r="F151" s="4"/>
      <c r="G151" s="4"/>
      <c r="H151" s="4"/>
      <c r="I151" s="4"/>
      <c r="J151" s="4"/>
      <c r="K151" s="4"/>
      <c r="L151" s="4"/>
      <c r="M151" s="4"/>
      <c r="N151" s="4"/>
      <c r="O151" s="4"/>
      <c r="P151" s="2"/>
    </row>
    <row r="152" spans="1:16" x14ac:dyDescent="0.3">
      <c r="A152" s="7"/>
      <c r="B152" s="4"/>
      <c r="C152" s="4"/>
      <c r="D152" s="4"/>
      <c r="E152" s="4"/>
      <c r="F152" s="4"/>
      <c r="G152" s="4"/>
      <c r="H152" s="4"/>
      <c r="I152" s="4"/>
      <c r="J152" s="4"/>
      <c r="K152" s="4"/>
      <c r="L152" s="4"/>
      <c r="M152" s="4"/>
      <c r="N152" s="4"/>
      <c r="O152" s="4"/>
      <c r="P152" s="2"/>
    </row>
    <row r="153" spans="1:16" x14ac:dyDescent="0.3">
      <c r="A153" s="7"/>
      <c r="B153" s="4"/>
      <c r="C153" s="4"/>
      <c r="D153" s="4"/>
      <c r="E153" s="4"/>
      <c r="F153" s="4"/>
      <c r="G153" s="4"/>
      <c r="H153" s="4"/>
      <c r="I153" s="4"/>
      <c r="J153" s="4"/>
      <c r="K153" s="4"/>
      <c r="L153" s="4"/>
      <c r="M153" s="4"/>
      <c r="N153" s="4"/>
      <c r="O153" s="4"/>
      <c r="P153" s="2"/>
    </row>
    <row r="154" spans="1:16" x14ac:dyDescent="0.3">
      <c r="A154" s="7"/>
      <c r="B154" s="4"/>
      <c r="C154" s="4"/>
      <c r="D154" s="4"/>
      <c r="E154" s="4"/>
      <c r="F154" s="4"/>
      <c r="G154" s="4"/>
      <c r="H154" s="4"/>
      <c r="I154" s="4"/>
      <c r="J154" s="4"/>
      <c r="K154" s="4"/>
      <c r="L154" s="4"/>
      <c r="M154" s="4"/>
      <c r="N154" s="4"/>
      <c r="O154" s="4"/>
      <c r="P154" s="2"/>
    </row>
    <row r="155" spans="1:16" x14ac:dyDescent="0.3">
      <c r="A155" s="7"/>
      <c r="B155" s="4"/>
      <c r="C155" s="4"/>
      <c r="D155" s="4"/>
      <c r="E155" s="4"/>
      <c r="F155" s="4"/>
      <c r="G155" s="4"/>
      <c r="H155" s="4"/>
      <c r="I155" s="4"/>
      <c r="J155" s="4"/>
      <c r="K155" s="4"/>
      <c r="L155" s="4"/>
      <c r="M155" s="4"/>
      <c r="N155" s="4"/>
      <c r="O155" s="4"/>
      <c r="P155" s="2"/>
    </row>
    <row r="156" spans="1:16" x14ac:dyDescent="0.3">
      <c r="A156" s="7"/>
      <c r="B156" s="4"/>
      <c r="C156" s="4"/>
      <c r="D156" s="4"/>
      <c r="E156" s="4"/>
      <c r="F156" s="4"/>
      <c r="G156" s="4"/>
      <c r="H156" s="4"/>
      <c r="I156" s="4"/>
      <c r="J156" s="4"/>
      <c r="K156" s="4"/>
      <c r="L156" s="4"/>
      <c r="M156" s="4"/>
      <c r="N156" s="4"/>
      <c r="O156" s="4"/>
      <c r="P156" s="2"/>
    </row>
    <row r="157" spans="1:16" x14ac:dyDescent="0.3">
      <c r="A157" s="7"/>
      <c r="B157" s="4"/>
      <c r="C157" s="4"/>
      <c r="D157" s="4"/>
      <c r="E157" s="4"/>
      <c r="F157" s="4"/>
      <c r="G157" s="4"/>
      <c r="H157" s="4"/>
      <c r="I157" s="4"/>
      <c r="J157" s="4"/>
      <c r="K157" s="4"/>
      <c r="L157" s="4"/>
      <c r="M157" s="4"/>
      <c r="N157" s="4"/>
      <c r="O157" s="4"/>
      <c r="P157" s="2"/>
    </row>
    <row r="158" spans="1:16" x14ac:dyDescent="0.3">
      <c r="A158" s="7"/>
      <c r="B158" s="4"/>
      <c r="C158" s="4"/>
      <c r="D158" s="4"/>
      <c r="E158" s="4"/>
      <c r="F158" s="4"/>
      <c r="G158" s="4"/>
      <c r="H158" s="4"/>
      <c r="I158" s="4"/>
      <c r="J158" s="4"/>
      <c r="K158" s="4"/>
      <c r="L158" s="4"/>
      <c r="M158" s="4"/>
      <c r="N158" s="4"/>
      <c r="O158" s="4"/>
      <c r="P158" s="2"/>
    </row>
    <row r="159" spans="1:16" ht="21" x14ac:dyDescent="0.4">
      <c r="A159" s="7"/>
      <c r="B159" s="20" t="s">
        <v>213</v>
      </c>
      <c r="C159" s="4"/>
      <c r="D159" s="4"/>
      <c r="E159" s="4"/>
      <c r="F159" s="4"/>
      <c r="G159" s="4"/>
      <c r="H159" s="4"/>
      <c r="I159" s="4"/>
      <c r="J159" s="4"/>
      <c r="K159" s="4"/>
      <c r="L159" s="4"/>
      <c r="M159" s="4"/>
      <c r="N159" s="4"/>
      <c r="O159" s="4"/>
      <c r="P159" s="2"/>
    </row>
    <row r="160" spans="1:16" x14ac:dyDescent="0.3">
      <c r="A160" s="7"/>
      <c r="B160" s="4" t="s">
        <v>209</v>
      </c>
      <c r="C160" s="4"/>
      <c r="D160" s="4"/>
      <c r="E160" s="4"/>
      <c r="F160" s="4"/>
      <c r="G160" s="4"/>
      <c r="H160" s="4"/>
      <c r="I160" s="4"/>
      <c r="J160" s="4"/>
      <c r="K160" s="4"/>
      <c r="L160" s="4"/>
      <c r="M160" s="4"/>
      <c r="N160" s="4"/>
      <c r="O160" s="4"/>
      <c r="P160" s="2"/>
    </row>
    <row r="161" spans="1:16" x14ac:dyDescent="0.3">
      <c r="A161" s="7"/>
      <c r="B161" s="4"/>
      <c r="C161" s="4"/>
      <c r="D161" s="4"/>
      <c r="E161" s="4"/>
      <c r="F161" s="4"/>
      <c r="G161" s="4"/>
      <c r="H161" s="4"/>
      <c r="I161" s="4"/>
      <c r="J161" s="4"/>
      <c r="K161" s="4"/>
      <c r="L161" s="4"/>
      <c r="M161" s="4"/>
      <c r="N161" s="4"/>
      <c r="O161" s="4"/>
      <c r="P161" s="2"/>
    </row>
    <row r="162" spans="1:16" x14ac:dyDescent="0.3">
      <c r="A162" s="7"/>
      <c r="B162" s="4"/>
      <c r="C162" s="4"/>
      <c r="D162" s="4"/>
      <c r="E162" s="4"/>
      <c r="F162" s="4"/>
      <c r="G162" s="4"/>
      <c r="H162" s="4"/>
      <c r="I162" s="4"/>
      <c r="J162" s="4"/>
      <c r="K162" s="4"/>
      <c r="L162" s="4"/>
      <c r="M162" s="4"/>
      <c r="N162" s="4"/>
      <c r="O162" s="4"/>
      <c r="P162" s="2"/>
    </row>
    <row r="163" spans="1:16" x14ac:dyDescent="0.3">
      <c r="A163" s="7"/>
      <c r="B163" s="4"/>
      <c r="C163" s="4"/>
      <c r="D163" s="4"/>
      <c r="E163" s="4"/>
      <c r="F163" s="4"/>
      <c r="G163" s="4"/>
      <c r="H163" s="4"/>
      <c r="I163" s="4"/>
      <c r="J163" s="4"/>
      <c r="K163" s="4"/>
      <c r="L163" s="4"/>
      <c r="M163" s="4"/>
      <c r="N163" s="4"/>
      <c r="O163" s="4"/>
      <c r="P163" s="2"/>
    </row>
    <row r="164" spans="1:16" x14ac:dyDescent="0.3">
      <c r="A164" s="7"/>
      <c r="B164" s="4"/>
      <c r="C164" s="4"/>
      <c r="D164" s="4"/>
      <c r="E164" s="4"/>
      <c r="F164" s="4"/>
      <c r="G164" s="4"/>
      <c r="H164" s="4"/>
      <c r="I164" s="4"/>
      <c r="J164" s="4"/>
      <c r="K164" s="4"/>
      <c r="L164" s="4"/>
      <c r="M164" s="4"/>
      <c r="N164" s="4"/>
      <c r="O164" s="4"/>
      <c r="P164" s="2"/>
    </row>
    <row r="165" spans="1:16" x14ac:dyDescent="0.3">
      <c r="A165" s="7"/>
      <c r="B165" s="4"/>
      <c r="C165" s="4"/>
      <c r="D165" s="4"/>
      <c r="E165" s="4"/>
      <c r="F165" s="4"/>
      <c r="G165" s="4"/>
      <c r="H165" s="4"/>
      <c r="I165" s="4"/>
      <c r="J165" s="4"/>
      <c r="K165" s="4"/>
      <c r="L165" s="4"/>
      <c r="M165" s="4"/>
      <c r="N165" s="4"/>
      <c r="O165" s="4"/>
      <c r="P165" s="2"/>
    </row>
    <row r="166" spans="1:16" x14ac:dyDescent="0.3">
      <c r="A166" s="7"/>
      <c r="B166" s="4"/>
      <c r="C166" s="4"/>
      <c r="D166" s="4"/>
      <c r="E166" s="4"/>
      <c r="F166" s="4"/>
      <c r="G166" s="4"/>
      <c r="H166" s="4"/>
      <c r="I166" s="4"/>
      <c r="J166" s="4"/>
      <c r="K166" s="4"/>
      <c r="L166" s="4"/>
      <c r="M166" s="4"/>
      <c r="N166" s="4"/>
      <c r="O166" s="4"/>
      <c r="P166" s="2"/>
    </row>
    <row r="167" spans="1:16" x14ac:dyDescent="0.3">
      <c r="A167" s="7"/>
      <c r="B167" s="4"/>
      <c r="C167" s="4"/>
      <c r="D167" s="4"/>
      <c r="E167" s="4"/>
      <c r="F167" s="4"/>
      <c r="G167" s="4"/>
      <c r="H167" s="4"/>
      <c r="I167" s="4"/>
      <c r="J167" s="4"/>
      <c r="K167" s="4"/>
      <c r="L167" s="4"/>
      <c r="M167" s="4"/>
      <c r="N167" s="4"/>
      <c r="O167" s="4"/>
      <c r="P167" s="2"/>
    </row>
    <row r="168" spans="1:16" x14ac:dyDescent="0.3">
      <c r="A168" s="7"/>
      <c r="B168" s="4"/>
      <c r="C168" s="4"/>
      <c r="D168" s="4"/>
      <c r="E168" s="4"/>
      <c r="F168" s="4"/>
      <c r="G168" s="4"/>
      <c r="H168" s="4"/>
      <c r="I168" s="4"/>
      <c r="J168" s="4"/>
      <c r="K168" s="4"/>
      <c r="L168" s="4"/>
      <c r="M168" s="4"/>
      <c r="N168" s="4"/>
      <c r="O168" s="4"/>
      <c r="P168" s="2"/>
    </row>
    <row r="169" spans="1:16" x14ac:dyDescent="0.3">
      <c r="A169" s="7"/>
      <c r="B169" s="4"/>
      <c r="C169" s="4"/>
      <c r="D169" s="4"/>
      <c r="E169" s="4"/>
      <c r="F169" s="4"/>
      <c r="G169" s="4"/>
      <c r="H169" s="4"/>
      <c r="I169" s="4"/>
      <c r="J169" s="4"/>
      <c r="K169" s="4"/>
      <c r="L169" s="4"/>
      <c r="M169" s="4"/>
      <c r="N169" s="4"/>
      <c r="O169" s="4"/>
      <c r="P169" s="2"/>
    </row>
    <row r="170" spans="1:16" x14ac:dyDescent="0.3">
      <c r="A170" s="7"/>
      <c r="B170" s="4"/>
      <c r="C170" s="4"/>
      <c r="D170" s="4"/>
      <c r="E170" s="4"/>
      <c r="F170" s="4"/>
      <c r="G170" s="4"/>
      <c r="H170" s="4"/>
      <c r="I170" s="4"/>
      <c r="J170" s="4"/>
      <c r="K170" s="4"/>
      <c r="L170" s="4"/>
      <c r="M170" s="4"/>
      <c r="N170" s="4"/>
      <c r="O170" s="4"/>
      <c r="P170" s="2"/>
    </row>
    <row r="171" spans="1:16" x14ac:dyDescent="0.3">
      <c r="A171" s="7"/>
      <c r="B171" s="4"/>
      <c r="C171" s="4"/>
      <c r="D171" s="4"/>
      <c r="E171" s="4"/>
      <c r="F171" s="4"/>
      <c r="G171" s="4"/>
      <c r="H171" s="4"/>
      <c r="I171" s="4"/>
      <c r="J171" s="4"/>
      <c r="K171" s="4"/>
      <c r="L171" s="4"/>
      <c r="M171" s="4"/>
      <c r="N171" s="4"/>
      <c r="O171" s="4"/>
      <c r="P171" s="2"/>
    </row>
    <row r="172" spans="1:16" x14ac:dyDescent="0.3">
      <c r="A172" s="7"/>
      <c r="B172" s="4"/>
      <c r="C172" s="4"/>
      <c r="D172" s="4"/>
      <c r="E172" s="4"/>
      <c r="F172" s="4"/>
      <c r="G172" s="4"/>
      <c r="H172" s="4"/>
      <c r="I172" s="4"/>
      <c r="J172" s="4"/>
      <c r="K172" s="4"/>
      <c r="L172" s="4"/>
      <c r="M172" s="4"/>
      <c r="N172" s="4"/>
      <c r="O172" s="4"/>
      <c r="P172" s="2"/>
    </row>
    <row r="173" spans="1:16" x14ac:dyDescent="0.3">
      <c r="A173" s="7"/>
      <c r="B173" s="4"/>
      <c r="C173" s="4"/>
      <c r="D173" s="4"/>
      <c r="E173" s="4"/>
      <c r="F173" s="4"/>
      <c r="G173" s="4"/>
      <c r="H173" s="4"/>
      <c r="I173" s="4"/>
      <c r="J173" s="4"/>
      <c r="K173" s="4"/>
      <c r="L173" s="4"/>
      <c r="M173" s="4"/>
      <c r="N173" s="4"/>
      <c r="O173" s="4"/>
      <c r="P173" s="2"/>
    </row>
    <row r="174" spans="1:16" x14ac:dyDescent="0.3">
      <c r="A174" s="7"/>
      <c r="B174" s="4"/>
      <c r="C174" s="4"/>
      <c r="D174" s="4"/>
      <c r="E174" s="4"/>
      <c r="F174" s="4"/>
      <c r="G174" s="4"/>
      <c r="H174" s="4"/>
      <c r="I174" s="4"/>
      <c r="J174" s="4"/>
      <c r="K174" s="4"/>
      <c r="L174" s="4"/>
      <c r="M174" s="4"/>
      <c r="N174" s="4"/>
      <c r="O174" s="4"/>
      <c r="P174" s="2"/>
    </row>
    <row r="175" spans="1:16" x14ac:dyDescent="0.3">
      <c r="A175" s="7"/>
      <c r="B175" s="4"/>
      <c r="C175" s="4"/>
      <c r="D175" s="4"/>
      <c r="E175" s="4"/>
      <c r="F175" s="4"/>
      <c r="G175" s="4"/>
      <c r="H175" s="4"/>
      <c r="I175" s="4"/>
      <c r="J175" s="4"/>
      <c r="K175" s="4"/>
      <c r="L175" s="4"/>
      <c r="M175" s="4"/>
      <c r="N175" s="4"/>
      <c r="O175" s="4"/>
      <c r="P175" s="2"/>
    </row>
    <row r="176" spans="1:16" x14ac:dyDescent="0.3">
      <c r="A176" s="7"/>
      <c r="B176" s="4"/>
      <c r="C176" s="4"/>
      <c r="D176" s="4"/>
      <c r="E176" s="4"/>
      <c r="F176" s="4"/>
      <c r="G176" s="4"/>
      <c r="H176" s="4"/>
      <c r="I176" s="4"/>
      <c r="J176" s="4"/>
      <c r="K176" s="4"/>
      <c r="L176" s="4"/>
      <c r="M176" s="4"/>
      <c r="N176" s="4"/>
      <c r="O176" s="4"/>
      <c r="P176" s="2"/>
    </row>
    <row r="177" spans="1:16" x14ac:dyDescent="0.3">
      <c r="A177" s="7"/>
      <c r="B177" s="4"/>
      <c r="C177" s="4"/>
      <c r="D177" s="4"/>
      <c r="E177" s="4"/>
      <c r="F177" s="4"/>
      <c r="G177" s="4"/>
      <c r="H177" s="4"/>
      <c r="I177" s="4"/>
      <c r="J177" s="4"/>
      <c r="K177" s="4"/>
      <c r="L177" s="4"/>
      <c r="M177" s="4"/>
      <c r="N177" s="4"/>
      <c r="O177" s="4"/>
      <c r="P177" s="2"/>
    </row>
    <row r="178" spans="1:16" x14ac:dyDescent="0.3">
      <c r="A178" s="7"/>
      <c r="B178" s="4"/>
      <c r="C178" s="4"/>
      <c r="D178" s="4"/>
      <c r="E178" s="4"/>
      <c r="F178" s="4"/>
      <c r="G178" s="4"/>
      <c r="H178" s="4"/>
      <c r="I178" s="4"/>
      <c r="J178" s="4"/>
      <c r="K178" s="4"/>
      <c r="L178" s="4"/>
      <c r="M178" s="4"/>
      <c r="N178" s="4"/>
      <c r="O178" s="4"/>
      <c r="P178" s="2"/>
    </row>
    <row r="179" spans="1:16" x14ac:dyDescent="0.3">
      <c r="A179" s="7"/>
      <c r="B179" s="4"/>
      <c r="C179" s="4"/>
      <c r="D179" s="4"/>
      <c r="E179" s="4"/>
      <c r="F179" s="4"/>
      <c r="G179" s="4"/>
      <c r="H179" s="4"/>
      <c r="I179" s="4"/>
      <c r="J179" s="4"/>
      <c r="K179" s="4"/>
      <c r="L179" s="4"/>
      <c r="M179" s="4"/>
      <c r="N179" s="4"/>
      <c r="O179" s="4"/>
      <c r="P179" s="2"/>
    </row>
    <row r="180" spans="1:16" x14ac:dyDescent="0.3">
      <c r="A180" s="7"/>
      <c r="B180" s="4"/>
      <c r="C180" s="4"/>
      <c r="D180" s="4"/>
      <c r="E180" s="4"/>
      <c r="F180" s="4"/>
      <c r="G180" s="4"/>
      <c r="H180" s="4"/>
      <c r="I180" s="4"/>
      <c r="J180" s="4"/>
      <c r="K180" s="4"/>
      <c r="L180" s="4"/>
      <c r="M180" s="4"/>
      <c r="N180" s="4"/>
      <c r="O180" s="4"/>
      <c r="P180" s="2"/>
    </row>
    <row r="181" spans="1:16" x14ac:dyDescent="0.3">
      <c r="A181" s="7"/>
      <c r="B181" s="4"/>
      <c r="C181" s="4"/>
      <c r="D181" s="4"/>
      <c r="E181" s="4"/>
      <c r="F181" s="4"/>
      <c r="G181" s="4"/>
      <c r="H181" s="4"/>
      <c r="I181" s="4"/>
      <c r="J181" s="4"/>
      <c r="K181" s="4"/>
      <c r="L181" s="4"/>
      <c r="M181" s="4"/>
      <c r="N181" s="4"/>
      <c r="O181" s="4"/>
      <c r="P181" s="2"/>
    </row>
    <row r="182" spans="1:16" x14ac:dyDescent="0.3">
      <c r="A182" s="7"/>
      <c r="B182" s="4"/>
      <c r="C182" s="4"/>
      <c r="D182" s="4"/>
      <c r="E182" s="4"/>
      <c r="F182" s="4"/>
      <c r="G182" s="4"/>
      <c r="H182" s="4"/>
      <c r="I182" s="4"/>
      <c r="J182" s="4"/>
      <c r="K182" s="4"/>
      <c r="L182" s="4"/>
      <c r="M182" s="4"/>
      <c r="N182" s="4"/>
      <c r="O182" s="4"/>
      <c r="P182" s="2"/>
    </row>
    <row r="183" spans="1:16" x14ac:dyDescent="0.3">
      <c r="A183" s="7"/>
      <c r="B183" s="4"/>
      <c r="C183" s="4"/>
      <c r="D183" s="4"/>
      <c r="E183" s="4"/>
      <c r="F183" s="4"/>
      <c r="G183" s="4"/>
      <c r="H183" s="4"/>
      <c r="I183" s="4"/>
      <c r="J183" s="4"/>
      <c r="K183" s="4"/>
      <c r="L183" s="4"/>
      <c r="M183" s="4"/>
      <c r="N183" s="4"/>
      <c r="O183" s="4"/>
      <c r="P183" s="2"/>
    </row>
    <row r="184" spans="1:16" x14ac:dyDescent="0.3">
      <c r="A184" s="7"/>
      <c r="B184" s="4"/>
      <c r="C184" s="4"/>
      <c r="D184" s="4"/>
      <c r="E184" s="4"/>
      <c r="F184" s="4"/>
      <c r="G184" s="4"/>
      <c r="H184" s="4"/>
      <c r="I184" s="4"/>
      <c r="J184" s="4"/>
      <c r="K184" s="4"/>
      <c r="L184" s="4"/>
      <c r="M184" s="4"/>
      <c r="N184" s="4"/>
      <c r="O184" s="4"/>
      <c r="P184" s="2"/>
    </row>
    <row r="185" spans="1:16" ht="21" x14ac:dyDescent="0.4">
      <c r="A185" s="7"/>
      <c r="B185" s="20" t="s">
        <v>214</v>
      </c>
      <c r="C185" s="4"/>
      <c r="D185" s="4"/>
      <c r="E185" s="4"/>
      <c r="F185" s="4"/>
      <c r="G185" s="4"/>
      <c r="H185" s="4"/>
      <c r="I185" s="4"/>
      <c r="J185" s="4"/>
      <c r="K185" s="4"/>
      <c r="L185" s="4"/>
      <c r="M185" s="4"/>
      <c r="N185" s="4"/>
      <c r="O185" s="4"/>
      <c r="P185" s="2"/>
    </row>
    <row r="186" spans="1:16" x14ac:dyDescent="0.3">
      <c r="A186" s="7"/>
      <c r="B186" s="4" t="s">
        <v>209</v>
      </c>
      <c r="C186" s="4"/>
      <c r="D186" s="4"/>
      <c r="E186" s="4"/>
      <c r="F186" s="4"/>
      <c r="G186" s="4"/>
      <c r="H186" s="4"/>
      <c r="I186" s="4"/>
      <c r="J186" s="4"/>
      <c r="K186" s="4"/>
      <c r="L186" s="4"/>
      <c r="M186" s="4"/>
      <c r="N186" s="4"/>
      <c r="O186" s="4"/>
      <c r="P186" s="2"/>
    </row>
    <row r="187" spans="1:16" x14ac:dyDescent="0.3">
      <c r="A187" s="7"/>
      <c r="B187" s="4"/>
      <c r="C187" s="4"/>
      <c r="D187" s="4"/>
      <c r="E187" s="4"/>
      <c r="F187" s="4"/>
      <c r="G187" s="4"/>
      <c r="H187" s="4"/>
      <c r="I187" s="4"/>
      <c r="J187" s="4"/>
      <c r="K187" s="4"/>
      <c r="L187" s="4"/>
      <c r="M187" s="4"/>
      <c r="N187" s="4"/>
      <c r="O187" s="4"/>
      <c r="P187" s="2"/>
    </row>
    <row r="188" spans="1:16" x14ac:dyDescent="0.3">
      <c r="A188" s="7"/>
      <c r="B188" s="4"/>
      <c r="C188" s="4"/>
      <c r="D188" s="4"/>
      <c r="E188" s="4"/>
      <c r="F188" s="4"/>
      <c r="G188" s="4"/>
      <c r="H188" s="4"/>
      <c r="I188" s="4"/>
      <c r="J188" s="4"/>
      <c r="K188" s="4"/>
      <c r="L188" s="4"/>
      <c r="M188" s="4"/>
      <c r="N188" s="4"/>
      <c r="O188" s="4"/>
      <c r="P188" s="2"/>
    </row>
    <row r="189" spans="1:16" x14ac:dyDescent="0.3">
      <c r="A189" s="7"/>
      <c r="B189" s="4"/>
      <c r="C189" s="4"/>
      <c r="D189" s="4"/>
      <c r="E189" s="4"/>
      <c r="F189" s="4"/>
      <c r="G189" s="4"/>
      <c r="H189" s="4"/>
      <c r="I189" s="4"/>
      <c r="J189" s="4"/>
      <c r="K189" s="4"/>
      <c r="L189" s="4"/>
      <c r="M189" s="4"/>
      <c r="N189" s="4"/>
      <c r="O189" s="4"/>
      <c r="P189" s="2"/>
    </row>
    <row r="190" spans="1:16" x14ac:dyDescent="0.3">
      <c r="A190" s="7"/>
      <c r="B190" s="4"/>
      <c r="C190" s="4"/>
      <c r="D190" s="4"/>
      <c r="E190" s="4"/>
      <c r="F190" s="4"/>
      <c r="G190" s="4"/>
      <c r="H190" s="4"/>
      <c r="I190" s="4"/>
      <c r="J190" s="4"/>
      <c r="K190" s="4"/>
      <c r="L190" s="4"/>
      <c r="M190" s="4"/>
      <c r="N190" s="4"/>
      <c r="O190" s="4"/>
      <c r="P190" s="2"/>
    </row>
    <row r="191" spans="1:16" x14ac:dyDescent="0.3">
      <c r="A191" s="7"/>
      <c r="B191" s="4"/>
      <c r="C191" s="4"/>
      <c r="D191" s="4"/>
      <c r="E191" s="4"/>
      <c r="F191" s="4"/>
      <c r="G191" s="4"/>
      <c r="H191" s="4"/>
      <c r="I191" s="4"/>
      <c r="J191" s="4"/>
      <c r="K191" s="4"/>
      <c r="L191" s="4"/>
      <c r="M191" s="4"/>
      <c r="N191" s="4"/>
      <c r="O191" s="4"/>
      <c r="P191" s="2"/>
    </row>
    <row r="192" spans="1:16" x14ac:dyDescent="0.3">
      <c r="A192" s="7"/>
      <c r="B192" s="4"/>
      <c r="C192" s="4"/>
      <c r="D192" s="4"/>
      <c r="E192" s="4"/>
      <c r="F192" s="4"/>
      <c r="G192" s="4"/>
      <c r="H192" s="4"/>
      <c r="I192" s="4"/>
      <c r="J192" s="4"/>
      <c r="K192" s="4"/>
      <c r="L192" s="4"/>
      <c r="M192" s="4"/>
      <c r="N192" s="4"/>
      <c r="O192" s="4"/>
      <c r="P192" s="2"/>
    </row>
    <row r="193" spans="1:16" x14ac:dyDescent="0.3">
      <c r="A193" s="7"/>
      <c r="B193" s="4"/>
      <c r="C193" s="4"/>
      <c r="D193" s="4"/>
      <c r="E193" s="4"/>
      <c r="F193" s="4"/>
      <c r="G193" s="4"/>
      <c r="H193" s="4"/>
      <c r="I193" s="4"/>
      <c r="J193" s="4"/>
      <c r="K193" s="4"/>
      <c r="L193" s="4"/>
      <c r="M193" s="4"/>
      <c r="N193" s="4"/>
      <c r="O193" s="4"/>
      <c r="P193" s="2"/>
    </row>
    <row r="194" spans="1:16" x14ac:dyDescent="0.3">
      <c r="A194" s="7"/>
      <c r="B194" s="4"/>
      <c r="C194" s="4"/>
      <c r="D194" s="4"/>
      <c r="E194" s="4"/>
      <c r="F194" s="4"/>
      <c r="G194" s="4"/>
      <c r="H194" s="4"/>
      <c r="I194" s="4"/>
      <c r="J194" s="4"/>
      <c r="K194" s="4"/>
      <c r="L194" s="4"/>
      <c r="M194" s="4"/>
      <c r="N194" s="4"/>
      <c r="O194" s="4"/>
      <c r="P194" s="2"/>
    </row>
    <row r="195" spans="1:16" x14ac:dyDescent="0.3">
      <c r="A195" s="7"/>
      <c r="B195" s="4"/>
      <c r="C195" s="4"/>
      <c r="D195" s="4"/>
      <c r="E195" s="4"/>
      <c r="F195" s="4"/>
      <c r="G195" s="4"/>
      <c r="H195" s="4"/>
      <c r="I195" s="4"/>
      <c r="J195" s="4"/>
      <c r="K195" s="4"/>
      <c r="L195" s="4"/>
      <c r="M195" s="4"/>
      <c r="N195" s="4"/>
      <c r="O195" s="4"/>
      <c r="P195" s="2"/>
    </row>
    <row r="196" spans="1:16" x14ac:dyDescent="0.3">
      <c r="A196" s="7"/>
      <c r="B196" s="4"/>
      <c r="C196" s="4"/>
      <c r="D196" s="4"/>
      <c r="E196" s="4"/>
      <c r="F196" s="4"/>
      <c r="G196" s="4"/>
      <c r="H196" s="4"/>
      <c r="I196" s="4"/>
      <c r="J196" s="4"/>
      <c r="K196" s="4"/>
      <c r="L196" s="4"/>
      <c r="M196" s="4"/>
      <c r="N196" s="4"/>
      <c r="O196" s="4"/>
      <c r="P196" s="2"/>
    </row>
    <row r="197" spans="1:16" x14ac:dyDescent="0.3">
      <c r="A197" s="7"/>
      <c r="B197" s="4"/>
      <c r="C197" s="4"/>
      <c r="D197" s="4"/>
      <c r="E197" s="4"/>
      <c r="F197" s="4"/>
      <c r="G197" s="4"/>
      <c r="H197" s="4"/>
      <c r="I197" s="4"/>
      <c r="J197" s="4"/>
      <c r="K197" s="4"/>
      <c r="L197" s="4"/>
      <c r="M197" s="4"/>
      <c r="N197" s="4"/>
      <c r="O197" s="4"/>
      <c r="P197" s="2"/>
    </row>
    <row r="198" spans="1:16" x14ac:dyDescent="0.3">
      <c r="A198" s="7"/>
      <c r="B198" s="4"/>
      <c r="C198" s="4"/>
      <c r="D198" s="4"/>
      <c r="E198" s="4"/>
      <c r="F198" s="4"/>
      <c r="G198" s="4"/>
      <c r="H198" s="4"/>
      <c r="I198" s="4"/>
      <c r="J198" s="4"/>
      <c r="K198" s="4"/>
      <c r="L198" s="4"/>
      <c r="M198" s="4"/>
      <c r="N198" s="4"/>
      <c r="O198" s="4"/>
      <c r="P198" s="2"/>
    </row>
    <row r="199" spans="1:16" x14ac:dyDescent="0.3">
      <c r="A199" s="7"/>
      <c r="B199" s="4"/>
      <c r="C199" s="4"/>
      <c r="D199" s="4"/>
      <c r="E199" s="4"/>
      <c r="F199" s="4"/>
      <c r="G199" s="4"/>
      <c r="H199" s="4"/>
      <c r="I199" s="4"/>
      <c r="J199" s="4"/>
      <c r="K199" s="4"/>
      <c r="L199" s="4"/>
      <c r="M199" s="4"/>
      <c r="N199" s="4"/>
      <c r="O199" s="4"/>
      <c r="P199" s="2"/>
    </row>
    <row r="200" spans="1:16" x14ac:dyDescent="0.3">
      <c r="A200" s="7"/>
      <c r="B200" s="4"/>
      <c r="C200" s="4"/>
      <c r="D200" s="4"/>
      <c r="E200" s="4"/>
      <c r="F200" s="4"/>
      <c r="G200" s="4"/>
      <c r="H200" s="4"/>
      <c r="I200" s="4"/>
      <c r="J200" s="4"/>
      <c r="K200" s="4"/>
      <c r="L200" s="4"/>
      <c r="M200" s="4"/>
      <c r="N200" s="4"/>
      <c r="O200" s="4"/>
      <c r="P200" s="2"/>
    </row>
    <row r="201" spans="1:16" x14ac:dyDescent="0.3">
      <c r="A201" s="7"/>
      <c r="B201" s="4"/>
      <c r="C201" s="4"/>
      <c r="D201" s="4"/>
      <c r="E201" s="4"/>
      <c r="F201" s="4"/>
      <c r="G201" s="4"/>
      <c r="H201" s="4"/>
      <c r="I201" s="4"/>
      <c r="J201" s="4"/>
      <c r="K201" s="4"/>
      <c r="L201" s="4"/>
      <c r="M201" s="4"/>
      <c r="N201" s="4"/>
      <c r="O201" s="4"/>
      <c r="P201" s="2"/>
    </row>
    <row r="202" spans="1:16" x14ac:dyDescent="0.3">
      <c r="A202" s="7"/>
      <c r="B202" s="4"/>
      <c r="C202" s="4"/>
      <c r="D202" s="4"/>
      <c r="E202" s="4"/>
      <c r="F202" s="4"/>
      <c r="G202" s="4"/>
      <c r="H202" s="4"/>
      <c r="I202" s="4"/>
      <c r="J202" s="4"/>
      <c r="K202" s="4"/>
      <c r="L202" s="4"/>
      <c r="M202" s="4"/>
      <c r="N202" s="4"/>
      <c r="O202" s="4"/>
      <c r="P202" s="2"/>
    </row>
    <row r="203" spans="1:16" x14ac:dyDescent="0.3">
      <c r="A203" s="7"/>
      <c r="B203" s="4"/>
      <c r="C203" s="4"/>
      <c r="D203" s="4"/>
      <c r="E203" s="4"/>
      <c r="F203" s="4"/>
      <c r="G203" s="4"/>
      <c r="H203" s="4"/>
      <c r="I203" s="4"/>
      <c r="J203" s="4"/>
      <c r="K203" s="4"/>
      <c r="L203" s="4"/>
      <c r="M203" s="4"/>
      <c r="N203" s="4"/>
      <c r="O203" s="4"/>
      <c r="P203" s="2"/>
    </row>
    <row r="204" spans="1:16" x14ac:dyDescent="0.3">
      <c r="A204" s="7"/>
      <c r="B204" s="4"/>
      <c r="C204" s="4"/>
      <c r="D204" s="4"/>
      <c r="E204" s="4"/>
      <c r="F204" s="4"/>
      <c r="G204" s="4"/>
      <c r="H204" s="4"/>
      <c r="I204" s="4"/>
      <c r="J204" s="4"/>
      <c r="K204" s="4"/>
      <c r="L204" s="4"/>
      <c r="M204" s="4"/>
      <c r="N204" s="4"/>
      <c r="O204" s="4"/>
      <c r="P204" s="2"/>
    </row>
    <row r="205" spans="1:16" x14ac:dyDescent="0.3">
      <c r="A205" s="7"/>
      <c r="B205" s="4"/>
      <c r="C205" s="4"/>
      <c r="D205" s="4"/>
      <c r="E205" s="4"/>
      <c r="F205" s="4"/>
      <c r="G205" s="4"/>
      <c r="H205" s="4"/>
      <c r="I205" s="4"/>
      <c r="J205" s="4"/>
      <c r="K205" s="4"/>
      <c r="L205" s="4"/>
      <c r="M205" s="4"/>
      <c r="N205" s="4"/>
      <c r="O205" s="4"/>
      <c r="P205" s="2"/>
    </row>
    <row r="206" spans="1:16" x14ac:dyDescent="0.3">
      <c r="A206" s="7"/>
      <c r="B206" s="4"/>
      <c r="C206" s="4"/>
      <c r="D206" s="4"/>
      <c r="E206" s="4"/>
      <c r="F206" s="4"/>
      <c r="G206" s="4"/>
      <c r="H206" s="4"/>
      <c r="I206" s="4"/>
      <c r="J206" s="4"/>
      <c r="K206" s="4"/>
      <c r="L206" s="4"/>
      <c r="M206" s="4"/>
      <c r="N206" s="4"/>
      <c r="O206" s="4"/>
      <c r="P206" s="2"/>
    </row>
    <row r="207" spans="1:16" x14ac:dyDescent="0.3">
      <c r="A207" s="7"/>
      <c r="B207" s="4"/>
      <c r="C207" s="4"/>
      <c r="D207" s="4"/>
      <c r="E207" s="4"/>
      <c r="F207" s="4"/>
      <c r="G207" s="4"/>
      <c r="H207" s="4"/>
      <c r="I207" s="4"/>
      <c r="J207" s="4"/>
      <c r="K207" s="4"/>
      <c r="L207" s="4"/>
      <c r="M207" s="4"/>
      <c r="N207" s="4"/>
      <c r="O207" s="4"/>
      <c r="P207" s="2"/>
    </row>
    <row r="208" spans="1:16" x14ac:dyDescent="0.3">
      <c r="A208" s="7"/>
      <c r="B208" s="4"/>
      <c r="C208" s="4"/>
      <c r="D208" s="4"/>
      <c r="E208" s="4"/>
      <c r="F208" s="4"/>
      <c r="G208" s="4"/>
      <c r="H208" s="4"/>
      <c r="I208" s="4"/>
      <c r="J208" s="4"/>
      <c r="K208" s="4"/>
      <c r="L208" s="4"/>
      <c r="M208" s="4"/>
      <c r="N208" s="4"/>
      <c r="O208" s="4"/>
      <c r="P208" s="2"/>
    </row>
    <row r="209" spans="1:16" x14ac:dyDescent="0.3">
      <c r="A209" s="7"/>
      <c r="B209" s="4"/>
      <c r="C209" s="4"/>
      <c r="D209" s="4"/>
      <c r="E209" s="4"/>
      <c r="F209" s="4"/>
      <c r="G209" s="4"/>
      <c r="H209" s="4"/>
      <c r="I209" s="4"/>
      <c r="J209" s="4"/>
      <c r="K209" s="4"/>
      <c r="L209" s="4"/>
      <c r="M209" s="4"/>
      <c r="N209" s="4"/>
      <c r="O209" s="4"/>
      <c r="P209" s="2"/>
    </row>
    <row r="210" spans="1:16" x14ac:dyDescent="0.3">
      <c r="A210" s="7"/>
      <c r="B210" s="4"/>
      <c r="C210" s="4"/>
      <c r="D210" s="4"/>
      <c r="E210" s="4"/>
      <c r="F210" s="4"/>
      <c r="G210" s="4"/>
      <c r="H210" s="4"/>
      <c r="I210" s="4"/>
      <c r="J210" s="4"/>
      <c r="K210" s="4"/>
      <c r="L210" s="4"/>
      <c r="M210" s="4"/>
      <c r="N210" s="4"/>
      <c r="O210" s="4"/>
      <c r="P210" s="2"/>
    </row>
    <row r="211" spans="1:16" ht="21" x14ac:dyDescent="0.4">
      <c r="A211" s="7"/>
      <c r="B211" s="20" t="s">
        <v>215</v>
      </c>
      <c r="C211" s="4"/>
      <c r="D211" s="4"/>
      <c r="E211" s="4"/>
      <c r="F211" s="4"/>
      <c r="G211" s="4"/>
      <c r="H211" s="4"/>
      <c r="I211" s="4"/>
      <c r="J211" s="4"/>
      <c r="K211" s="4"/>
      <c r="L211" s="4"/>
      <c r="M211" s="4"/>
      <c r="N211" s="4"/>
      <c r="O211" s="4"/>
      <c r="P211" s="2"/>
    </row>
    <row r="212" spans="1:16" x14ac:dyDescent="0.3">
      <c r="A212" s="7"/>
      <c r="B212" s="4" t="s">
        <v>209</v>
      </c>
      <c r="C212" s="4"/>
      <c r="D212" s="4"/>
      <c r="E212" s="4"/>
      <c r="F212" s="4"/>
      <c r="G212" s="4"/>
      <c r="H212" s="4"/>
      <c r="I212" s="4"/>
      <c r="J212" s="4"/>
      <c r="K212" s="4"/>
      <c r="L212" s="4"/>
      <c r="M212" s="4"/>
      <c r="N212" s="4"/>
      <c r="O212" s="4"/>
      <c r="P212" s="2"/>
    </row>
    <row r="213" spans="1:16" x14ac:dyDescent="0.3">
      <c r="A213" s="7"/>
      <c r="B213" s="4"/>
      <c r="C213" s="4"/>
      <c r="D213" s="4"/>
      <c r="E213" s="4"/>
      <c r="F213" s="4"/>
      <c r="G213" s="4"/>
      <c r="H213" s="4"/>
      <c r="I213" s="4"/>
      <c r="J213" s="4"/>
      <c r="K213" s="4"/>
      <c r="L213" s="4"/>
      <c r="M213" s="4"/>
      <c r="N213" s="4"/>
      <c r="O213" s="4"/>
      <c r="P213" s="2"/>
    </row>
    <row r="214" spans="1:16" x14ac:dyDescent="0.3">
      <c r="A214" s="7"/>
      <c r="B214" s="4"/>
      <c r="C214" s="4"/>
      <c r="D214" s="4"/>
      <c r="E214" s="4"/>
      <c r="F214" s="4"/>
      <c r="G214" s="4"/>
      <c r="H214" s="4"/>
      <c r="I214" s="4"/>
      <c r="J214" s="4"/>
      <c r="K214" s="4"/>
      <c r="L214" s="4"/>
      <c r="M214" s="4"/>
      <c r="N214" s="4"/>
      <c r="O214" s="4"/>
      <c r="P214" s="2"/>
    </row>
    <row r="215" spans="1:16" x14ac:dyDescent="0.3">
      <c r="A215" s="7"/>
      <c r="B215" s="4"/>
      <c r="C215" s="4"/>
      <c r="D215" s="4"/>
      <c r="E215" s="4"/>
      <c r="F215" s="4"/>
      <c r="G215" s="4"/>
      <c r="H215" s="4"/>
      <c r="I215" s="4"/>
      <c r="J215" s="4"/>
      <c r="K215" s="4"/>
      <c r="L215" s="4"/>
      <c r="M215" s="4"/>
      <c r="N215" s="4"/>
      <c r="O215" s="4"/>
      <c r="P215" s="2"/>
    </row>
    <row r="216" spans="1:16" x14ac:dyDescent="0.3">
      <c r="A216" s="7"/>
      <c r="B216" s="4"/>
      <c r="C216" s="4"/>
      <c r="D216" s="4"/>
      <c r="E216" s="4"/>
      <c r="F216" s="4"/>
      <c r="G216" s="4"/>
      <c r="H216" s="4"/>
      <c r="I216" s="4"/>
      <c r="J216" s="4"/>
      <c r="K216" s="4"/>
      <c r="L216" s="4"/>
      <c r="M216" s="4"/>
      <c r="N216" s="4"/>
      <c r="O216" s="4"/>
      <c r="P216" s="2"/>
    </row>
    <row r="217" spans="1:16" x14ac:dyDescent="0.3">
      <c r="A217" s="7"/>
      <c r="B217" s="4"/>
      <c r="C217" s="4"/>
      <c r="D217" s="4"/>
      <c r="E217" s="4"/>
      <c r="F217" s="4"/>
      <c r="G217" s="4"/>
      <c r="H217" s="4"/>
      <c r="I217" s="4"/>
      <c r="J217" s="4"/>
      <c r="K217" s="4"/>
      <c r="L217" s="4"/>
      <c r="M217" s="4"/>
      <c r="N217" s="4"/>
      <c r="O217" s="4"/>
      <c r="P217" s="2"/>
    </row>
    <row r="218" spans="1:16" x14ac:dyDescent="0.3">
      <c r="A218" s="7"/>
      <c r="B218" s="4"/>
      <c r="C218" s="4"/>
      <c r="D218" s="4"/>
      <c r="E218" s="4"/>
      <c r="F218" s="4"/>
      <c r="G218" s="4"/>
      <c r="H218" s="4"/>
      <c r="I218" s="4"/>
      <c r="J218" s="4"/>
      <c r="K218" s="4"/>
      <c r="L218" s="4"/>
      <c r="M218" s="4"/>
      <c r="N218" s="4"/>
      <c r="O218" s="4"/>
      <c r="P218" s="2"/>
    </row>
    <row r="219" spans="1:16" x14ac:dyDescent="0.3">
      <c r="A219" s="7"/>
      <c r="B219" s="4"/>
      <c r="C219" s="4"/>
      <c r="D219" s="4"/>
      <c r="E219" s="4"/>
      <c r="F219" s="4"/>
      <c r="G219" s="4"/>
      <c r="H219" s="4"/>
      <c r="I219" s="4"/>
      <c r="J219" s="4"/>
      <c r="K219" s="4"/>
      <c r="L219" s="4"/>
      <c r="M219" s="4"/>
      <c r="N219" s="4"/>
      <c r="O219" s="4"/>
      <c r="P219" s="2"/>
    </row>
    <row r="220" spans="1:16" x14ac:dyDescent="0.3">
      <c r="A220" s="7"/>
      <c r="B220" s="4"/>
      <c r="C220" s="4"/>
      <c r="D220" s="4"/>
      <c r="E220" s="4"/>
      <c r="F220" s="4"/>
      <c r="G220" s="4"/>
      <c r="H220" s="4"/>
      <c r="I220" s="4"/>
      <c r="J220" s="4"/>
      <c r="K220" s="4"/>
      <c r="L220" s="4"/>
      <c r="M220" s="4"/>
      <c r="N220" s="4"/>
      <c r="O220" s="4"/>
      <c r="P220" s="2"/>
    </row>
    <row r="221" spans="1:16" x14ac:dyDescent="0.3">
      <c r="A221" s="7"/>
      <c r="B221" s="4"/>
      <c r="C221" s="4"/>
      <c r="D221" s="4"/>
      <c r="E221" s="4"/>
      <c r="F221" s="4"/>
      <c r="G221" s="4"/>
      <c r="H221" s="4"/>
      <c r="I221" s="4"/>
      <c r="J221" s="4"/>
      <c r="K221" s="4"/>
      <c r="L221" s="4"/>
      <c r="M221" s="4"/>
      <c r="N221" s="4"/>
      <c r="O221" s="4"/>
      <c r="P221" s="2"/>
    </row>
    <row r="222" spans="1:16" x14ac:dyDescent="0.3">
      <c r="A222" s="7"/>
      <c r="B222" s="4"/>
      <c r="C222" s="4"/>
      <c r="D222" s="4"/>
      <c r="E222" s="4"/>
      <c r="F222" s="4"/>
      <c r="G222" s="4"/>
      <c r="H222" s="4"/>
      <c r="I222" s="4"/>
      <c r="J222" s="4"/>
      <c r="K222" s="4"/>
      <c r="L222" s="4"/>
      <c r="M222" s="4"/>
      <c r="N222" s="4"/>
      <c r="O222" s="4"/>
      <c r="P222" s="2"/>
    </row>
    <row r="223" spans="1:16" x14ac:dyDescent="0.3">
      <c r="A223" s="7"/>
      <c r="B223" s="4"/>
      <c r="C223" s="4"/>
      <c r="D223" s="4"/>
      <c r="E223" s="4"/>
      <c r="F223" s="4"/>
      <c r="G223" s="4"/>
      <c r="H223" s="4"/>
      <c r="I223" s="4"/>
      <c r="J223" s="4"/>
      <c r="K223" s="4"/>
      <c r="L223" s="4"/>
      <c r="M223" s="4"/>
      <c r="N223" s="4"/>
      <c r="O223" s="4"/>
      <c r="P223" s="2"/>
    </row>
    <row r="224" spans="1:16" x14ac:dyDescent="0.3">
      <c r="A224" s="7"/>
      <c r="B224" s="4"/>
      <c r="C224" s="4"/>
      <c r="D224" s="4"/>
      <c r="E224" s="4"/>
      <c r="F224" s="4"/>
      <c r="G224" s="4"/>
      <c r="H224" s="4"/>
      <c r="I224" s="4"/>
      <c r="J224" s="4"/>
      <c r="K224" s="4"/>
      <c r="L224" s="4"/>
      <c r="M224" s="4"/>
      <c r="N224" s="4"/>
      <c r="O224" s="4"/>
      <c r="P224" s="2"/>
    </row>
    <row r="225" spans="1:16" x14ac:dyDescent="0.3">
      <c r="A225" s="7"/>
      <c r="B225" s="4"/>
      <c r="C225" s="4"/>
      <c r="D225" s="4"/>
      <c r="E225" s="4"/>
      <c r="F225" s="4"/>
      <c r="G225" s="4"/>
      <c r="H225" s="4"/>
      <c r="I225" s="4"/>
      <c r="J225" s="4"/>
      <c r="K225" s="4"/>
      <c r="L225" s="4"/>
      <c r="M225" s="4"/>
      <c r="N225" s="4"/>
      <c r="O225" s="4"/>
      <c r="P225" s="2"/>
    </row>
    <row r="226" spans="1:16" x14ac:dyDescent="0.3">
      <c r="A226" s="7"/>
      <c r="B226" s="4"/>
      <c r="C226" s="4"/>
      <c r="D226" s="4"/>
      <c r="E226" s="4"/>
      <c r="F226" s="4"/>
      <c r="G226" s="4"/>
      <c r="H226" s="4"/>
      <c r="I226" s="4"/>
      <c r="J226" s="4"/>
      <c r="K226" s="4"/>
      <c r="L226" s="4"/>
      <c r="M226" s="4"/>
      <c r="N226" s="4"/>
      <c r="O226" s="4"/>
      <c r="P226" s="2"/>
    </row>
    <row r="227" spans="1:16" x14ac:dyDescent="0.3">
      <c r="A227" s="7"/>
      <c r="B227" s="4"/>
      <c r="C227" s="4"/>
      <c r="D227" s="4"/>
      <c r="E227" s="4"/>
      <c r="F227" s="4"/>
      <c r="G227" s="4"/>
      <c r="H227" s="4"/>
      <c r="I227" s="4"/>
      <c r="J227" s="4"/>
      <c r="K227" s="4"/>
      <c r="L227" s="4"/>
      <c r="M227" s="4"/>
      <c r="N227" s="4"/>
      <c r="O227" s="4"/>
      <c r="P227" s="2"/>
    </row>
    <row r="228" spans="1:16" x14ac:dyDescent="0.3">
      <c r="A228" s="7"/>
      <c r="B228" s="4"/>
      <c r="C228" s="4"/>
      <c r="D228" s="4"/>
      <c r="E228" s="4"/>
      <c r="F228" s="4"/>
      <c r="G228" s="4"/>
      <c r="H228" s="4"/>
      <c r="I228" s="4"/>
      <c r="J228" s="4"/>
      <c r="K228" s="4"/>
      <c r="L228" s="4"/>
      <c r="M228" s="4"/>
      <c r="N228" s="4"/>
      <c r="O228" s="4"/>
      <c r="P228" s="2"/>
    </row>
    <row r="229" spans="1:16" x14ac:dyDescent="0.3">
      <c r="A229" s="7"/>
      <c r="B229" s="4"/>
      <c r="C229" s="4"/>
      <c r="D229" s="4"/>
      <c r="E229" s="4"/>
      <c r="F229" s="4"/>
      <c r="G229" s="4"/>
      <c r="H229" s="4"/>
      <c r="I229" s="4"/>
      <c r="J229" s="4"/>
      <c r="K229" s="4"/>
      <c r="L229" s="4"/>
      <c r="M229" s="4"/>
      <c r="N229" s="4"/>
      <c r="O229" s="4"/>
      <c r="P229" s="2"/>
    </row>
    <row r="230" spans="1:16" x14ac:dyDescent="0.3">
      <c r="A230" s="7"/>
      <c r="B230" s="4"/>
      <c r="C230" s="4"/>
      <c r="D230" s="4"/>
      <c r="E230" s="4"/>
      <c r="F230" s="4"/>
      <c r="G230" s="4"/>
      <c r="H230" s="4"/>
      <c r="I230" s="4"/>
      <c r="J230" s="4"/>
      <c r="K230" s="4"/>
      <c r="L230" s="4"/>
      <c r="M230" s="4"/>
      <c r="N230" s="4"/>
      <c r="O230" s="4"/>
      <c r="P230" s="2"/>
    </row>
    <row r="231" spans="1:16" x14ac:dyDescent="0.3">
      <c r="A231" s="7"/>
      <c r="B231" s="4"/>
      <c r="C231" s="4"/>
      <c r="D231" s="4"/>
      <c r="E231" s="4"/>
      <c r="F231" s="4"/>
      <c r="G231" s="4"/>
      <c r="H231" s="4"/>
      <c r="I231" s="4"/>
      <c r="J231" s="4"/>
      <c r="K231" s="4"/>
      <c r="L231" s="4"/>
      <c r="M231" s="4"/>
      <c r="N231" s="4"/>
      <c r="O231" s="4"/>
      <c r="P231" s="2"/>
    </row>
    <row r="232" spans="1:16" x14ac:dyDescent="0.3">
      <c r="A232" s="7"/>
      <c r="B232" s="4"/>
      <c r="C232" s="4"/>
      <c r="D232" s="4"/>
      <c r="E232" s="4"/>
      <c r="F232" s="4"/>
      <c r="G232" s="4"/>
      <c r="H232" s="4"/>
      <c r="I232" s="4"/>
      <c r="J232" s="4"/>
      <c r="K232" s="4"/>
      <c r="L232" s="4"/>
      <c r="M232" s="4"/>
      <c r="N232" s="4"/>
      <c r="O232" s="4"/>
      <c r="P232" s="2"/>
    </row>
    <row r="233" spans="1:16" x14ac:dyDescent="0.3">
      <c r="A233" s="7"/>
      <c r="B233" s="4"/>
      <c r="C233" s="4"/>
      <c r="D233" s="4"/>
      <c r="E233" s="4"/>
      <c r="F233" s="4"/>
      <c r="G233" s="4"/>
      <c r="H233" s="4"/>
      <c r="I233" s="4"/>
      <c r="J233" s="4"/>
      <c r="K233" s="4"/>
      <c r="L233" s="4"/>
      <c r="M233" s="4"/>
      <c r="N233" s="4"/>
      <c r="O233" s="4"/>
      <c r="P233" s="2"/>
    </row>
    <row r="234" spans="1:16" x14ac:dyDescent="0.3">
      <c r="A234" s="7"/>
      <c r="B234" s="4"/>
      <c r="C234" s="4"/>
      <c r="D234" s="4"/>
      <c r="E234" s="4"/>
      <c r="F234" s="4"/>
      <c r="G234" s="4"/>
      <c r="H234" s="4"/>
      <c r="I234" s="4"/>
      <c r="J234" s="4"/>
      <c r="K234" s="4"/>
      <c r="L234" s="4"/>
      <c r="M234" s="4"/>
      <c r="N234" s="4"/>
      <c r="O234" s="4"/>
      <c r="P234" s="2"/>
    </row>
    <row r="235" spans="1:16" x14ac:dyDescent="0.3">
      <c r="A235" s="7"/>
      <c r="B235" s="4"/>
      <c r="C235" s="4"/>
      <c r="D235" s="4"/>
      <c r="E235" s="4"/>
      <c r="F235" s="4"/>
      <c r="G235" s="4"/>
      <c r="H235" s="4"/>
      <c r="I235" s="4"/>
      <c r="J235" s="4"/>
      <c r="K235" s="4"/>
      <c r="L235" s="4"/>
      <c r="M235" s="4"/>
      <c r="N235" s="4"/>
      <c r="O235" s="4"/>
      <c r="P235" s="2"/>
    </row>
    <row r="236" spans="1:16" x14ac:dyDescent="0.3">
      <c r="A236" s="7"/>
      <c r="B236" s="4"/>
      <c r="C236" s="4"/>
      <c r="D236" s="4"/>
      <c r="E236" s="4"/>
      <c r="F236" s="4"/>
      <c r="G236" s="4"/>
      <c r="H236" s="4"/>
      <c r="I236" s="4"/>
      <c r="J236" s="4"/>
      <c r="K236" s="4"/>
      <c r="L236" s="4"/>
      <c r="M236" s="4"/>
      <c r="N236" s="4"/>
      <c r="O236" s="4"/>
      <c r="P236" s="2"/>
    </row>
    <row r="237" spans="1:16" ht="21" x14ac:dyDescent="0.4">
      <c r="A237" s="7"/>
      <c r="B237" s="20" t="s">
        <v>216</v>
      </c>
      <c r="C237" s="4"/>
      <c r="D237" s="4"/>
      <c r="E237" s="4"/>
      <c r="F237" s="4"/>
      <c r="G237" s="4"/>
      <c r="H237" s="4"/>
      <c r="I237" s="4"/>
      <c r="J237" s="4"/>
      <c r="K237" s="4"/>
      <c r="L237" s="4"/>
      <c r="M237" s="4"/>
      <c r="N237" s="4"/>
      <c r="O237" s="4"/>
      <c r="P237" s="2"/>
    </row>
    <row r="238" spans="1:16" x14ac:dyDescent="0.3">
      <c r="A238" s="7"/>
      <c r="B238" s="4" t="s">
        <v>209</v>
      </c>
      <c r="C238" s="4"/>
      <c r="D238" s="4"/>
      <c r="E238" s="4"/>
      <c r="F238" s="4"/>
      <c r="G238" s="4"/>
      <c r="H238" s="4"/>
      <c r="I238" s="4"/>
      <c r="J238" s="4"/>
      <c r="K238" s="4"/>
      <c r="L238" s="4"/>
      <c r="M238" s="4"/>
      <c r="N238" s="4"/>
      <c r="O238" s="4"/>
      <c r="P238" s="2"/>
    </row>
    <row r="239" spans="1:16" x14ac:dyDescent="0.3">
      <c r="A239" s="7"/>
      <c r="B239" s="4"/>
      <c r="C239" s="4"/>
      <c r="D239" s="4"/>
      <c r="E239" s="4"/>
      <c r="F239" s="4"/>
      <c r="G239" s="4"/>
      <c r="H239" s="4"/>
      <c r="I239" s="4"/>
      <c r="J239" s="4"/>
      <c r="K239" s="4"/>
      <c r="L239" s="4"/>
      <c r="M239" s="4"/>
      <c r="N239" s="4"/>
      <c r="O239" s="4"/>
      <c r="P239" s="2"/>
    </row>
    <row r="240" spans="1:16" x14ac:dyDescent="0.3">
      <c r="A240" s="7"/>
      <c r="B240" s="4"/>
      <c r="C240" s="4"/>
      <c r="D240" s="4"/>
      <c r="E240" s="4"/>
      <c r="F240" s="4"/>
      <c r="G240" s="4"/>
      <c r="H240" s="4"/>
      <c r="I240" s="4"/>
      <c r="J240" s="4"/>
      <c r="K240" s="4"/>
      <c r="L240" s="4"/>
      <c r="M240" s="4"/>
      <c r="N240" s="4"/>
      <c r="O240" s="4"/>
      <c r="P240" s="2"/>
    </row>
    <row r="241" spans="1:16" x14ac:dyDescent="0.3">
      <c r="A241" s="7"/>
      <c r="B241" s="4"/>
      <c r="C241" s="4"/>
      <c r="D241" s="4"/>
      <c r="E241" s="4"/>
      <c r="F241" s="4"/>
      <c r="G241" s="4"/>
      <c r="H241" s="4"/>
      <c r="I241" s="4"/>
      <c r="J241" s="4"/>
      <c r="K241" s="4"/>
      <c r="L241" s="4"/>
      <c r="M241" s="4"/>
      <c r="N241" s="4"/>
      <c r="O241" s="4"/>
      <c r="P241" s="2"/>
    </row>
    <row r="242" spans="1:16" x14ac:dyDescent="0.3">
      <c r="A242" s="7"/>
      <c r="B242" s="4"/>
      <c r="C242" s="4"/>
      <c r="D242" s="4"/>
      <c r="E242" s="4"/>
      <c r="F242" s="4"/>
      <c r="G242" s="4"/>
      <c r="H242" s="4"/>
      <c r="I242" s="4"/>
      <c r="J242" s="4"/>
      <c r="K242" s="4"/>
      <c r="L242" s="4"/>
      <c r="M242" s="4"/>
      <c r="N242" s="4"/>
      <c r="O242" s="4"/>
      <c r="P242" s="2"/>
    </row>
    <row r="243" spans="1:16" x14ac:dyDescent="0.3">
      <c r="A243" s="7"/>
      <c r="B243" s="4"/>
      <c r="C243" s="4"/>
      <c r="D243" s="4"/>
      <c r="E243" s="4"/>
      <c r="F243" s="4"/>
      <c r="G243" s="4"/>
      <c r="H243" s="4"/>
      <c r="I243" s="4"/>
      <c r="J243" s="4"/>
      <c r="K243" s="4"/>
      <c r="L243" s="4"/>
      <c r="M243" s="4"/>
      <c r="N243" s="4"/>
      <c r="O243" s="4"/>
      <c r="P243" s="2"/>
    </row>
    <row r="244" spans="1:16" x14ac:dyDescent="0.3">
      <c r="A244" s="7"/>
      <c r="B244" s="4"/>
      <c r="C244" s="4"/>
      <c r="D244" s="4"/>
      <c r="E244" s="4"/>
      <c r="F244" s="4"/>
      <c r="G244" s="4"/>
      <c r="H244" s="4"/>
      <c r="I244" s="4"/>
      <c r="J244" s="4"/>
      <c r="K244" s="4"/>
      <c r="L244" s="4"/>
      <c r="M244" s="4"/>
      <c r="N244" s="4"/>
      <c r="O244" s="4"/>
      <c r="P244" s="2"/>
    </row>
    <row r="245" spans="1:16" x14ac:dyDescent="0.3">
      <c r="A245" s="7"/>
      <c r="B245" s="4"/>
      <c r="C245" s="4"/>
      <c r="D245" s="4"/>
      <c r="E245" s="4"/>
      <c r="F245" s="4"/>
      <c r="G245" s="4"/>
      <c r="H245" s="4"/>
      <c r="I245" s="4"/>
      <c r="J245" s="4"/>
      <c r="K245" s="4"/>
      <c r="L245" s="4"/>
      <c r="M245" s="4"/>
      <c r="N245" s="4"/>
      <c r="O245" s="4"/>
      <c r="P245" s="2"/>
    </row>
    <row r="246" spans="1:16" x14ac:dyDescent="0.3">
      <c r="A246" s="7"/>
      <c r="B246" s="4"/>
      <c r="C246" s="4"/>
      <c r="D246" s="4"/>
      <c r="E246" s="4"/>
      <c r="F246" s="4"/>
      <c r="G246" s="4"/>
      <c r="H246" s="4"/>
      <c r="I246" s="4"/>
      <c r="J246" s="4"/>
      <c r="K246" s="4"/>
      <c r="L246" s="4"/>
      <c r="M246" s="4"/>
      <c r="N246" s="4"/>
      <c r="O246" s="4"/>
      <c r="P246" s="2"/>
    </row>
    <row r="247" spans="1:16" x14ac:dyDescent="0.3">
      <c r="A247" s="7"/>
      <c r="B247" s="4"/>
      <c r="C247" s="4"/>
      <c r="D247" s="4"/>
      <c r="E247" s="4"/>
      <c r="F247" s="4"/>
      <c r="G247" s="4"/>
      <c r="H247" s="4"/>
      <c r="I247" s="4"/>
      <c r="J247" s="4"/>
      <c r="K247" s="4"/>
      <c r="L247" s="4"/>
      <c r="M247" s="4"/>
      <c r="N247" s="4"/>
      <c r="O247" s="4"/>
      <c r="P247" s="2"/>
    </row>
    <row r="248" spans="1:16" x14ac:dyDescent="0.3">
      <c r="A248" s="7"/>
      <c r="B248" s="4"/>
      <c r="C248" s="4"/>
      <c r="D248" s="4"/>
      <c r="E248" s="4"/>
      <c r="F248" s="4"/>
      <c r="G248" s="4"/>
      <c r="H248" s="4"/>
      <c r="I248" s="4"/>
      <c r="J248" s="4"/>
      <c r="K248" s="4"/>
      <c r="L248" s="4"/>
      <c r="M248" s="4"/>
      <c r="N248" s="4"/>
      <c r="O248" s="4"/>
      <c r="P248" s="2"/>
    </row>
    <row r="249" spans="1:16" x14ac:dyDescent="0.3">
      <c r="A249" s="7"/>
      <c r="B249" s="4"/>
      <c r="C249" s="4"/>
      <c r="D249" s="4"/>
      <c r="E249" s="4"/>
      <c r="F249" s="4"/>
      <c r="G249" s="4"/>
      <c r="H249" s="4"/>
      <c r="I249" s="4"/>
      <c r="J249" s="4"/>
      <c r="K249" s="4"/>
      <c r="L249" s="4"/>
      <c r="M249" s="4"/>
      <c r="N249" s="4"/>
      <c r="O249" s="4"/>
      <c r="P249" s="2"/>
    </row>
    <row r="250" spans="1:16" x14ac:dyDescent="0.3">
      <c r="A250" s="7"/>
      <c r="B250" s="4"/>
      <c r="C250" s="4"/>
      <c r="D250" s="4"/>
      <c r="E250" s="4"/>
      <c r="F250" s="4"/>
      <c r="G250" s="4"/>
      <c r="H250" s="4"/>
      <c r="I250" s="4"/>
      <c r="J250" s="4"/>
      <c r="K250" s="4"/>
      <c r="L250" s="4"/>
      <c r="M250" s="4"/>
      <c r="N250" s="4"/>
      <c r="O250" s="4"/>
      <c r="P250" s="2"/>
    </row>
    <row r="251" spans="1:16" x14ac:dyDescent="0.3">
      <c r="A251" s="7"/>
      <c r="B251" s="4"/>
      <c r="C251" s="4"/>
      <c r="D251" s="4"/>
      <c r="E251" s="4"/>
      <c r="F251" s="4"/>
      <c r="G251" s="4"/>
      <c r="H251" s="4"/>
      <c r="I251" s="4"/>
      <c r="J251" s="4"/>
      <c r="K251" s="4"/>
      <c r="L251" s="4"/>
      <c r="M251" s="4"/>
      <c r="N251" s="4"/>
      <c r="O251" s="4"/>
      <c r="P251" s="2"/>
    </row>
    <row r="252" spans="1:16" x14ac:dyDescent="0.3">
      <c r="A252" s="7"/>
      <c r="B252" s="4"/>
      <c r="C252" s="4"/>
      <c r="D252" s="4"/>
      <c r="E252" s="4"/>
      <c r="F252" s="4"/>
      <c r="G252" s="4"/>
      <c r="H252" s="4"/>
      <c r="I252" s="4"/>
      <c r="J252" s="4"/>
      <c r="K252" s="4"/>
      <c r="L252" s="4"/>
      <c r="M252" s="4"/>
      <c r="N252" s="4"/>
      <c r="O252" s="4"/>
      <c r="P252" s="2"/>
    </row>
    <row r="253" spans="1:16" x14ac:dyDescent="0.3">
      <c r="A253" s="7"/>
      <c r="B253" s="4"/>
      <c r="C253" s="4"/>
      <c r="D253" s="4"/>
      <c r="E253" s="4"/>
      <c r="F253" s="4"/>
      <c r="G253" s="4"/>
      <c r="H253" s="4"/>
      <c r="I253" s="4"/>
      <c r="J253" s="4"/>
      <c r="K253" s="4"/>
      <c r="L253" s="4"/>
      <c r="M253" s="4"/>
      <c r="N253" s="4"/>
      <c r="O253" s="4"/>
      <c r="P253" s="2"/>
    </row>
    <row r="254" spans="1:16" x14ac:dyDescent="0.3">
      <c r="A254" s="7"/>
      <c r="B254" s="4"/>
      <c r="C254" s="4"/>
      <c r="D254" s="4"/>
      <c r="E254" s="4"/>
      <c r="F254" s="4"/>
      <c r="G254" s="4"/>
      <c r="H254" s="4"/>
      <c r="I254" s="4"/>
      <c r="J254" s="4"/>
      <c r="K254" s="4"/>
      <c r="L254" s="4"/>
      <c r="M254" s="4"/>
      <c r="N254" s="4"/>
      <c r="O254" s="4"/>
      <c r="P254" s="2"/>
    </row>
    <row r="255" spans="1:16" x14ac:dyDescent="0.3">
      <c r="A255" s="7"/>
      <c r="B255" s="4"/>
      <c r="C255" s="4"/>
      <c r="D255" s="4"/>
      <c r="E255" s="4"/>
      <c r="F255" s="4"/>
      <c r="G255" s="4"/>
      <c r="H255" s="4"/>
      <c r="I255" s="4"/>
      <c r="J255" s="4"/>
      <c r="K255" s="4"/>
      <c r="L255" s="4"/>
      <c r="M255" s="4"/>
      <c r="N255" s="4"/>
      <c r="O255" s="4"/>
      <c r="P255" s="2"/>
    </row>
    <row r="256" spans="1:16" x14ac:dyDescent="0.3">
      <c r="A256" s="7"/>
      <c r="B256" s="4"/>
      <c r="C256" s="4"/>
      <c r="D256" s="4"/>
      <c r="E256" s="4"/>
      <c r="F256" s="4"/>
      <c r="G256" s="4"/>
      <c r="H256" s="4"/>
      <c r="I256" s="4"/>
      <c r="J256" s="4"/>
      <c r="K256" s="4"/>
      <c r="L256" s="4"/>
      <c r="M256" s="4"/>
      <c r="N256" s="4"/>
      <c r="O256" s="4"/>
      <c r="P256" s="2"/>
    </row>
    <row r="257" spans="1:16" x14ac:dyDescent="0.3">
      <c r="A257" s="7"/>
      <c r="B257" s="4"/>
      <c r="C257" s="4"/>
      <c r="D257" s="4"/>
      <c r="E257" s="4"/>
      <c r="F257" s="4"/>
      <c r="G257" s="4"/>
      <c r="H257" s="4"/>
      <c r="I257" s="4"/>
      <c r="J257" s="4"/>
      <c r="K257" s="4"/>
      <c r="L257" s="4"/>
      <c r="M257" s="4"/>
      <c r="N257" s="4"/>
      <c r="O257" s="4"/>
      <c r="P257" s="2"/>
    </row>
    <row r="258" spans="1:16" x14ac:dyDescent="0.3">
      <c r="A258" s="7"/>
      <c r="B258" s="4"/>
      <c r="C258" s="4"/>
      <c r="D258" s="4"/>
      <c r="E258" s="4"/>
      <c r="F258" s="4"/>
      <c r="G258" s="4"/>
      <c r="H258" s="4"/>
      <c r="I258" s="4"/>
      <c r="J258" s="4"/>
      <c r="K258" s="4"/>
      <c r="L258" s="4"/>
      <c r="M258" s="4"/>
      <c r="N258" s="4"/>
      <c r="O258" s="4"/>
      <c r="P258" s="2"/>
    </row>
    <row r="259" spans="1:16" x14ac:dyDescent="0.3">
      <c r="A259" s="7"/>
      <c r="B259" s="4"/>
      <c r="C259" s="4"/>
      <c r="D259" s="4"/>
      <c r="E259" s="4"/>
      <c r="F259" s="4"/>
      <c r="G259" s="4"/>
      <c r="H259" s="4"/>
      <c r="I259" s="4"/>
      <c r="J259" s="4"/>
      <c r="K259" s="4"/>
      <c r="L259" s="4"/>
      <c r="M259" s="4"/>
      <c r="N259" s="4"/>
      <c r="O259" s="4"/>
      <c r="P259" s="2"/>
    </row>
    <row r="260" spans="1:16" x14ac:dyDescent="0.3">
      <c r="A260" s="7"/>
      <c r="B260" s="4"/>
      <c r="C260" s="4"/>
      <c r="D260" s="4"/>
      <c r="E260" s="4"/>
      <c r="F260" s="4"/>
      <c r="G260" s="4"/>
      <c r="H260" s="4"/>
      <c r="I260" s="4"/>
      <c r="J260" s="4"/>
      <c r="K260" s="4"/>
      <c r="L260" s="4"/>
      <c r="M260" s="4"/>
      <c r="N260" s="4"/>
      <c r="O260" s="4"/>
      <c r="P260" s="2"/>
    </row>
    <row r="261" spans="1:16" x14ac:dyDescent="0.3">
      <c r="A261" s="7"/>
      <c r="B261" s="4"/>
      <c r="C261" s="4"/>
      <c r="D261" s="4"/>
      <c r="E261" s="4"/>
      <c r="F261" s="4"/>
      <c r="G261" s="4"/>
      <c r="H261" s="4"/>
      <c r="I261" s="4"/>
      <c r="J261" s="4"/>
      <c r="K261" s="4"/>
      <c r="L261" s="4"/>
      <c r="M261" s="4"/>
      <c r="N261" s="4"/>
      <c r="O261" s="4"/>
      <c r="P261" s="2"/>
    </row>
    <row r="262" spans="1:16" x14ac:dyDescent="0.3">
      <c r="A262" s="7"/>
      <c r="B262" s="4"/>
      <c r="C262" s="4"/>
      <c r="D262" s="4"/>
      <c r="E262" s="4"/>
      <c r="F262" s="4"/>
      <c r="G262" s="4"/>
      <c r="H262" s="4"/>
      <c r="I262" s="4"/>
      <c r="J262" s="4"/>
      <c r="K262" s="4"/>
      <c r="L262" s="4"/>
      <c r="M262" s="4"/>
      <c r="N262" s="4"/>
      <c r="O262" s="4"/>
      <c r="P262" s="2"/>
    </row>
    <row r="263" spans="1:16" ht="21" x14ac:dyDescent="0.4">
      <c r="A263" s="7"/>
      <c r="B263" s="20" t="s">
        <v>217</v>
      </c>
      <c r="C263" s="4"/>
      <c r="D263" s="4"/>
      <c r="E263" s="4"/>
      <c r="F263" s="4"/>
      <c r="G263" s="4"/>
      <c r="H263" s="4"/>
      <c r="I263" s="4"/>
      <c r="J263" s="4"/>
      <c r="K263" s="4"/>
      <c r="L263" s="4"/>
      <c r="M263" s="4"/>
      <c r="N263" s="4"/>
      <c r="O263" s="4"/>
      <c r="P263" s="2"/>
    </row>
    <row r="264" spans="1:16" x14ac:dyDescent="0.3">
      <c r="A264" s="7"/>
      <c r="B264" s="4" t="s">
        <v>209</v>
      </c>
      <c r="C264" s="4"/>
      <c r="D264" s="4"/>
      <c r="E264" s="4"/>
      <c r="F264" s="4"/>
      <c r="G264" s="4"/>
      <c r="H264" s="4"/>
      <c r="I264" s="4"/>
      <c r="J264" s="4"/>
      <c r="K264" s="4"/>
      <c r="L264" s="4"/>
      <c r="M264" s="4"/>
      <c r="N264" s="4"/>
      <c r="O264" s="4"/>
      <c r="P264" s="2"/>
    </row>
    <row r="265" spans="1:16" x14ac:dyDescent="0.3">
      <c r="A265" s="7"/>
      <c r="B265" s="4"/>
      <c r="C265" s="4"/>
      <c r="D265" s="4"/>
      <c r="E265" s="4"/>
      <c r="F265" s="4"/>
      <c r="G265" s="4"/>
      <c r="H265" s="4"/>
      <c r="I265" s="4"/>
      <c r="J265" s="4"/>
      <c r="K265" s="4"/>
      <c r="L265" s="4"/>
      <c r="M265" s="4"/>
      <c r="N265" s="4"/>
      <c r="O265" s="4"/>
      <c r="P265" s="2"/>
    </row>
    <row r="266" spans="1:16" x14ac:dyDescent="0.3">
      <c r="A266" s="7"/>
      <c r="B266" s="4"/>
      <c r="C266" s="4"/>
      <c r="D266" s="4"/>
      <c r="E266" s="4"/>
      <c r="F266" s="4"/>
      <c r="G266" s="4"/>
      <c r="H266" s="4"/>
      <c r="I266" s="4"/>
      <c r="J266" s="4"/>
      <c r="K266" s="4"/>
      <c r="L266" s="4"/>
      <c r="M266" s="4"/>
      <c r="N266" s="4"/>
      <c r="O266" s="4"/>
      <c r="P266" s="2"/>
    </row>
    <row r="267" spans="1:16" x14ac:dyDescent="0.3">
      <c r="A267" s="7"/>
      <c r="B267" s="4"/>
      <c r="C267" s="4"/>
      <c r="D267" s="4"/>
      <c r="E267" s="4"/>
      <c r="F267" s="4"/>
      <c r="G267" s="4"/>
      <c r="H267" s="4"/>
      <c r="I267" s="4"/>
      <c r="J267" s="4"/>
      <c r="K267" s="4"/>
      <c r="L267" s="4"/>
      <c r="M267" s="4"/>
      <c r="N267" s="4"/>
      <c r="O267" s="4"/>
      <c r="P267" s="2"/>
    </row>
    <row r="268" spans="1:16" x14ac:dyDescent="0.3">
      <c r="A268" s="7"/>
      <c r="B268" s="4"/>
      <c r="C268" s="4"/>
      <c r="D268" s="4"/>
      <c r="E268" s="4"/>
      <c r="F268" s="4"/>
      <c r="G268" s="4"/>
      <c r="H268" s="4"/>
      <c r="I268" s="4"/>
      <c r="J268" s="4"/>
      <c r="K268" s="4"/>
      <c r="L268" s="4"/>
      <c r="M268" s="4"/>
      <c r="N268" s="4"/>
      <c r="O268" s="4"/>
      <c r="P268" s="2"/>
    </row>
    <row r="269" spans="1:16" x14ac:dyDescent="0.3">
      <c r="A269" s="7"/>
      <c r="B269" s="4"/>
      <c r="C269" s="4"/>
      <c r="D269" s="4"/>
      <c r="E269" s="4"/>
      <c r="F269" s="4"/>
      <c r="G269" s="4"/>
      <c r="H269" s="4"/>
      <c r="I269" s="4"/>
      <c r="J269" s="4"/>
      <c r="K269" s="4"/>
      <c r="L269" s="4"/>
      <c r="M269" s="4"/>
      <c r="N269" s="4"/>
      <c r="O269" s="4"/>
      <c r="P269" s="2"/>
    </row>
    <row r="270" spans="1:16" x14ac:dyDescent="0.3">
      <c r="A270" s="7"/>
      <c r="B270" s="4"/>
      <c r="C270" s="4"/>
      <c r="D270" s="4"/>
      <c r="E270" s="4"/>
      <c r="F270" s="4"/>
      <c r="G270" s="4"/>
      <c r="H270" s="4"/>
      <c r="I270" s="4"/>
      <c r="J270" s="4"/>
      <c r="K270" s="4"/>
      <c r="L270" s="4"/>
      <c r="M270" s="4"/>
      <c r="N270" s="4"/>
      <c r="O270" s="4"/>
      <c r="P270" s="2"/>
    </row>
    <row r="271" spans="1:16" x14ac:dyDescent="0.3">
      <c r="A271" s="7"/>
      <c r="B271" s="4"/>
      <c r="C271" s="4"/>
      <c r="D271" s="4"/>
      <c r="E271" s="4"/>
      <c r="F271" s="4"/>
      <c r="G271" s="4"/>
      <c r="H271" s="4"/>
      <c r="I271" s="4"/>
      <c r="J271" s="4"/>
      <c r="K271" s="4"/>
      <c r="L271" s="4"/>
      <c r="M271" s="4"/>
      <c r="N271" s="4"/>
      <c r="O271" s="4"/>
      <c r="P271" s="2"/>
    </row>
    <row r="272" spans="1:16" x14ac:dyDescent="0.3">
      <c r="A272" s="7"/>
      <c r="B272" s="4"/>
      <c r="C272" s="4"/>
      <c r="D272" s="4"/>
      <c r="E272" s="4"/>
      <c r="F272" s="4"/>
      <c r="G272" s="4"/>
      <c r="H272" s="4"/>
      <c r="I272" s="4"/>
      <c r="J272" s="4"/>
      <c r="K272" s="4"/>
      <c r="L272" s="4"/>
      <c r="M272" s="4"/>
      <c r="N272" s="4"/>
      <c r="O272" s="4"/>
      <c r="P272" s="2"/>
    </row>
    <row r="273" spans="1:16" x14ac:dyDescent="0.3">
      <c r="A273" s="7"/>
      <c r="B273" s="4"/>
      <c r="C273" s="4"/>
      <c r="D273" s="4"/>
      <c r="E273" s="4"/>
      <c r="F273" s="4"/>
      <c r="G273" s="4"/>
      <c r="H273" s="4"/>
      <c r="I273" s="4"/>
      <c r="J273" s="4"/>
      <c r="K273" s="4"/>
      <c r="L273" s="4"/>
      <c r="M273" s="4"/>
      <c r="N273" s="4"/>
      <c r="O273" s="4"/>
      <c r="P273" s="2"/>
    </row>
    <row r="274" spans="1:16" x14ac:dyDescent="0.3">
      <c r="A274" s="7"/>
      <c r="B274" s="4"/>
      <c r="C274" s="4"/>
      <c r="D274" s="4"/>
      <c r="E274" s="4"/>
      <c r="F274" s="4"/>
      <c r="G274" s="4"/>
      <c r="H274" s="4"/>
      <c r="I274" s="4"/>
      <c r="J274" s="4"/>
      <c r="K274" s="4"/>
      <c r="L274" s="4"/>
      <c r="M274" s="4"/>
      <c r="N274" s="4"/>
      <c r="O274" s="4"/>
      <c r="P274" s="2"/>
    </row>
    <row r="275" spans="1:16" x14ac:dyDescent="0.3">
      <c r="A275" s="7"/>
      <c r="B275" s="4"/>
      <c r="C275" s="4"/>
      <c r="D275" s="4"/>
      <c r="E275" s="4"/>
      <c r="F275" s="4"/>
      <c r="G275" s="4"/>
      <c r="H275" s="4"/>
      <c r="I275" s="4"/>
      <c r="J275" s="4"/>
      <c r="K275" s="4"/>
      <c r="L275" s="4"/>
      <c r="M275" s="4"/>
      <c r="N275" s="4"/>
      <c r="O275" s="4"/>
      <c r="P275" s="2"/>
    </row>
    <row r="276" spans="1:16" x14ac:dyDescent="0.3">
      <c r="A276" s="7"/>
      <c r="B276" s="4"/>
      <c r="C276" s="4"/>
      <c r="D276" s="4"/>
      <c r="E276" s="4"/>
      <c r="F276" s="4"/>
      <c r="G276" s="4"/>
      <c r="H276" s="4"/>
      <c r="I276" s="4"/>
      <c r="J276" s="4"/>
      <c r="K276" s="4"/>
      <c r="L276" s="4"/>
      <c r="M276" s="4"/>
      <c r="N276" s="4"/>
      <c r="O276" s="4"/>
      <c r="P276" s="2"/>
    </row>
    <row r="277" spans="1:16" x14ac:dyDescent="0.3">
      <c r="A277" s="7"/>
      <c r="B277" s="4"/>
      <c r="C277" s="4"/>
      <c r="D277" s="4"/>
      <c r="E277" s="4"/>
      <c r="F277" s="4"/>
      <c r="G277" s="4"/>
      <c r="H277" s="4"/>
      <c r="I277" s="4"/>
      <c r="J277" s="4"/>
      <c r="K277" s="4"/>
      <c r="L277" s="4"/>
      <c r="M277" s="4"/>
      <c r="N277" s="4"/>
      <c r="O277" s="4"/>
      <c r="P277" s="2"/>
    </row>
    <row r="278" spans="1:16" x14ac:dyDescent="0.3">
      <c r="A278" s="7"/>
      <c r="B278" s="4"/>
      <c r="C278" s="4"/>
      <c r="D278" s="4"/>
      <c r="E278" s="4"/>
      <c r="F278" s="4"/>
      <c r="G278" s="4"/>
      <c r="H278" s="4"/>
      <c r="I278" s="4"/>
      <c r="J278" s="4"/>
      <c r="K278" s="4"/>
      <c r="L278" s="4"/>
      <c r="M278" s="4"/>
      <c r="N278" s="4"/>
      <c r="O278" s="4"/>
      <c r="P278" s="2"/>
    </row>
    <row r="279" spans="1:16" x14ac:dyDescent="0.3">
      <c r="A279" s="7"/>
      <c r="B279" s="4"/>
      <c r="C279" s="4"/>
      <c r="D279" s="4"/>
      <c r="E279" s="4"/>
      <c r="F279" s="4"/>
      <c r="G279" s="4"/>
      <c r="H279" s="4"/>
      <c r="I279" s="4"/>
      <c r="J279" s="4"/>
      <c r="K279" s="4"/>
      <c r="L279" s="4"/>
      <c r="M279" s="4"/>
      <c r="N279" s="4"/>
      <c r="O279" s="4"/>
      <c r="P279" s="2"/>
    </row>
    <row r="280" spans="1:16" x14ac:dyDescent="0.3">
      <c r="A280" s="7"/>
      <c r="B280" s="4"/>
      <c r="C280" s="4"/>
      <c r="D280" s="4"/>
      <c r="E280" s="4"/>
      <c r="F280" s="4"/>
      <c r="G280" s="4"/>
      <c r="H280" s="4"/>
      <c r="I280" s="4"/>
      <c r="J280" s="4"/>
      <c r="K280" s="4"/>
      <c r="L280" s="4"/>
      <c r="M280" s="4"/>
      <c r="N280" s="4"/>
      <c r="O280" s="4"/>
      <c r="P280" s="2"/>
    </row>
    <row r="281" spans="1:16" x14ac:dyDescent="0.3">
      <c r="A281" s="7"/>
      <c r="B281" s="4"/>
      <c r="C281" s="4"/>
      <c r="D281" s="4"/>
      <c r="E281" s="4"/>
      <c r="F281" s="4"/>
      <c r="G281" s="4"/>
      <c r="H281" s="4"/>
      <c r="I281" s="4"/>
      <c r="J281" s="4"/>
      <c r="K281" s="4"/>
      <c r="L281" s="4"/>
      <c r="M281" s="4"/>
      <c r="N281" s="4"/>
      <c r="O281" s="4"/>
      <c r="P281" s="2"/>
    </row>
    <row r="282" spans="1:16" x14ac:dyDescent="0.3">
      <c r="A282" s="7"/>
      <c r="B282" s="4"/>
      <c r="C282" s="4"/>
      <c r="D282" s="4"/>
      <c r="E282" s="4"/>
      <c r="F282" s="4"/>
      <c r="G282" s="4"/>
      <c r="H282" s="4"/>
      <c r="I282" s="4"/>
      <c r="J282" s="4"/>
      <c r="K282" s="4"/>
      <c r="L282" s="4"/>
      <c r="M282" s="4"/>
      <c r="N282" s="4"/>
      <c r="O282" s="4"/>
      <c r="P282" s="2"/>
    </row>
    <row r="283" spans="1:16" x14ac:dyDescent="0.3">
      <c r="A283" s="7"/>
      <c r="B283" s="4"/>
      <c r="C283" s="4"/>
      <c r="D283" s="4"/>
      <c r="E283" s="4"/>
      <c r="F283" s="4"/>
      <c r="G283" s="4"/>
      <c r="H283" s="4"/>
      <c r="I283" s="4"/>
      <c r="J283" s="4"/>
      <c r="K283" s="4"/>
      <c r="L283" s="4"/>
      <c r="M283" s="4"/>
      <c r="N283" s="4"/>
      <c r="O283" s="4"/>
      <c r="P283" s="2"/>
    </row>
    <row r="284" spans="1:16" x14ac:dyDescent="0.3">
      <c r="A284" s="7"/>
      <c r="B284" s="4"/>
      <c r="C284" s="4"/>
      <c r="D284" s="4"/>
      <c r="E284" s="4"/>
      <c r="F284" s="4"/>
      <c r="G284" s="4"/>
      <c r="H284" s="4"/>
      <c r="I284" s="4"/>
      <c r="J284" s="4"/>
      <c r="K284" s="4"/>
      <c r="L284" s="4"/>
      <c r="M284" s="4"/>
      <c r="N284" s="4"/>
      <c r="O284" s="4"/>
      <c r="P284" s="2"/>
    </row>
    <row r="285" spans="1:16" x14ac:dyDescent="0.3">
      <c r="A285" s="7"/>
      <c r="B285" s="4"/>
      <c r="C285" s="4"/>
      <c r="D285" s="4"/>
      <c r="E285" s="4"/>
      <c r="F285" s="4"/>
      <c r="G285" s="4"/>
      <c r="H285" s="4"/>
      <c r="I285" s="4"/>
      <c r="J285" s="4"/>
      <c r="K285" s="4"/>
      <c r="L285" s="4"/>
      <c r="M285" s="4"/>
      <c r="N285" s="4"/>
      <c r="O285" s="4"/>
      <c r="P285" s="2"/>
    </row>
    <row r="286" spans="1:16" x14ac:dyDescent="0.3">
      <c r="A286" s="7"/>
      <c r="B286" s="4"/>
      <c r="C286" s="4"/>
      <c r="D286" s="4"/>
      <c r="E286" s="4"/>
      <c r="F286" s="4"/>
      <c r="G286" s="4"/>
      <c r="H286" s="4"/>
      <c r="I286" s="4"/>
      <c r="J286" s="4"/>
      <c r="K286" s="4"/>
      <c r="L286" s="4"/>
      <c r="M286" s="4"/>
      <c r="N286" s="4"/>
      <c r="O286" s="4"/>
      <c r="P286" s="2"/>
    </row>
    <row r="287" spans="1:16" x14ac:dyDescent="0.3">
      <c r="A287" s="7"/>
      <c r="B287" s="4"/>
      <c r="C287" s="4"/>
      <c r="D287" s="4"/>
      <c r="E287" s="4"/>
      <c r="F287" s="4"/>
      <c r="G287" s="4"/>
      <c r="H287" s="4"/>
      <c r="I287" s="4"/>
      <c r="J287" s="4"/>
      <c r="K287" s="4"/>
      <c r="L287" s="4"/>
      <c r="M287" s="4"/>
      <c r="N287" s="4"/>
      <c r="O287" s="4"/>
      <c r="P287" s="2"/>
    </row>
    <row r="288" spans="1:16" x14ac:dyDescent="0.3">
      <c r="A288" s="7"/>
      <c r="B288" s="4"/>
      <c r="C288" s="4"/>
      <c r="D288" s="4"/>
      <c r="E288" s="4"/>
      <c r="F288" s="4"/>
      <c r="G288" s="4"/>
      <c r="H288" s="4"/>
      <c r="I288" s="4"/>
      <c r="J288" s="4"/>
      <c r="K288" s="4"/>
      <c r="L288" s="4"/>
      <c r="M288" s="4"/>
      <c r="N288" s="4"/>
      <c r="O288" s="4"/>
      <c r="P288" s="2"/>
    </row>
    <row r="289" spans="1:16" ht="15" thickBot="1" x14ac:dyDescent="0.35">
      <c r="A289" s="8"/>
      <c r="B289" s="9"/>
      <c r="C289" s="9"/>
      <c r="D289" s="9"/>
      <c r="E289" s="9"/>
      <c r="F289" s="9"/>
      <c r="G289" s="9"/>
      <c r="H289" s="9"/>
      <c r="I289" s="9"/>
      <c r="J289" s="9"/>
      <c r="K289" s="9"/>
      <c r="L289" s="9"/>
      <c r="M289" s="9"/>
      <c r="N289" s="9"/>
      <c r="O289" s="9"/>
      <c r="P289" s="10"/>
    </row>
  </sheetData>
  <sheetProtection sheet="1" objects="1" scenarios="1"/>
  <pageMargins left="0.7" right="0.7" top="0.75" bottom="0.75" header="0.3" footer="0.3"/>
  <pageSetup orientation="portrait"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FCC877-E3A2-4EF3-BCB2-25CEFECE037F}">
  <dimension ref="A1:AF63"/>
  <sheetViews>
    <sheetView showGridLines="0" topLeftCell="A21" zoomScale="70" zoomScaleNormal="70" workbookViewId="0">
      <selection activeCell="Q29" sqref="Q29:AE57"/>
    </sheetView>
  </sheetViews>
  <sheetFormatPr defaultColWidth="8.88671875" defaultRowHeight="14.4" x14ac:dyDescent="0.3"/>
  <cols>
    <col min="1" max="1" width="2.88671875" customWidth="1"/>
  </cols>
  <sheetData>
    <row r="1" spans="1:32" ht="33" customHeight="1" x14ac:dyDescent="0.3">
      <c r="A1" s="16"/>
      <c r="B1" s="17" t="s">
        <v>224</v>
      </c>
      <c r="C1" s="18"/>
      <c r="D1" s="18"/>
      <c r="E1" s="18"/>
      <c r="F1" s="18"/>
      <c r="G1" s="18"/>
      <c r="H1" s="18"/>
      <c r="I1" s="18"/>
      <c r="J1" s="18"/>
      <c r="K1" s="18"/>
      <c r="L1" s="18"/>
      <c r="M1" s="18"/>
      <c r="N1" s="18"/>
      <c r="O1" s="18"/>
      <c r="P1" s="18"/>
      <c r="Q1" s="16"/>
      <c r="R1" s="18"/>
      <c r="S1" s="18"/>
      <c r="T1" s="18"/>
      <c r="U1" s="18"/>
      <c r="V1" s="18"/>
      <c r="W1" s="18"/>
      <c r="X1" s="18"/>
      <c r="Y1" s="18"/>
      <c r="Z1" s="18"/>
      <c r="AA1" s="18"/>
      <c r="AB1" s="18"/>
      <c r="AC1" s="18"/>
      <c r="AD1" s="18"/>
      <c r="AE1" s="18"/>
      <c r="AF1" s="19"/>
    </row>
    <row r="3" spans="1:32" ht="21" x14ac:dyDescent="0.4">
      <c r="B3" s="20" t="s">
        <v>462</v>
      </c>
      <c r="Q3" s="20" t="s">
        <v>561</v>
      </c>
    </row>
    <row r="4" spans="1:32" x14ac:dyDescent="0.3">
      <c r="B4" s="4" t="s">
        <v>463</v>
      </c>
    </row>
    <row r="29" spans="2:18" ht="21" x14ac:dyDescent="0.4">
      <c r="Q29" s="20" t="s">
        <v>437</v>
      </c>
      <c r="R29" s="4"/>
    </row>
    <row r="30" spans="2:18" ht="21" x14ac:dyDescent="0.4">
      <c r="B30" s="20" t="s">
        <v>562</v>
      </c>
      <c r="Q30" s="4" t="s">
        <v>438</v>
      </c>
      <c r="R30" s="4"/>
    </row>
    <row r="31" spans="2:18" x14ac:dyDescent="0.3">
      <c r="Q31" s="32" t="s">
        <v>439</v>
      </c>
      <c r="R31" s="4"/>
    </row>
    <row r="32" spans="2:18" x14ac:dyDescent="0.3">
      <c r="Q32" s="33" t="s">
        <v>440</v>
      </c>
      <c r="R32" s="4"/>
    </row>
    <row r="60" spans="2:2" ht="21" x14ac:dyDescent="0.4">
      <c r="B60" s="20" t="s">
        <v>436</v>
      </c>
    </row>
    <row r="61" spans="2:2" x14ac:dyDescent="0.3">
      <c r="B61" s="4" t="s">
        <v>563</v>
      </c>
    </row>
    <row r="62" spans="2:2" x14ac:dyDescent="0.3">
      <c r="B62" s="32" t="s">
        <v>564</v>
      </c>
    </row>
    <row r="63" spans="2:2" x14ac:dyDescent="0.3">
      <c r="B63" s="33" t="s">
        <v>565</v>
      </c>
    </row>
  </sheetData>
  <sheetProtection sheet="1" objects="1" scenarios="1"/>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671D62-F91B-42E3-9627-706C30D835F3}">
  <dimension ref="A1:AS6112"/>
  <sheetViews>
    <sheetView zoomScale="80" zoomScaleNormal="80" workbookViewId="0">
      <pane ySplit="1" topLeftCell="A32" activePane="bottomLeft" state="frozen"/>
      <selection pane="bottomLeft" activeCell="D33" sqref="D33"/>
    </sheetView>
  </sheetViews>
  <sheetFormatPr defaultColWidth="8.88671875" defaultRowHeight="14.4" x14ac:dyDescent="0.3"/>
  <cols>
    <col min="1" max="1" width="1.5546875" style="136" customWidth="1"/>
    <col min="2" max="2" width="22.88671875" bestFit="1" customWidth="1"/>
    <col min="3" max="3" width="65.44140625" bestFit="1" customWidth="1"/>
    <col min="4" max="4" width="12.33203125" customWidth="1"/>
    <col min="5" max="5" width="9" bestFit="1" customWidth="1"/>
    <col min="6" max="6" width="82.33203125" customWidth="1"/>
    <col min="7" max="7" width="23.21875" hidden="1" customWidth="1"/>
    <col min="8" max="8" width="18" hidden="1" customWidth="1"/>
    <col min="9" max="9" width="13" hidden="1" customWidth="1"/>
    <col min="10" max="45" width="8.88671875" style="136"/>
  </cols>
  <sheetData>
    <row r="1" spans="1:45" ht="19.2" customHeight="1" x14ac:dyDescent="0.3">
      <c r="A1" s="135"/>
      <c r="B1" s="17" t="s">
        <v>228</v>
      </c>
      <c r="C1" s="36"/>
      <c r="D1" s="36"/>
      <c r="E1" s="18"/>
      <c r="F1" s="18"/>
      <c r="G1" s="18"/>
      <c r="H1" s="18"/>
      <c r="I1" s="18"/>
      <c r="J1" s="137"/>
      <c r="K1" s="137"/>
      <c r="L1" s="137"/>
      <c r="M1" s="137"/>
      <c r="N1" s="137"/>
      <c r="O1" s="137"/>
      <c r="P1" s="137"/>
      <c r="Q1" s="137"/>
      <c r="R1" s="137"/>
      <c r="S1" s="137"/>
      <c r="T1" s="137"/>
      <c r="U1" s="137"/>
      <c r="V1" s="137"/>
      <c r="W1" s="137"/>
      <c r="X1" s="137"/>
      <c r="Y1" s="137"/>
      <c r="Z1" s="137"/>
      <c r="AA1" s="137"/>
      <c r="AB1" s="137"/>
      <c r="AC1" s="137"/>
      <c r="AD1" s="137"/>
      <c r="AE1" s="137"/>
      <c r="AF1" s="138"/>
      <c r="AG1" s="138"/>
      <c r="AH1" s="138"/>
      <c r="AI1" s="138"/>
      <c r="AJ1" s="138"/>
      <c r="AK1" s="138"/>
      <c r="AL1" s="138"/>
      <c r="AM1" s="138"/>
      <c r="AN1" s="138"/>
      <c r="AO1" s="138"/>
      <c r="AP1" s="138"/>
      <c r="AQ1" s="138"/>
      <c r="AR1" s="138"/>
      <c r="AS1" s="138"/>
    </row>
    <row r="2" spans="1:45" ht="7.5" customHeight="1" x14ac:dyDescent="0.3"/>
    <row r="3" spans="1:45" x14ac:dyDescent="0.3">
      <c r="B3" t="s">
        <v>236</v>
      </c>
      <c r="C3" t="s">
        <v>226</v>
      </c>
      <c r="D3" t="s">
        <v>227</v>
      </c>
      <c r="E3" t="s">
        <v>32</v>
      </c>
      <c r="F3" t="s">
        <v>67</v>
      </c>
      <c r="G3" t="s">
        <v>595</v>
      </c>
      <c r="H3" t="s">
        <v>596</v>
      </c>
      <c r="I3" t="s">
        <v>671</v>
      </c>
    </row>
    <row r="4" spans="1:45" x14ac:dyDescent="0.3">
      <c r="B4" s="22" t="s">
        <v>503</v>
      </c>
      <c r="C4" s="22"/>
      <c r="D4" s="22"/>
      <c r="E4" s="22"/>
      <c r="F4" s="22"/>
    </row>
    <row r="5" spans="1:45" x14ac:dyDescent="0.3">
      <c r="B5" s="115" t="s">
        <v>239</v>
      </c>
      <c r="C5" s="115" t="s">
        <v>533</v>
      </c>
      <c r="D5" s="60">
        <f>COUNTA(Table_SiteMilestoneTracking[SiteID])</f>
        <v>100</v>
      </c>
      <c r="E5" s="115" t="s">
        <v>235</v>
      </c>
      <c r="F5" s="115" t="s">
        <v>678</v>
      </c>
    </row>
    <row r="6" spans="1:45" x14ac:dyDescent="0.3">
      <c r="B6" s="115" t="s">
        <v>239</v>
      </c>
      <c r="C6" s="115" t="s">
        <v>484</v>
      </c>
      <c r="D6" s="66">
        <f>SUBTOTAL(101,Table_LLDTrackingSummary[LLD_TotalDays])</f>
        <v>2.7111111111111112</v>
      </c>
      <c r="E6" s="115" t="s">
        <v>485</v>
      </c>
      <c r="F6" s="115" t="s">
        <v>679</v>
      </c>
    </row>
    <row r="7" spans="1:45" ht="28.8" x14ac:dyDescent="0.3">
      <c r="B7" s="115" t="s">
        <v>239</v>
      </c>
      <c r="C7" s="116" t="s">
        <v>518</v>
      </c>
      <c r="D7" s="121">
        <f>COUNTA(Table_LLDTrackingSheet[LLD_ID])/KPI_TotalSites-1</f>
        <v>4.0000000000000036E-2</v>
      </c>
      <c r="E7" s="115"/>
      <c r="F7" s="158" t="s">
        <v>699</v>
      </c>
    </row>
    <row r="8" spans="1:45" x14ac:dyDescent="0.3">
      <c r="B8" s="22" t="s">
        <v>505</v>
      </c>
      <c r="C8" s="22"/>
      <c r="D8" s="22"/>
      <c r="E8" s="22"/>
      <c r="F8" s="22"/>
    </row>
    <row r="9" spans="1:45" x14ac:dyDescent="0.3">
      <c r="B9" s="115" t="s">
        <v>237</v>
      </c>
      <c r="C9" s="115" t="s">
        <v>506</v>
      </c>
      <c r="D9" s="60">
        <f>D94</f>
        <v>15</v>
      </c>
      <c r="E9" s="115"/>
      <c r="F9" s="115" t="s">
        <v>691</v>
      </c>
    </row>
    <row r="10" spans="1:45" x14ac:dyDescent="0.3">
      <c r="B10" s="115" t="s">
        <v>237</v>
      </c>
      <c r="C10" s="115" t="s">
        <v>507</v>
      </c>
      <c r="D10" s="122">
        <f>D9/KPI_TotalSites</f>
        <v>0.15</v>
      </c>
      <c r="E10" s="115"/>
      <c r="F10" s="115" t="s">
        <v>692</v>
      </c>
    </row>
    <row r="11" spans="1:45" x14ac:dyDescent="0.3">
      <c r="B11" s="115" t="s">
        <v>237</v>
      </c>
      <c r="C11" s="115" t="s">
        <v>508</v>
      </c>
      <c r="D11" s="60">
        <f>D93</f>
        <v>81</v>
      </c>
      <c r="E11" s="115"/>
      <c r="F11" s="115" t="s">
        <v>693</v>
      </c>
    </row>
    <row r="12" spans="1:45" x14ac:dyDescent="0.3">
      <c r="B12" s="115" t="s">
        <v>237</v>
      </c>
      <c r="C12" s="115" t="s">
        <v>509</v>
      </c>
      <c r="D12" s="122">
        <f>D11/KPI_TotalSites</f>
        <v>0.81</v>
      </c>
      <c r="E12" s="115"/>
      <c r="F12" s="115" t="s">
        <v>694</v>
      </c>
    </row>
    <row r="13" spans="1:45" x14ac:dyDescent="0.3">
      <c r="B13" s="115" t="s">
        <v>237</v>
      </c>
      <c r="C13" s="115" t="s">
        <v>510</v>
      </c>
      <c r="D13" s="60">
        <f>D67</f>
        <v>10</v>
      </c>
      <c r="E13" s="115"/>
      <c r="F13" s="115" t="s">
        <v>695</v>
      </c>
    </row>
    <row r="14" spans="1:45" x14ac:dyDescent="0.3">
      <c r="B14" s="115" t="s">
        <v>237</v>
      </c>
      <c r="C14" s="115" t="s">
        <v>511</v>
      </c>
      <c r="D14" s="123">
        <f>KPI_EV_Accumulated/KPI_BAC</f>
        <v>0.55831168831168831</v>
      </c>
      <c r="E14" s="115"/>
      <c r="F14" s="115" t="s">
        <v>696</v>
      </c>
    </row>
    <row r="15" spans="1:45" x14ac:dyDescent="0.3">
      <c r="B15" s="115" t="s">
        <v>237</v>
      </c>
      <c r="C15" s="117" t="s">
        <v>523</v>
      </c>
      <c r="D15" s="65">
        <f>SUBTOTAL(101,Table_SiteMilestoneTracking[Delta_ReadyFor_CW_SiteDesign_Ready])</f>
        <v>16.337499999999999</v>
      </c>
      <c r="E15" s="115" t="s">
        <v>485</v>
      </c>
      <c r="F15" s="115" t="s">
        <v>684</v>
      </c>
    </row>
    <row r="16" spans="1:45" x14ac:dyDescent="0.3">
      <c r="B16" s="115" t="s">
        <v>237</v>
      </c>
      <c r="C16" s="117" t="s">
        <v>524</v>
      </c>
      <c r="D16" s="65">
        <f>SUBTOTAL(101,Table_SiteMilestoneTracking[Delta_SiteReadyForPower_AC_SiteReadyForCW_AC])</f>
        <v>8.3285714285714292</v>
      </c>
      <c r="E16" s="115" t="s">
        <v>485</v>
      </c>
      <c r="F16" s="115" t="s">
        <v>685</v>
      </c>
    </row>
    <row r="17" spans="2:6" ht="28.8" x14ac:dyDescent="0.3">
      <c r="B17" s="115" t="s">
        <v>237</v>
      </c>
      <c r="C17" s="117" t="s">
        <v>527</v>
      </c>
      <c r="D17" s="65">
        <f>SUBTOTAL(101,Table_SiteMilestoneTracking[Delta_TXRdy_AC_SiteReadyForPower_AC])</f>
        <v>5.95</v>
      </c>
      <c r="E17" s="115" t="s">
        <v>485</v>
      </c>
      <c r="F17" s="158" t="s">
        <v>686</v>
      </c>
    </row>
    <row r="18" spans="2:6" ht="28.8" x14ac:dyDescent="0.3">
      <c r="B18" s="115" t="s">
        <v>237</v>
      </c>
      <c r="C18" s="117" t="s">
        <v>528</v>
      </c>
      <c r="D18" s="65">
        <f>SUBTOTAL(101,Table_SiteMilestoneTracking[Delta_SiteReadyForInstallation_AC_TXReady_AC])</f>
        <v>7.2352941176470589</v>
      </c>
      <c r="E18" s="115" t="s">
        <v>485</v>
      </c>
      <c r="F18" s="158" t="s">
        <v>687</v>
      </c>
    </row>
    <row r="19" spans="2:6" x14ac:dyDescent="0.3">
      <c r="B19" s="115" t="s">
        <v>237</v>
      </c>
      <c r="C19" s="117" t="s">
        <v>529</v>
      </c>
      <c r="D19" s="65">
        <f>SUBTOTAL(101,Table_SiteMilestoneTracking[Delta_SiteReadyForIntegration_AC_SiteReadyForInstallation_AC])</f>
        <v>4.3</v>
      </c>
      <c r="E19" s="115" t="s">
        <v>485</v>
      </c>
      <c r="F19" s="115" t="s">
        <v>688</v>
      </c>
    </row>
    <row r="20" spans="2:6" x14ac:dyDescent="0.3">
      <c r="B20" s="115" t="s">
        <v>237</v>
      </c>
      <c r="C20" s="117" t="s">
        <v>530</v>
      </c>
      <c r="D20" s="65">
        <f>SUBTOTAL(101,Table_SiteMilestoneTracking[Delta_SiteOnAir_AC_SiteReadyForIntegration_AC])</f>
        <v>4.0999999999999996</v>
      </c>
      <c r="E20" s="115" t="s">
        <v>485</v>
      </c>
      <c r="F20" s="115" t="s">
        <v>689</v>
      </c>
    </row>
    <row r="21" spans="2:6" ht="28.8" x14ac:dyDescent="0.3">
      <c r="B21" s="115" t="s">
        <v>237</v>
      </c>
      <c r="C21" s="117" t="s">
        <v>531</v>
      </c>
      <c r="D21" s="65">
        <f>SUBTOTAL(101,Table_SiteMilestoneTracking[Delta_SiteAccepted_AC_SiteOnAir_AC])</f>
        <v>4.6500000000000004</v>
      </c>
      <c r="E21" s="115" t="s">
        <v>485</v>
      </c>
      <c r="F21" s="158" t="s">
        <v>690</v>
      </c>
    </row>
    <row r="22" spans="2:6" x14ac:dyDescent="0.3">
      <c r="B22" s="22" t="s">
        <v>512</v>
      </c>
      <c r="C22" s="22"/>
      <c r="D22" s="22"/>
      <c r="E22" s="22"/>
      <c r="F22" s="22"/>
    </row>
    <row r="23" spans="2:6" ht="28.8" x14ac:dyDescent="0.3">
      <c r="B23" s="115" t="s">
        <v>238</v>
      </c>
      <c r="C23" s="118" t="s">
        <v>513</v>
      </c>
      <c r="D23" s="122">
        <f>(D91/(D91+D92))</f>
        <v>0.1</v>
      </c>
      <c r="E23" s="115"/>
      <c r="F23" s="158" t="s">
        <v>772</v>
      </c>
    </row>
    <row r="24" spans="2:6" x14ac:dyDescent="0.3">
      <c r="B24" s="115" t="s">
        <v>238</v>
      </c>
      <c r="C24" s="117" t="s">
        <v>519</v>
      </c>
      <c r="D24" s="122">
        <f>D89/D66</f>
        <v>0.1</v>
      </c>
      <c r="E24" s="115"/>
      <c r="F24" s="204" t="s">
        <v>773</v>
      </c>
    </row>
    <row r="25" spans="2:6" ht="28.8" x14ac:dyDescent="0.3">
      <c r="B25" s="115" t="s">
        <v>238</v>
      </c>
      <c r="C25" s="118" t="s">
        <v>514</v>
      </c>
      <c r="D25" s="157">
        <f>(D92/(D91+D92))</f>
        <v>0.9</v>
      </c>
      <c r="E25" s="115"/>
      <c r="F25" s="204" t="s">
        <v>771</v>
      </c>
    </row>
    <row r="26" spans="2:6" x14ac:dyDescent="0.3">
      <c r="B26" s="115" t="s">
        <v>238</v>
      </c>
      <c r="C26" s="117" t="s">
        <v>520</v>
      </c>
      <c r="D26" s="122">
        <f>D92/D66</f>
        <v>0.9</v>
      </c>
      <c r="E26" s="115"/>
      <c r="F26" s="115" t="s">
        <v>770</v>
      </c>
    </row>
    <row r="27" spans="2:6" x14ac:dyDescent="0.3">
      <c r="B27" s="115" t="s">
        <v>238</v>
      </c>
      <c r="C27" s="118" t="s">
        <v>521</v>
      </c>
      <c r="D27" s="157">
        <f>D94/D93</f>
        <v>0.18518518518518517</v>
      </c>
      <c r="E27" s="115"/>
      <c r="F27" s="115" t="s">
        <v>681</v>
      </c>
    </row>
    <row r="28" spans="2:6" x14ac:dyDescent="0.3">
      <c r="B28" s="115" t="s">
        <v>238</v>
      </c>
      <c r="C28" s="118" t="s">
        <v>522</v>
      </c>
      <c r="D28" s="157">
        <f>SUBTOTAL(101,Table_SiteMilestoneTracking[SiteCostAC])/SUBTOTAL(101,Table_SiteMilestoneTracking[SiteCostBL])</f>
        <v>0.5586490066225166</v>
      </c>
      <c r="E28" s="115"/>
      <c r="F28" s="115" t="s">
        <v>680</v>
      </c>
    </row>
    <row r="29" spans="2:6" x14ac:dyDescent="0.3">
      <c r="B29" s="115" t="s">
        <v>238</v>
      </c>
      <c r="C29" s="118" t="s">
        <v>515</v>
      </c>
      <c r="D29" s="60">
        <f>SUBTOTAL(101,Table_SiteMilestoneTracking[DeltaDays_SiteAccepted_SiteInOperations])</f>
        <v>11.7</v>
      </c>
      <c r="E29" s="115"/>
      <c r="F29" s="115" t="s">
        <v>682</v>
      </c>
    </row>
    <row r="30" spans="2:6" x14ac:dyDescent="0.3">
      <c r="B30" s="115" t="s">
        <v>238</v>
      </c>
      <c r="C30" s="118" t="s">
        <v>517</v>
      </c>
      <c r="D30" s="66">
        <f>SUBTOTAL(101,Table_SiteMilestoneTracking[E2E_Site_AC])</f>
        <v>61.9</v>
      </c>
      <c r="E30" s="115"/>
      <c r="F30" s="115" t="s">
        <v>683</v>
      </c>
    </row>
    <row r="31" spans="2:6" x14ac:dyDescent="0.3">
      <c r="B31" s="22" t="s">
        <v>700</v>
      </c>
      <c r="C31" s="22"/>
      <c r="D31" s="22"/>
      <c r="E31" s="22"/>
      <c r="F31" s="22"/>
    </row>
    <row r="32" spans="2:6" x14ac:dyDescent="0.3">
      <c r="B32" s="114"/>
      <c r="C32" s="113" t="s">
        <v>540</v>
      </c>
      <c r="D32" s="113">
        <v>30</v>
      </c>
      <c r="E32" s="114"/>
      <c r="F32" s="114" t="s">
        <v>483</v>
      </c>
    </row>
    <row r="33" spans="2:6" x14ac:dyDescent="0.3">
      <c r="B33" s="115"/>
      <c r="C33" s="115" t="s">
        <v>443</v>
      </c>
      <c r="D33" s="61">
        <f>MAX(Table_SiteMilestoneTrackingSummary[AccumulatedPV])</f>
        <v>770000</v>
      </c>
      <c r="E33" s="115" t="s">
        <v>572</v>
      </c>
      <c r="F33" s="115" t="s">
        <v>532</v>
      </c>
    </row>
    <row r="34" spans="2:6" x14ac:dyDescent="0.3">
      <c r="B34" s="115"/>
      <c r="C34" s="124" t="str">
        <f>"Earned Value At Week "&amp;KPI_CurWeekFocus</f>
        <v>Earned Value At Week 30</v>
      </c>
      <c r="D34" s="61">
        <f>INDEX(Table_SiteMilestoneTrackingSummary[AccumulatedEV],MATCH(KPI_CurWeekFocus,Table_SiteMilestoneTrackingSummary[Week],0))</f>
        <v>296400</v>
      </c>
      <c r="E34" s="115" t="s">
        <v>572</v>
      </c>
      <c r="F34" s="115" t="s">
        <v>781</v>
      </c>
    </row>
    <row r="35" spans="2:6" x14ac:dyDescent="0.3">
      <c r="B35" s="115"/>
      <c r="C35" s="124" t="str">
        <f>"Planned Value At Week "&amp;KPI_CurWeekFocus</f>
        <v>Planned Value At Week 30</v>
      </c>
      <c r="D35" s="61">
        <f>INDEX(Table_SiteMilestoneTrackingSummary[AccumulatedPV],MATCH(KPI_CurWeekFocus,Table_SiteMilestoneTrackingSummary[Week],0))</f>
        <v>387900</v>
      </c>
      <c r="E35" s="115" t="s">
        <v>572</v>
      </c>
      <c r="F35" s="115" t="s">
        <v>786</v>
      </c>
    </row>
    <row r="36" spans="2:6" x14ac:dyDescent="0.3">
      <c r="B36" s="115"/>
      <c r="C36" s="124" t="str">
        <f>"Actual Costs At Week "&amp;KPI_CurWeekFocus</f>
        <v>Actual Costs At Week 30</v>
      </c>
      <c r="D36" s="61">
        <f>INDEX(Table_SiteMilestoneTrackingSummary[AccumulatedAC],MATCH(KPI_CurWeekFocus,Table_SiteMilestoneTrackingSummary[Week],0))</f>
        <v>314305</v>
      </c>
      <c r="E36" s="115" t="s">
        <v>572</v>
      </c>
      <c r="F36" s="115" t="s">
        <v>785</v>
      </c>
    </row>
    <row r="37" spans="2:6" x14ac:dyDescent="0.3">
      <c r="B37" s="115"/>
      <c r="C37" s="124" t="str">
        <f>"Schedule Variance (SV) At Week "&amp;KPI_CurWeekFocus</f>
        <v>Schedule Variance (SV) At Week 30</v>
      </c>
      <c r="D37" s="61">
        <f>INDEX(Table_SiteMilestoneTrackingSummary[ScheduleVariance(SV)],MATCH(KPI_CurWeekFocus,Table_SiteMilestoneTrackingSummary[Week],0))</f>
        <v>-91500</v>
      </c>
      <c r="E37" s="115" t="s">
        <v>572</v>
      </c>
      <c r="F37" s="115" t="s">
        <v>787</v>
      </c>
    </row>
    <row r="38" spans="2:6" x14ac:dyDescent="0.3">
      <c r="B38" s="115"/>
      <c r="C38" s="124" t="str">
        <f>"Cost Variance (CV) At Week "&amp;KPI_CurWeekFocus</f>
        <v>Cost Variance (CV) At Week 30</v>
      </c>
      <c r="D38" s="61">
        <f>INDEX(Table_SiteMilestoneTrackingSummary[CostVariance(CV)],MATCH(KPI_CurWeekFocus,Table_SiteMilestoneTrackingSummary[Week],0))</f>
        <v>-17905</v>
      </c>
      <c r="E38" s="115" t="s">
        <v>572</v>
      </c>
      <c r="F38" s="115" t="s">
        <v>788</v>
      </c>
    </row>
    <row r="39" spans="2:6" x14ac:dyDescent="0.3">
      <c r="B39" s="115"/>
      <c r="C39" s="124" t="str">
        <f>"SPI At Week "&amp;KPI_CurWeekFocus</f>
        <v>SPI At Week 30</v>
      </c>
      <c r="D39" s="125">
        <f>INDEX(Table_SiteMilestoneTrackingSummary[SPI],MATCH(KPI_CurWeekFocus,Table_SiteMilestoneTrackingSummary[Week],0))</f>
        <v>0.76411446249033255</v>
      </c>
      <c r="E39" s="115"/>
      <c r="F39" s="115" t="s">
        <v>570</v>
      </c>
    </row>
    <row r="40" spans="2:6" x14ac:dyDescent="0.3">
      <c r="B40" s="115"/>
      <c r="C40" s="124" t="str">
        <f>"CPI At Week "&amp;KPI_CurWeekFocus</f>
        <v>CPI At Week 30</v>
      </c>
      <c r="D40" s="125">
        <f>INDEX(Table_SiteMilestoneTrackingSummary[CPI],MATCH(KPI_CurWeekFocus,Table_SiteMilestoneTrackingSummary[Week],0))</f>
        <v>0.94303304115429276</v>
      </c>
      <c r="E40" s="115"/>
      <c r="F40" s="115" t="s">
        <v>571</v>
      </c>
    </row>
    <row r="41" spans="2:6" x14ac:dyDescent="0.3">
      <c r="B41" s="115"/>
      <c r="C41" s="115" t="s">
        <v>582</v>
      </c>
      <c r="D41" s="61">
        <f>KPI_BAC/D40</f>
        <v>816514.33873144398</v>
      </c>
      <c r="E41" s="115"/>
      <c r="F41" s="115" t="s">
        <v>789</v>
      </c>
    </row>
    <row r="42" spans="2:6" x14ac:dyDescent="0.3">
      <c r="B42" s="115"/>
      <c r="C42" s="124" t="str">
        <f>"Actual % Complete of Project at Week "&amp;KPI_CurWeekFocus</f>
        <v>Actual % Complete of Project at Week 30</v>
      </c>
      <c r="D42" s="121">
        <f>D34/D33</f>
        <v>0.38493506493506491</v>
      </c>
      <c r="E42" s="115"/>
      <c r="F42" s="115" t="s">
        <v>784</v>
      </c>
    </row>
    <row r="43" spans="2:6" x14ac:dyDescent="0.3">
      <c r="B43" s="115"/>
      <c r="C43" s="124" t="str">
        <f>"Planned % Complete of Project at Week "&amp;KPI_CurWeekFocus</f>
        <v>Planned % Complete of Project at Week 30</v>
      </c>
      <c r="D43" s="121">
        <f>D35/KPI_BAC</f>
        <v>0.50376623376623375</v>
      </c>
      <c r="E43" s="115"/>
      <c r="F43" s="115" t="s">
        <v>783</v>
      </c>
    </row>
    <row r="44" spans="2:6" x14ac:dyDescent="0.3">
      <c r="B44" s="115"/>
      <c r="C44" s="124" t="str">
        <f>"Sites planned to be delivered by week #"&amp;KPI_CurWeekFocus</f>
        <v>Sites planned to be delivered by week #30</v>
      </c>
      <c r="D44" s="62">
        <f>INDEX(Table_SiteMilestoneTrackingSummary[SiteInOperations_BL(SUM)],MATCH(KPI_CurWeekFocus,Table_SiteMilestoneTrackingSummary[Week],0))</f>
        <v>7</v>
      </c>
      <c r="E44" s="115"/>
      <c r="F44" s="115" t="s">
        <v>782</v>
      </c>
    </row>
    <row r="45" spans="2:6" x14ac:dyDescent="0.3">
      <c r="B45" s="115"/>
      <c r="C45" s="124" t="str">
        <f>"Sites actually delivered by week #"&amp;KPI_CurWeekFocus</f>
        <v>Sites actually delivered by week #30</v>
      </c>
      <c r="D45" s="62">
        <f>INDEX(Table_SiteMilestoneTrackingSummary[SiteInOperations_AC(SUM)],MATCH(KPI_CurWeekFocus,Table_SiteMilestoneTrackingSummary[Week],0))</f>
        <v>1</v>
      </c>
      <c r="E45" s="115"/>
      <c r="F45" s="115" t="s">
        <v>466</v>
      </c>
    </row>
    <row r="46" spans="2:6" x14ac:dyDescent="0.3">
      <c r="B46" s="115"/>
      <c r="C46" s="124" t="str">
        <f>"% Sites Delivered by week #"&amp;KPI_CurWeekFocus</f>
        <v>% Sites Delivered by week #30</v>
      </c>
      <c r="D46" s="122">
        <f>D45/KPI_TotalSites</f>
        <v>0.01</v>
      </c>
      <c r="E46" s="115"/>
      <c r="F46" s="115" t="s">
        <v>774</v>
      </c>
    </row>
    <row r="47" spans="2:6" x14ac:dyDescent="0.3">
      <c r="B47" s="115"/>
      <c r="C47" s="124" t="str">
        <f>"Sites In Process by week #"&amp;KPI_CurWeekFocus</f>
        <v>Sites In Process by week #30</v>
      </c>
      <c r="D47" s="62">
        <f>KPI_TotalSites-D45</f>
        <v>99</v>
      </c>
      <c r="E47" s="115"/>
      <c r="F47" s="115" t="s">
        <v>470</v>
      </c>
    </row>
    <row r="48" spans="2:6" x14ac:dyDescent="0.3">
      <c r="B48" s="115"/>
      <c r="C48" s="115" t="s">
        <v>352</v>
      </c>
      <c r="D48" s="122">
        <f>D47/KPI_TotalSites</f>
        <v>0.99</v>
      </c>
      <c r="E48" s="115"/>
      <c r="F48" s="115" t="s">
        <v>775</v>
      </c>
    </row>
    <row r="49" spans="2:6" x14ac:dyDescent="0.3">
      <c r="B49" s="42" t="s">
        <v>504</v>
      </c>
      <c r="C49" s="42"/>
      <c r="D49" s="41"/>
      <c r="E49" s="42"/>
      <c r="F49" s="42"/>
    </row>
    <row r="50" spans="2:6" x14ac:dyDescent="0.3">
      <c r="B50" s="22" t="s">
        <v>471</v>
      </c>
      <c r="C50" s="22"/>
      <c r="D50" s="37"/>
      <c r="E50" s="22"/>
      <c r="F50" s="22"/>
    </row>
    <row r="51" spans="2:6" x14ac:dyDescent="0.3">
      <c r="B51" s="115" t="s">
        <v>237</v>
      </c>
      <c r="C51" s="115" t="s">
        <v>443</v>
      </c>
      <c r="D51" s="61">
        <f>KPI_BAC</f>
        <v>770000</v>
      </c>
      <c r="E51" s="115"/>
      <c r="F51" s="115"/>
    </row>
    <row r="52" spans="2:6" ht="15" thickBot="1" x14ac:dyDescent="0.35">
      <c r="B52" s="115" t="s">
        <v>237</v>
      </c>
      <c r="C52" s="115" t="s">
        <v>538</v>
      </c>
      <c r="D52" s="61">
        <f>MAX(Table_SiteMilestoneTrackingSummary[AccumulatedEV])</f>
        <v>429900</v>
      </c>
      <c r="E52" s="115"/>
      <c r="F52" s="115"/>
    </row>
    <row r="53" spans="2:6" ht="15.6" thickTop="1" thickBot="1" x14ac:dyDescent="0.35">
      <c r="B53" s="115" t="s">
        <v>237</v>
      </c>
      <c r="C53" s="115" t="s">
        <v>465</v>
      </c>
      <c r="D53" s="126">
        <f>D67</f>
        <v>10</v>
      </c>
      <c r="E53" s="115"/>
      <c r="F53" s="115" t="s">
        <v>467</v>
      </c>
    </row>
    <row r="54" spans="2:6" ht="15.6" thickTop="1" thickBot="1" x14ac:dyDescent="0.35">
      <c r="B54" s="115" t="s">
        <v>237</v>
      </c>
      <c r="C54" s="115" t="s">
        <v>537</v>
      </c>
      <c r="D54" s="126">
        <f>SUM(D55:D66)</f>
        <v>90</v>
      </c>
      <c r="E54" s="115"/>
      <c r="F54" s="115"/>
    </row>
    <row r="55" spans="2:6" ht="15" thickTop="1" x14ac:dyDescent="0.3">
      <c r="B55" s="115" t="s">
        <v>237</v>
      </c>
      <c r="C55" s="124" t="str">
        <f>"# Sites @"&amp;Table_KPIs[[#This Row],[Remark]]</f>
        <v># Sites @SiteDesignNotStarted</v>
      </c>
      <c r="D55" s="60">
        <f>COUNTIF(Table_SiteMilestoneTracking[CurrentSiteMilestone],Table_KPIs[[#This Row],[Remark]])</f>
        <v>4</v>
      </c>
      <c r="E55" s="115"/>
      <c r="F55" s="115" t="s">
        <v>472</v>
      </c>
    </row>
    <row r="56" spans="2:6" x14ac:dyDescent="0.3">
      <c r="B56" s="115" t="s">
        <v>237</v>
      </c>
      <c r="C56" s="124" t="str">
        <f>"# Sites @"&amp;Table_KPIs[[#This Row],[Remark]]</f>
        <v># Sites @SiteDesignStarted</v>
      </c>
      <c r="D56" s="60">
        <f>COUNTIF(Table_SiteMilestoneTracking[CurrentSiteMilestone],Table_KPIs[[#This Row],[Remark]])</f>
        <v>6</v>
      </c>
      <c r="E56" s="115"/>
      <c r="F56" s="115" t="s">
        <v>446</v>
      </c>
    </row>
    <row r="57" spans="2:6" x14ac:dyDescent="0.3">
      <c r="B57" s="115" t="s">
        <v>237</v>
      </c>
      <c r="C57" s="124" t="str">
        <f>"# Sites @"&amp;Table_KPIs[[#This Row],[Remark]]</f>
        <v># Sites @SiteDesignReady</v>
      </c>
      <c r="D57" s="60">
        <f>COUNTIF(Table_SiteMilestoneTracking[CurrentSiteMilestone],Table_KPIs[[#This Row],[Remark]])</f>
        <v>4</v>
      </c>
      <c r="E57" s="115"/>
      <c r="F57" s="115" t="s">
        <v>447</v>
      </c>
    </row>
    <row r="58" spans="2:6" x14ac:dyDescent="0.3">
      <c r="B58" s="115" t="s">
        <v>237</v>
      </c>
      <c r="C58" s="124" t="str">
        <f>"# Sites @"&amp;Table_KPIs[[#This Row],[Remark]]</f>
        <v># Sites @SiteSurveyCompleted</v>
      </c>
      <c r="D58" s="60">
        <f>COUNTIF(Table_SiteMilestoneTracking[CurrentSiteMilestone],Table_KPIs[[#This Row],[Remark]])</f>
        <v>2</v>
      </c>
      <c r="E58" s="115"/>
      <c r="F58" s="124" t="str">
        <f>INDEX(Table_SiteMilestonesNames[SiteMilestoneName],4)</f>
        <v>SiteSurveyCompleted</v>
      </c>
    </row>
    <row r="59" spans="2:6" x14ac:dyDescent="0.3">
      <c r="B59" s="115" t="s">
        <v>237</v>
      </c>
      <c r="C59" s="124" t="str">
        <f>"# Sites @"&amp;Table_KPIs[[#This Row],[Remark]]</f>
        <v># Sites @SiteAcquired</v>
      </c>
      <c r="D59" s="60">
        <f>COUNTIF(Table_SiteMilestoneTracking[CurrentSiteMilestone],Table_KPIs[[#This Row],[Remark]])</f>
        <v>4</v>
      </c>
      <c r="E59" s="115"/>
      <c r="F59" s="124" t="str">
        <f>INDEX(Table_SiteMilestonesNames[SiteMilestoneName],5)</f>
        <v>SiteAcquired</v>
      </c>
    </row>
    <row r="60" spans="2:6" x14ac:dyDescent="0.3">
      <c r="B60" s="115" t="s">
        <v>237</v>
      </c>
      <c r="C60" s="124" t="str">
        <f>"# Sites @"&amp;Table_KPIs[[#This Row],[Remark]]</f>
        <v># Sites @SiteReadyForCW</v>
      </c>
      <c r="D60" s="60">
        <f>COUNTIF(Table_SiteMilestoneTracking[CurrentSiteMilestone],Table_KPIs[[#This Row],[Remark]])</f>
        <v>10</v>
      </c>
      <c r="E60" s="115"/>
      <c r="F60" s="124" t="str">
        <f>INDEX(Table_SiteMilestonesNames[SiteMilestoneName],6)</f>
        <v>SiteReadyForCW</v>
      </c>
    </row>
    <row r="61" spans="2:6" x14ac:dyDescent="0.3">
      <c r="B61" s="115" t="s">
        <v>237</v>
      </c>
      <c r="C61" s="124" t="str">
        <f>"# Sites @"&amp;Table_KPIs[[#This Row],[Remark]]</f>
        <v># Sites @SiteReadyForPower</v>
      </c>
      <c r="D61" s="60">
        <f>COUNTIF(Table_SiteMilestoneTracking[CurrentSiteMilestone],Table_KPIs[[#This Row],[Remark]])</f>
        <v>10</v>
      </c>
      <c r="E61" s="115"/>
      <c r="F61" s="115" t="s">
        <v>453</v>
      </c>
    </row>
    <row r="62" spans="2:6" x14ac:dyDescent="0.3">
      <c r="B62" s="115" t="s">
        <v>237</v>
      </c>
      <c r="C62" s="124" t="str">
        <f>"# Sites @"&amp;Table_KPIs[[#This Row],[Remark]]</f>
        <v># Sites @TX_Ready</v>
      </c>
      <c r="D62" s="60">
        <f>COUNTIF(Table_SiteMilestoneTracking[CurrentSiteMilestone],Table_KPIs[[#This Row],[Remark]])</f>
        <v>9</v>
      </c>
      <c r="E62" s="115"/>
      <c r="F62" s="115" t="s">
        <v>454</v>
      </c>
    </row>
    <row r="63" spans="2:6" x14ac:dyDescent="0.3">
      <c r="B63" s="115" t="s">
        <v>237</v>
      </c>
      <c r="C63" s="124" t="str">
        <f>"# Sites @"&amp;Table_KPIs[[#This Row],[Remark]]</f>
        <v># Sites @SiteReadyForInstallation</v>
      </c>
      <c r="D63" s="60">
        <f>COUNTIF(Table_SiteMilestoneTracking[CurrentSiteMilestone],Table_KPIs[[#This Row],[Remark]])</f>
        <v>11</v>
      </c>
      <c r="E63" s="115"/>
      <c r="F63" s="115" t="s">
        <v>455</v>
      </c>
    </row>
    <row r="64" spans="2:6" x14ac:dyDescent="0.3">
      <c r="B64" s="115" t="s">
        <v>237</v>
      </c>
      <c r="C64" s="124" t="str">
        <f>"# Sites @"&amp;Table_KPIs[[#This Row],[Remark]]</f>
        <v># Sites @SiteReadyForIntegration</v>
      </c>
      <c r="D64" s="60">
        <f>COUNTIF(Table_SiteMilestoneTracking[CurrentSiteMilestone],Table_KPIs[[#This Row],[Remark]])</f>
        <v>10</v>
      </c>
      <c r="E64" s="115"/>
      <c r="F64" s="115" t="s">
        <v>458</v>
      </c>
    </row>
    <row r="65" spans="2:7" x14ac:dyDescent="0.3">
      <c r="B65" s="115" t="s">
        <v>237</v>
      </c>
      <c r="C65" s="124" t="str">
        <f>"# Sites @"&amp;Table_KPIs[[#This Row],[Remark]]</f>
        <v># Sites @SiteOnAir</v>
      </c>
      <c r="D65" s="60">
        <f>COUNTIF(Table_SiteMilestoneTracking[CurrentSiteMilestone],Table_KPIs[[#This Row],[Remark]])</f>
        <v>10</v>
      </c>
      <c r="E65" s="115"/>
      <c r="F65" s="115" t="s">
        <v>459</v>
      </c>
    </row>
    <row r="66" spans="2:7" x14ac:dyDescent="0.3">
      <c r="B66" s="115" t="s">
        <v>237</v>
      </c>
      <c r="C66" s="124" t="str">
        <f>"# Sites @"&amp;Table_KPIs[[#This Row],[Remark]]</f>
        <v># Sites @SiteAccepted</v>
      </c>
      <c r="D66" s="60">
        <f>COUNTIF(Table_SiteMilestoneTracking[CurrentSiteMilestone],Table_KPIs[[#This Row],[Remark]])</f>
        <v>10</v>
      </c>
      <c r="E66" s="115"/>
      <c r="F66" s="115" t="s">
        <v>460</v>
      </c>
    </row>
    <row r="67" spans="2:7" ht="15" thickBot="1" x14ac:dyDescent="0.35">
      <c r="B67" s="115" t="s">
        <v>237</v>
      </c>
      <c r="C67" s="124" t="str">
        <f>"# Sites @"&amp;Table_KPIs[[#This Row],[Remark]]</f>
        <v># Sites @SiteInOperations</v>
      </c>
      <c r="D67" s="60">
        <f>COUNTIF(Table_SiteMilestoneTracking[CurrentSiteMilestone],Table_KPIs[[#This Row],[Remark]])</f>
        <v>10</v>
      </c>
      <c r="E67" s="115"/>
      <c r="F67" s="115" t="s">
        <v>461</v>
      </c>
    </row>
    <row r="68" spans="2:7" ht="15.6" thickTop="1" thickBot="1" x14ac:dyDescent="0.35">
      <c r="B68" s="110" t="s">
        <v>237</v>
      </c>
      <c r="C68" s="111" t="s">
        <v>480</v>
      </c>
      <c r="D68" s="126">
        <f>D54</f>
        <v>90</v>
      </c>
      <c r="E68" s="110"/>
      <c r="F68" s="112" t="s">
        <v>473</v>
      </c>
    </row>
    <row r="69" spans="2:7" ht="15" thickTop="1" x14ac:dyDescent="0.3">
      <c r="B69" s="115" t="s">
        <v>237</v>
      </c>
      <c r="C69" s="115" t="s">
        <v>628</v>
      </c>
      <c r="D69" s="60" cm="1">
        <f t="array" ref="D69">SUMPRODUCT(--(Table_SiteMilestoneTracking[CurrentSiteMilestone]=F70),--(Table_SiteMilestoneTracking[SiteDesignStarted_BL]&gt;=Table_SiteMilestoneTracking[SiteDesignStarted_AC]))</f>
        <v>2</v>
      </c>
      <c r="E69" s="115"/>
      <c r="F69" s="115" t="s">
        <v>446</v>
      </c>
    </row>
    <row r="70" spans="2:7" x14ac:dyDescent="0.3">
      <c r="B70" s="115" t="s">
        <v>237</v>
      </c>
      <c r="C70" s="115" t="s">
        <v>629</v>
      </c>
      <c r="D70" s="60" cm="1">
        <f t="array" ref="D70">SUMPRODUCT(--('5. Site Tracking Sheet'!G:G=F70),--('5. Site Tracking Sheet'!J:J&lt;'5. Site Tracking Sheet'!K:K))</f>
        <v>4</v>
      </c>
      <c r="E70" s="115"/>
      <c r="F70" s="115" t="s">
        <v>446</v>
      </c>
    </row>
    <row r="71" spans="2:7" x14ac:dyDescent="0.3">
      <c r="B71" s="115" t="s">
        <v>237</v>
      </c>
      <c r="C71" s="115" t="s">
        <v>630</v>
      </c>
      <c r="D71" s="60" cm="1">
        <f t="array" ref="D71">SUMPRODUCT(--('5. Site Tracking Sheet'!G:G=F72),--('5. Site Tracking Sheet'!O:O&gt;='5. Site Tracking Sheet'!P:P))</f>
        <v>1</v>
      </c>
      <c r="E71" s="115"/>
      <c r="F71" s="115" t="s">
        <v>447</v>
      </c>
    </row>
    <row r="72" spans="2:7" x14ac:dyDescent="0.3">
      <c r="B72" s="115" t="s">
        <v>237</v>
      </c>
      <c r="C72" s="115" t="s">
        <v>631</v>
      </c>
      <c r="D72" s="60" cm="1">
        <f t="array" ref="D72">SUMPRODUCT(--('5. Site Tracking Sheet'!G:G=F72),--('5. Site Tracking Sheet'!O:O&lt;'5. Site Tracking Sheet'!P:P))</f>
        <v>3</v>
      </c>
      <c r="E72" s="115"/>
      <c r="F72" s="115" t="s">
        <v>447</v>
      </c>
      <c r="G72" t="s">
        <v>447</v>
      </c>
    </row>
    <row r="73" spans="2:7" x14ac:dyDescent="0.3">
      <c r="B73" s="115" t="s">
        <v>237</v>
      </c>
      <c r="C73" s="115" t="s">
        <v>632</v>
      </c>
      <c r="D73" s="60" cm="1">
        <f t="array" ref="D73">SUMPRODUCT(--('5. Site Tracking Sheet'!G:G=F74),--('5. Site Tracking Sheet'!T:T&gt;='5. Site Tracking Sheet'!U:U))</f>
        <v>1</v>
      </c>
      <c r="E73" s="115"/>
      <c r="F73" s="124" t="str">
        <f>INDEX(Table_SiteMilestonesNames[SiteMilestoneName],4)</f>
        <v>SiteSurveyCompleted</v>
      </c>
    </row>
    <row r="74" spans="2:7" x14ac:dyDescent="0.3">
      <c r="B74" s="115" t="s">
        <v>237</v>
      </c>
      <c r="C74" s="115" t="s">
        <v>633</v>
      </c>
      <c r="D74" s="60" cm="1">
        <f t="array" ref="D74">SUMPRODUCT(--('5. Site Tracking Sheet'!G:G=F74),--('5. Site Tracking Sheet'!T:T&lt;'5. Site Tracking Sheet'!U:U))</f>
        <v>1</v>
      </c>
      <c r="E74" s="115"/>
      <c r="F74" s="124" t="str">
        <f>INDEX(Table_SiteMilestonesNames[SiteMilestoneName],4)</f>
        <v>SiteSurveyCompleted</v>
      </c>
    </row>
    <row r="75" spans="2:7" x14ac:dyDescent="0.3">
      <c r="B75" s="115" t="s">
        <v>237</v>
      </c>
      <c r="C75" s="115" t="s">
        <v>634</v>
      </c>
      <c r="D75" s="60" cm="1">
        <f t="array" ref="D75">SUMPRODUCT(--('5. Site Tracking Sheet'!G:G=F76),--('5. Site Tracking Sheet'!Y:Y&gt;='5. Site Tracking Sheet'!Z:Z))</f>
        <v>1</v>
      </c>
      <c r="E75" s="115"/>
      <c r="F75" s="124" t="str">
        <f>INDEX(Table_SiteMilestonesNames[SiteMilestoneName],5)</f>
        <v>SiteAcquired</v>
      </c>
    </row>
    <row r="76" spans="2:7" x14ac:dyDescent="0.3">
      <c r="B76" s="115" t="s">
        <v>237</v>
      </c>
      <c r="C76" s="115" t="s">
        <v>635</v>
      </c>
      <c r="D76" s="60" cm="1">
        <f t="array" ref="D76">SUMPRODUCT(--('5. Site Tracking Sheet'!G:G=F76),--('5. Site Tracking Sheet'!Y:Y&lt;'5. Site Tracking Sheet'!Z:Z))</f>
        <v>3</v>
      </c>
      <c r="E76" s="115"/>
      <c r="F76" s="124" t="str">
        <f>INDEX(Table_SiteMilestonesNames[SiteMilestoneName],5)</f>
        <v>SiteAcquired</v>
      </c>
    </row>
    <row r="77" spans="2:7" x14ac:dyDescent="0.3">
      <c r="B77" s="115" t="s">
        <v>237</v>
      </c>
      <c r="C77" s="115" t="s">
        <v>636</v>
      </c>
      <c r="D77" s="60" cm="1">
        <f t="array" ref="D77">SUMPRODUCT(--('5. Site Tracking Sheet'!G:G=F78),--('5. Site Tracking Sheet'!AE:AE&gt;='5. Site Tracking Sheet'!AF:AF))</f>
        <v>2</v>
      </c>
      <c r="E77" s="115"/>
      <c r="F77" s="115" t="s">
        <v>448</v>
      </c>
    </row>
    <row r="78" spans="2:7" x14ac:dyDescent="0.3">
      <c r="B78" s="115" t="s">
        <v>237</v>
      </c>
      <c r="C78" s="115" t="s">
        <v>637</v>
      </c>
      <c r="D78" s="60" cm="1">
        <f t="array" ref="D78">SUMPRODUCT(--('5. Site Tracking Sheet'!G:G=F78),--('5. Site Tracking Sheet'!AE:AE&lt;'5. Site Tracking Sheet'!AF:AF))</f>
        <v>8</v>
      </c>
      <c r="E78" s="115"/>
      <c r="F78" s="115" t="s">
        <v>448</v>
      </c>
    </row>
    <row r="79" spans="2:7" x14ac:dyDescent="0.3">
      <c r="B79" s="115" t="s">
        <v>237</v>
      </c>
      <c r="C79" s="115" t="s">
        <v>638</v>
      </c>
      <c r="D79" s="60" cm="1">
        <f t="array" ref="D79">SUMPRODUCT(--('5. Site Tracking Sheet'!G:G=F80),--('5. Site Tracking Sheet'!AK:AK&gt;='5. Site Tracking Sheet'!AL:AL))</f>
        <v>2</v>
      </c>
      <c r="E79" s="115"/>
      <c r="F79" s="115" t="s">
        <v>453</v>
      </c>
    </row>
    <row r="80" spans="2:7" x14ac:dyDescent="0.3">
      <c r="B80" s="115" t="s">
        <v>237</v>
      </c>
      <c r="C80" s="115" t="s">
        <v>639</v>
      </c>
      <c r="D80" s="60" cm="1">
        <f t="array" ref="D80">SUMPRODUCT(--('5. Site Tracking Sheet'!G:G=F80),--('5. Site Tracking Sheet'!AK:AK&lt;'5. Site Tracking Sheet'!AL:AL))</f>
        <v>8</v>
      </c>
      <c r="E80" s="115"/>
      <c r="F80" s="115" t="s">
        <v>453</v>
      </c>
    </row>
    <row r="81" spans="2:6" x14ac:dyDescent="0.3">
      <c r="B81" s="115" t="s">
        <v>237</v>
      </c>
      <c r="C81" s="115" t="s">
        <v>640</v>
      </c>
      <c r="D81" s="60" cm="1">
        <f t="array" ref="D81">SUMPRODUCT(--('5. Site Tracking Sheet'!G:G=F82),--('5. Site Tracking Sheet'!AQ:AQ&gt;='5. Site Tracking Sheet'!AR:AR))</f>
        <v>1</v>
      </c>
      <c r="E81" s="115"/>
      <c r="F81" s="115" t="s">
        <v>454</v>
      </c>
    </row>
    <row r="82" spans="2:6" x14ac:dyDescent="0.3">
      <c r="B82" s="115" t="s">
        <v>237</v>
      </c>
      <c r="C82" s="115" t="s">
        <v>641</v>
      </c>
      <c r="D82" s="60" cm="1">
        <f t="array" ref="D82">SUMPRODUCT(--('5. Site Tracking Sheet'!G:G=F82),--('5. Site Tracking Sheet'!AQ:AQ&lt;'5. Site Tracking Sheet'!AR:AR))</f>
        <v>8</v>
      </c>
      <c r="E82" s="115"/>
      <c r="F82" s="115" t="s">
        <v>454</v>
      </c>
    </row>
    <row r="83" spans="2:6" x14ac:dyDescent="0.3">
      <c r="B83" s="115" t="s">
        <v>237</v>
      </c>
      <c r="C83" s="115" t="s">
        <v>642</v>
      </c>
      <c r="D83" s="60" cm="1">
        <f t="array" ref="D83">SUMPRODUCT(--('5. Site Tracking Sheet'!G:G=F84),--('5. Site Tracking Sheet'!AW:AW&gt;='5. Site Tracking Sheet'!AX:AX))</f>
        <v>1</v>
      </c>
      <c r="E83" s="115"/>
      <c r="F83" s="115" t="s">
        <v>455</v>
      </c>
    </row>
    <row r="84" spans="2:6" x14ac:dyDescent="0.3">
      <c r="B84" s="115" t="s">
        <v>237</v>
      </c>
      <c r="C84" s="115" t="s">
        <v>643</v>
      </c>
      <c r="D84" s="60" cm="1">
        <f t="array" ref="D84">SUMPRODUCT(--('5. Site Tracking Sheet'!G:G=F84),--('5. Site Tracking Sheet'!AW:AW&lt;'5. Site Tracking Sheet'!AX:AX))</f>
        <v>10</v>
      </c>
      <c r="E84" s="115"/>
      <c r="F84" s="115" t="s">
        <v>455</v>
      </c>
    </row>
    <row r="85" spans="2:6" x14ac:dyDescent="0.3">
      <c r="B85" s="115" t="s">
        <v>237</v>
      </c>
      <c r="C85" s="115" t="s">
        <v>644</v>
      </c>
      <c r="D85" s="60" cm="1">
        <f t="array" ref="D85">SUMPRODUCT(--('5. Site Tracking Sheet'!G:G=F85),--('5. Site Tracking Sheet'!BC:BC&gt;='5. Site Tracking Sheet'!BD:BD))</f>
        <v>1</v>
      </c>
      <c r="E85" s="115"/>
      <c r="F85" s="115" t="s">
        <v>458</v>
      </c>
    </row>
    <row r="86" spans="2:6" x14ac:dyDescent="0.3">
      <c r="B86" s="115" t="s">
        <v>237</v>
      </c>
      <c r="C86" s="115" t="s">
        <v>645</v>
      </c>
      <c r="D86" s="60" cm="1">
        <f t="array" ref="D86">SUMPRODUCT(--('5. Site Tracking Sheet'!G:G=F86),--('5. Site Tracking Sheet'!BC:BC&lt;'5. Site Tracking Sheet'!BD:BD))</f>
        <v>9</v>
      </c>
      <c r="E86" s="115"/>
      <c r="F86" s="115" t="s">
        <v>458</v>
      </c>
    </row>
    <row r="87" spans="2:6" x14ac:dyDescent="0.3">
      <c r="B87" s="115" t="s">
        <v>237</v>
      </c>
      <c r="C87" s="115" t="s">
        <v>646</v>
      </c>
      <c r="D87" s="60" cm="1">
        <f t="array" ref="D87">SUMPRODUCT(--('5. Site Tracking Sheet'!G:G=F87),--('5. Site Tracking Sheet'!BI:BI&gt;='5. Site Tracking Sheet'!BJ:BJ))</f>
        <v>1</v>
      </c>
      <c r="E87" s="115"/>
      <c r="F87" s="115" t="s">
        <v>459</v>
      </c>
    </row>
    <row r="88" spans="2:6" x14ac:dyDescent="0.3">
      <c r="B88" s="115" t="s">
        <v>237</v>
      </c>
      <c r="C88" s="115" t="s">
        <v>647</v>
      </c>
      <c r="D88" s="60" cm="1">
        <f t="array" ref="D88">SUMPRODUCT(--('5. Site Tracking Sheet'!G:G=F88),--('5. Site Tracking Sheet'!BI:BI&lt;'5. Site Tracking Sheet'!BJ:BJ))</f>
        <v>9</v>
      </c>
      <c r="E88" s="115"/>
      <c r="F88" s="115" t="s">
        <v>459</v>
      </c>
    </row>
    <row r="89" spans="2:6" x14ac:dyDescent="0.3">
      <c r="B89" s="115" t="s">
        <v>237</v>
      </c>
      <c r="C89" s="115" t="s">
        <v>648</v>
      </c>
      <c r="D89" s="60" cm="1">
        <f t="array" ref="D89">SUMPRODUCT(--('5. Site Tracking Sheet'!G:G=F90),--('5. Site Tracking Sheet'!BO:BO&gt;='5. Site Tracking Sheet'!BP:BP))</f>
        <v>1</v>
      </c>
      <c r="E89" s="115"/>
      <c r="F89" s="115" t="s">
        <v>460</v>
      </c>
    </row>
    <row r="90" spans="2:6" x14ac:dyDescent="0.3">
      <c r="B90" s="115" t="s">
        <v>237</v>
      </c>
      <c r="C90" s="115" t="s">
        <v>649</v>
      </c>
      <c r="D90" s="60" cm="1">
        <f t="array" ref="D90">SUMPRODUCT(--('5. Site Tracking Sheet'!G:G=F90),--('5. Site Tracking Sheet'!BO:BO&lt;'5. Site Tracking Sheet'!BP:BP))</f>
        <v>9</v>
      </c>
      <c r="E90" s="115"/>
      <c r="F90" s="115" t="s">
        <v>460</v>
      </c>
    </row>
    <row r="91" spans="2:6" x14ac:dyDescent="0.3">
      <c r="B91" s="115" t="s">
        <v>237</v>
      </c>
      <c r="C91" s="115" t="s">
        <v>650</v>
      </c>
      <c r="D91" s="60" cm="1">
        <f t="array" ref="D91">SUMPRODUCT(--('5. Site Tracking Sheet'!G:G=F92),--('5. Site Tracking Sheet'!BU:BU&gt;='5. Site Tracking Sheet'!BV:BV))</f>
        <v>1</v>
      </c>
      <c r="E91" s="115"/>
      <c r="F91" s="115" t="s">
        <v>461</v>
      </c>
    </row>
    <row r="92" spans="2:6" ht="15" thickBot="1" x14ac:dyDescent="0.35">
      <c r="B92" s="115" t="s">
        <v>237</v>
      </c>
      <c r="C92" s="115" t="s">
        <v>651</v>
      </c>
      <c r="D92" s="60" cm="1">
        <f t="array" ref="D92">SUMPRODUCT(--('5. Site Tracking Sheet'!G:G=F92),--('5. Site Tracking Sheet'!BU:BU&lt;'5. Site Tracking Sheet'!BV:BV))</f>
        <v>9</v>
      </c>
      <c r="E92" s="115"/>
      <c r="F92" s="115" t="s">
        <v>461</v>
      </c>
    </row>
    <row r="93" spans="2:6" ht="15.6" thickTop="1" thickBot="1" x14ac:dyDescent="0.35">
      <c r="B93" s="110"/>
      <c r="C93" s="111" t="s">
        <v>469</v>
      </c>
      <c r="D93" s="127">
        <f>SUM(D70,D72,D74,D76,D78,D80,D82,D84,D86,D88,D90,D92)</f>
        <v>81</v>
      </c>
      <c r="E93" s="110"/>
      <c r="F93" s="110" t="s">
        <v>665</v>
      </c>
    </row>
    <row r="94" spans="2:6" ht="14.25" customHeight="1" thickTop="1" thickBot="1" x14ac:dyDescent="0.35">
      <c r="B94" s="110"/>
      <c r="C94" s="111" t="s">
        <v>468</v>
      </c>
      <c r="D94" s="127">
        <f>SUM(D69,D71,D73,D75,D77,D79,D81,D83,D85,D87,D89,D91)</f>
        <v>15</v>
      </c>
      <c r="E94" s="110"/>
      <c r="F94" s="112" t="s">
        <v>664</v>
      </c>
    </row>
    <row r="95" spans="2:6" ht="15" thickTop="1" x14ac:dyDescent="0.3">
      <c r="B95" s="115" t="s">
        <v>239</v>
      </c>
      <c r="C95" s="115" t="s">
        <v>240</v>
      </c>
      <c r="D95" s="60">
        <f>('4. Design Tracking Summary'!I2*5)</f>
        <v>13.555555555555557</v>
      </c>
      <c r="E95" s="115"/>
      <c r="F95" s="115"/>
    </row>
    <row r="96" spans="2:6" x14ac:dyDescent="0.3">
      <c r="B96" s="115" t="s">
        <v>239</v>
      </c>
      <c r="C96" s="115" t="s">
        <v>241</v>
      </c>
      <c r="D96" s="60">
        <f>(('4. Design Tracking Summary'!I2)/8)</f>
        <v>0.33888888888888891</v>
      </c>
      <c r="E96" s="115"/>
      <c r="F96" s="115"/>
    </row>
    <row r="97" spans="2:9" x14ac:dyDescent="0.3">
      <c r="B97" s="115"/>
      <c r="C97" s="119" t="s">
        <v>670</v>
      </c>
      <c r="D97" s="60"/>
      <c r="E97" s="115"/>
      <c r="F97" s="115"/>
    </row>
    <row r="98" spans="2:9" x14ac:dyDescent="0.3">
      <c r="B98" s="115" t="s">
        <v>239</v>
      </c>
      <c r="C98" s="115" t="s">
        <v>597</v>
      </c>
      <c r="D98" s="60" cm="1">
        <f t="array" ref="D98">MIN(IF((Table_SiteMilestoneTracking[SiteDesignStarted_AC]&lt;&gt;"")*(Table_SiteMilestoneTracking[SiteDesignStarted_BL]&lt;&gt;""),Table_SiteMilestoneTracking[SiteDesignStarted_AC]-Table_SiteMilestoneTracking[SiteDesignStarted_BL]))</f>
        <v>0</v>
      </c>
      <c r="E98" s="115" t="s">
        <v>231</v>
      </c>
      <c r="F98" s="115" t="s">
        <v>342</v>
      </c>
      <c r="G98" t="s">
        <v>446</v>
      </c>
      <c r="I98" s="102"/>
    </row>
    <row r="99" spans="2:9" x14ac:dyDescent="0.3">
      <c r="B99" s="115" t="s">
        <v>239</v>
      </c>
      <c r="C99" s="115" t="s">
        <v>597</v>
      </c>
      <c r="D99" s="60" cm="1">
        <f t="array" ref="D99">MAX(Table_SiteMilestoneTracking[SiteDesignStarted_AC]-Table_SiteMilestoneTracking[SiteDesignStarted_BL])</f>
        <v>7</v>
      </c>
      <c r="E99" s="115" t="s">
        <v>229</v>
      </c>
      <c r="F99" s="115" t="s">
        <v>343</v>
      </c>
      <c r="G99" t="s">
        <v>446</v>
      </c>
      <c r="H99" s="102" t="str" cm="1">
        <f t="array" ref="H99">INDEX(Table_SiteMilestoneTracking[SiteID],SMALL(IF(Table_SiteMilestoneTracking[Delta_SiteDesignStarted_BL_SiteDesignStarted_AC]=D99,ROW(Table_SiteMilestoneTracking[Delta_SiteDesignStarted_BL_SiteDesignStarted_AC])-ROW(Table_SiteMilestoneTracking[[#Headers],[Delta_SiteDesignStarted_BL_SiteDesignStarted_AC]])),
COUNTIF($D$99:D99,D99)))</f>
        <v>LI01455</v>
      </c>
      <c r="I99" s="136" t="str" cm="1">
        <f t="array" ref="I99">INDEX(Table_SiteMilestoneTracking[Region],SMALL(IF(Table_SiteMilestoneTracking[Delta_SiteDesignStarted_BL_SiteDesignStarted_AC]=D99,ROW(Table_SiteMilestoneTracking[Delta_SiteDesignStarted_BL_SiteDesignStarted_AC])-ROW(Table_SiteMilestoneTracking[[#Headers],[Delta_SiteDesignStarted_BL_SiteDesignStarted_AC]])),
COUNTIF($D$99:D99,D99)))</f>
        <v>Center</v>
      </c>
    </row>
    <row r="100" spans="2:9" x14ac:dyDescent="0.3">
      <c r="B100" s="115" t="s">
        <v>239</v>
      </c>
      <c r="C100" s="115" t="s">
        <v>597</v>
      </c>
      <c r="D100" s="60" cm="1">
        <f t="array" ref="D100">AVERAGE(IF((Table_SiteMilestoneTracking[SiteDesignStarted_AC]&lt;&gt;"")*(Table_SiteMilestoneTracking[SiteDesignStarted_BL]&lt;&gt;""),Table_SiteMilestoneTracking[SiteDesignStarted_AC]-Table_SiteMilestoneTracking[SiteDesignStarted_BL]))</f>
        <v>1.5416666666666667</v>
      </c>
      <c r="E100" s="115" t="s">
        <v>230</v>
      </c>
      <c r="F100" s="115" t="s">
        <v>344</v>
      </c>
      <c r="G100" t="s">
        <v>446</v>
      </c>
    </row>
    <row r="101" spans="2:9" x14ac:dyDescent="0.3">
      <c r="B101" s="115" t="s">
        <v>237</v>
      </c>
      <c r="C101" s="115" t="s">
        <v>598</v>
      </c>
      <c r="D101" s="60" cm="1">
        <f t="array" ref="D101">MIN(IF((Table_SiteMilestoneTracking[SiteDesignReady_BL]&lt;&gt;"")*(Table_SiteMilestoneTracking[SiteDesignReady_AC]&lt;&gt;""),Table_SiteMilestoneTracking[SiteDesignReady_AC]-Table_SiteMilestoneTracking[SiteDesignReady_BL]))</f>
        <v>0</v>
      </c>
      <c r="E101" s="115" t="s">
        <v>231</v>
      </c>
      <c r="F101" s="115" t="s">
        <v>242</v>
      </c>
      <c r="G101" s="34" t="s">
        <v>447</v>
      </c>
      <c r="I101" s="102"/>
    </row>
    <row r="102" spans="2:9" x14ac:dyDescent="0.3">
      <c r="B102" s="115" t="s">
        <v>237</v>
      </c>
      <c r="C102" s="115" t="s">
        <v>598</v>
      </c>
      <c r="D102" s="60" cm="1">
        <f t="array" ref="D102">MAX(Table_SiteMilestoneTracking[SiteDesignReady_AC]-Table_SiteMilestoneTracking[SiteDesignReady_BL])</f>
        <v>6</v>
      </c>
      <c r="E102" s="115" t="s">
        <v>229</v>
      </c>
      <c r="F102" s="115" t="s">
        <v>243</v>
      </c>
      <c r="G102" s="34" t="s">
        <v>447</v>
      </c>
      <c r="H102" s="102" t="e" cm="1">
        <f t="array" ref="H102">INDEX(Table_SiteMilestoneTracking[SiteID],SMALL(IF(#REF!=D102,ROW(#REF!)-ROW(#REF!)),
COUNTIF($D$102:D102,D102)))</f>
        <v>#REF!</v>
      </c>
      <c r="I102" s="102" t="e" cm="1">
        <f t="array" ref="I102">INDEX(Table_SiteMilestoneTracking[Region],SMALL(IF(#REF!=D102,ROW(#REF!)-ROW(#REF!)),
COUNTIF($D$102:D102,D102)))</f>
        <v>#REF!</v>
      </c>
    </row>
    <row r="103" spans="2:9" x14ac:dyDescent="0.3">
      <c r="B103" s="115" t="s">
        <v>237</v>
      </c>
      <c r="C103" s="115" t="s">
        <v>598</v>
      </c>
      <c r="D103" s="60" cm="1">
        <f t="array" ref="D103">AVERAGE(IF((Table_SiteMilestoneTracking[SiteDesignStarted_AC]&lt;&gt;"")*(Table_SiteMilestoneTracking[SiteDesignStarted_BL]&lt;&gt;""),Table_SiteMilestoneTracking[SiteDesignStarted_AC]-Table_SiteMilestoneTracking[SiteDesignStarted_BL]))</f>
        <v>1.5416666666666667</v>
      </c>
      <c r="E103" s="115" t="s">
        <v>230</v>
      </c>
      <c r="F103" s="115" t="s">
        <v>244</v>
      </c>
      <c r="G103" s="34" t="s">
        <v>447</v>
      </c>
    </row>
    <row r="104" spans="2:9" x14ac:dyDescent="0.3">
      <c r="B104" s="115" t="s">
        <v>237</v>
      </c>
      <c r="C104" s="115" t="s">
        <v>599</v>
      </c>
      <c r="D104" s="60" cm="1">
        <f t="array" ref="D104">MIN(IF((Table_SiteMilestoneTracking[SiteReadyForCW_BL]&lt;&gt;"")*(Table_SiteMilestoneTracking[SiteReadyForCW_AC]&lt;&gt;""),Table_SiteMilestoneTracking[SiteReadyForCW_AC]-Table_SiteMilestoneTracking[SiteReadyForCW_BL]))</f>
        <v>0</v>
      </c>
      <c r="E104" s="115" t="s">
        <v>231</v>
      </c>
      <c r="F104" s="115" t="s">
        <v>251</v>
      </c>
      <c r="G104" s="34" t="s">
        <v>448</v>
      </c>
      <c r="I104" s="102"/>
    </row>
    <row r="105" spans="2:9" x14ac:dyDescent="0.3">
      <c r="B105" s="115" t="s">
        <v>237</v>
      </c>
      <c r="C105" s="115" t="s">
        <v>599</v>
      </c>
      <c r="D105" s="60" cm="1">
        <f t="array" ref="D105">MAX(Table_SiteMilestoneTracking[SiteReadyForCW_AC]-Table_SiteMilestoneTracking[SiteReadyForCW_BL])</f>
        <v>8</v>
      </c>
      <c r="E105" s="115" t="s">
        <v>229</v>
      </c>
      <c r="F105" s="115" t="s">
        <v>252</v>
      </c>
      <c r="G105" s="34" t="s">
        <v>448</v>
      </c>
      <c r="H105" s="102" t="str" cm="1">
        <f t="array" ref="H105">INDEX(Table_SiteMilestoneTracking[SiteID],SMALL(IF(Table_SiteMilestoneTracking[Delta_SiRdyCW_BL_SiRdyCW_AC]=D105,ROW(Table_SiteMilestoneTracking[Delta_SiRdyCW_BL_SiRdyCW_AC])-ROW(Table_SiteMilestoneTracking[[#Headers],[Delta_SiRdyCW_BL_SiRdyCW_AC]])),
COUNTIF($D105:D$105,D105)))</f>
        <v>FE00941</v>
      </c>
      <c r="I105" t="str" cm="1">
        <f t="array" ref="I105">INDEX(Table_SiteMilestoneTracking[Region],SMALL(IF(Table_SiteMilestoneTracking[Delta_SiRdyCW_BL_SiRdyCW_AC]=D105,ROW(Table_SiteMilestoneTracking[Delta_SiRdyCW_BL_SiRdyCW_AC])-ROW(Table_SiteMilestoneTracking[[#Headers],[Delta_SiRdyCW_BL_SiRdyCW_AC]])),
COUNTIF($D105:D$105,D105)))</f>
        <v>Center</v>
      </c>
    </row>
    <row r="106" spans="2:9" x14ac:dyDescent="0.3">
      <c r="B106" s="115" t="s">
        <v>237</v>
      </c>
      <c r="C106" s="115" t="s">
        <v>599</v>
      </c>
      <c r="D106" s="60" cm="1">
        <f t="array" ref="D106">AVERAGE(IF((Table_SiteMilestoneTracking[SiteReadyForCW_BL]&lt;&gt;"")*(Table_SiteMilestoneTracking[SiteReadyForCW_AC]&lt;&gt;""),Table_SiteMilestoneTracking[SiteReadyForCW_AC]-Table_SiteMilestoneTracking[SiteReadyForCW_BL]))</f>
        <v>3.7250000000000001</v>
      </c>
      <c r="E106" s="115" t="s">
        <v>230</v>
      </c>
      <c r="F106" s="115" t="s">
        <v>253</v>
      </c>
      <c r="G106" s="34" t="s">
        <v>448</v>
      </c>
    </row>
    <row r="107" spans="2:9" x14ac:dyDescent="0.3">
      <c r="B107" s="115" t="s">
        <v>237</v>
      </c>
      <c r="C107" s="115" t="s">
        <v>600</v>
      </c>
      <c r="D107" s="60" cm="1">
        <f t="array" ref="D107">MIN(IF((Table_SiteMilestoneTracking[SiteReadyForPower_BL]&lt;&gt;"")*(Table_SiteMilestoneTracking[SiteReadyForPower_AC]&lt;&gt;""),Table_SiteMilestoneTracking[SiteReadyForPower_AC]-Table_SiteMilestoneTracking[SiteReadyForPower_BL]))</f>
        <v>0</v>
      </c>
      <c r="E107" s="115" t="s">
        <v>231</v>
      </c>
      <c r="F107" s="115" t="s">
        <v>260</v>
      </c>
      <c r="G107" s="34" t="s">
        <v>453</v>
      </c>
      <c r="I107" s="102"/>
    </row>
    <row r="108" spans="2:9" x14ac:dyDescent="0.3">
      <c r="B108" s="115" t="s">
        <v>237</v>
      </c>
      <c r="C108" s="115" t="s">
        <v>600</v>
      </c>
      <c r="D108" s="60" cm="1">
        <f t="array" ref="D108">MAX(Table_SiteMilestoneTracking[SiteReadyForPower_AC]-Table_SiteMilestoneTracking[SiteReadyForPower_BL])</f>
        <v>8</v>
      </c>
      <c r="E108" s="115" t="s">
        <v>229</v>
      </c>
      <c r="F108" s="115" t="s">
        <v>261</v>
      </c>
      <c r="G108" s="34" t="s">
        <v>453</v>
      </c>
      <c r="H108" s="102" t="str" cm="1">
        <f t="array" ref="H108">INDEX(Table_SiteMilestoneTracking[SiteID],SMALL(IF(Table_SiteMilestoneTracking[Delta_SiRdyPwr_AC_SiRdyPwr_BL]=D108,ROW(Table_SiteMilestoneTracking[Delta_SiRdyPwr_AC_SiRdyPwr_BL])-ROW(Table_SiteMilestoneTracking[[#Headers],[Delta_SiRdyPwr_AC_SiRdyPwr_BL]])),
COUNTIF($D108:D$108,D108)))</f>
        <v>PI00308</v>
      </c>
      <c r="I108" t="str" cm="1">
        <f t="array" ref="I108">INDEX(Table_SiteMilestoneTracking[Region],SMALL(IF(Table_SiteMilestoneTracking[Delta_SiRdyPwr_AC_SiRdyPwr_BL]=D108,ROW(Table_SiteMilestoneTracking[Delta_SiRdyPwr_AC_SiRdyPwr_BL])-ROW(Table_SiteMilestoneTracking[[#Headers],[Delta_SiRdyPwr_AC_SiRdyPwr_BL]])),
COUNTIF($D108:D$108,D108)))</f>
        <v>Center</v>
      </c>
    </row>
    <row r="109" spans="2:9" x14ac:dyDescent="0.3">
      <c r="B109" s="115" t="s">
        <v>237</v>
      </c>
      <c r="C109" s="115" t="s">
        <v>600</v>
      </c>
      <c r="D109" s="60" cm="1">
        <f t="array" ref="D109">AVERAGE(IF((Table_SiteMilestoneTracking[SiteReadyForPower_BL]&lt;&gt;"")*(Table_SiteMilestoneTracking[SiteReadyForPower_AC]&lt;&gt;""),Table_SiteMilestoneTracking[SiteReadyForPower_AC]-Table_SiteMilestoneTracking[SiteReadyForPower_BL]))</f>
        <v>4.0714285714285712</v>
      </c>
      <c r="E109" s="115" t="s">
        <v>230</v>
      </c>
      <c r="F109" s="115" t="s">
        <v>262</v>
      </c>
      <c r="G109" s="34" t="s">
        <v>453</v>
      </c>
    </row>
    <row r="110" spans="2:9" x14ac:dyDescent="0.3">
      <c r="B110" s="115" t="s">
        <v>237</v>
      </c>
      <c r="C110" s="115" t="s">
        <v>601</v>
      </c>
      <c r="D110" s="60" cm="1">
        <f t="array" ref="D110">MIN(IF((Table_SiteMilestoneTracking[TXReady_BL]&lt;&gt;"")*(Table_SiteMilestoneTracking[TXReady_AC]&lt;&gt;""),Table_SiteMilestoneTracking[TXReady_AC]-Table_SiteMilestoneTracking[TXReady_BL]))</f>
        <v>0</v>
      </c>
      <c r="E110" s="115" t="s">
        <v>231</v>
      </c>
      <c r="F110" s="115" t="s">
        <v>269</v>
      </c>
      <c r="G110" s="34" t="s">
        <v>454</v>
      </c>
      <c r="I110" s="102"/>
    </row>
    <row r="111" spans="2:9" x14ac:dyDescent="0.3">
      <c r="B111" s="115" t="s">
        <v>237</v>
      </c>
      <c r="C111" s="115" t="s">
        <v>601</v>
      </c>
      <c r="D111" s="60" cm="1">
        <f t="array" ref="D111">MAX(Table_SiteMilestoneTracking[TXReady_AC]-Table_SiteMilestoneTracking[TXReady_BL])</f>
        <v>17</v>
      </c>
      <c r="E111" s="115" t="s">
        <v>229</v>
      </c>
      <c r="F111" s="115" t="s">
        <v>270</v>
      </c>
      <c r="G111" s="34" t="s">
        <v>454</v>
      </c>
      <c r="H111" s="102" t="str" cm="1">
        <f t="array" ref="H111">INDEX(Table_SiteMilestoneTracking[SiteID],SMALL(IF(Table_SiteMilestoneTracking[Delta_TXRdy_AC_TXRdy_BL]=D111,ROW(Table_SiteMilestoneTracking[Delta_TXRdy_AC_TXRdy_BL])-ROW(Table_SiteMilestoneTracking[[#Headers],[Delta_TXRdy_AC_TXRdy_BL]])),
COUNTIF($D111:D$111,D111)))</f>
        <v>AN00262</v>
      </c>
      <c r="I111" t="str" cm="1">
        <f t="array" ref="I111">INDEX(Table_SiteMilestoneTracking[Region],SMALL(IF(Table_SiteMilestoneTracking[Delta_TXRdy_AC_TXRdy_BL]=D111,ROW(Table_SiteMilestoneTracking[Delta_TXRdy_AC_TXRdy_BL])-ROW(Table_SiteMilestoneTracking[[#Headers],[Delta_TXRdy_AC_TXRdy_BL]])),
COUNTIF($D111:D$111,D111)))</f>
        <v>South</v>
      </c>
    </row>
    <row r="112" spans="2:9" x14ac:dyDescent="0.3">
      <c r="B112" s="115" t="s">
        <v>237</v>
      </c>
      <c r="C112" s="115" t="s">
        <v>601</v>
      </c>
      <c r="D112" s="60" cm="1">
        <f t="array" ref="D112">AVERAGE(IF((Table_SiteMilestoneTracking[TXReady_BL]&lt;&gt;"")*(Table_SiteMilestoneTracking[TXReady_AC]&lt;&gt;""),Table_SiteMilestoneTracking[TXReady_AC]-Table_SiteMilestoneTracking[TXReady_BL]))</f>
        <v>5.0666666666666664</v>
      </c>
      <c r="E112" s="115" t="s">
        <v>230</v>
      </c>
      <c r="F112" s="115" t="s">
        <v>271</v>
      </c>
      <c r="G112" s="34" t="s">
        <v>454</v>
      </c>
    </row>
    <row r="113" spans="2:9" x14ac:dyDescent="0.3">
      <c r="B113" s="115" t="s">
        <v>237</v>
      </c>
      <c r="C113" s="115" t="s">
        <v>602</v>
      </c>
      <c r="D113" s="60" cm="1">
        <f t="array" ref="D113">MIN(IF((Table_SiteMilestoneTracking[SiteReadyForInstallation_AC]&lt;&gt;"")*(Table_SiteMilestoneTracking[SiteReadyForInstallation_BL]&lt;&gt;""),Table_SiteMilestoneTracking[SiteReadyForInstallation_AC]-Table_SiteMilestoneTracking[SiteReadyForInstallation_BL]))</f>
        <v>0</v>
      </c>
      <c r="E113" s="115" t="s">
        <v>231</v>
      </c>
      <c r="F113" s="115" t="s">
        <v>278</v>
      </c>
      <c r="G113" s="34" t="s">
        <v>455</v>
      </c>
      <c r="I113" s="102"/>
    </row>
    <row r="114" spans="2:9" x14ac:dyDescent="0.3">
      <c r="B114" s="115" t="s">
        <v>237</v>
      </c>
      <c r="C114" s="115" t="s">
        <v>602</v>
      </c>
      <c r="D114" s="60" cm="1">
        <f t="array" ref="D114">MAX(Table_SiteMilestoneTracking[SiteReadyForInstallation_AC]-Table_SiteMilestoneTracking[SiteReadyForInstallation_BL])</f>
        <v>8</v>
      </c>
      <c r="E114" s="115" t="s">
        <v>229</v>
      </c>
      <c r="F114" s="115" t="s">
        <v>279</v>
      </c>
      <c r="G114" s="34" t="s">
        <v>455</v>
      </c>
      <c r="H114" s="102" t="str" cm="1">
        <f t="array" ref="H114">INDEX(Table_SiteMilestoneTracking[SiteID],SMALL(IF(Table_SiteMilestoneTracking[Delta_SiteReadyForInstallation_AC_SiteRdyFrInstall_BL]=D114,ROW(Table_SiteMilestoneTracking[Delta_SiteReadyForInstallation_AC_SiteRdyFrInstall_BL])-ROW(Table_SiteMilestoneTracking[[#Headers],[Delta_SiteReadyForInstallation_AC_SiteRdyFrInstall_BL]])),
COUNTIF($D114:D$114,D114)))</f>
        <v>ED00640</v>
      </c>
      <c r="I114" t="str" cm="1">
        <f t="array" ref="I114">INDEX(Table_SiteMilestoneTracking[Region],SMALL(IF(Table_SiteMilestoneTracking[Delta_SiteReadyForInstallation_AC_SiteRdyFrInstall_BL]=D114,ROW(Table_SiteMilestoneTracking[Delta_SiteReadyForInstallation_AC_SiteRdyFrInstall_BL])-ROW(Table_SiteMilestoneTracking[[#Headers],[Delta_SiteReadyForInstallation_AC_SiteRdyFrInstall_BL]])),
COUNTIF($D114:D$114,D114)))</f>
        <v>Center</v>
      </c>
    </row>
    <row r="115" spans="2:9" x14ac:dyDescent="0.3">
      <c r="B115" s="115" t="s">
        <v>237</v>
      </c>
      <c r="C115" s="115" t="s">
        <v>602</v>
      </c>
      <c r="D115" s="60" cm="1">
        <f t="array" ref="D115">AVERAGE(IF((Table_SiteMilestoneTracking[SiteReadyForInstallation_AC]&lt;&gt;"")*(Table_SiteMilestoneTracking[SiteReadyForInstallation_BL]&lt;&gt;""),Table_SiteMilestoneTracking[SiteReadyForInstallation_AC]-Table_SiteMilestoneTracking[SiteReadyForInstallation_BL]))</f>
        <v>5.215686274509804</v>
      </c>
      <c r="E115" s="115" t="s">
        <v>230</v>
      </c>
      <c r="F115" s="115" t="s">
        <v>280</v>
      </c>
      <c r="G115" s="34" t="s">
        <v>455</v>
      </c>
    </row>
    <row r="116" spans="2:9" x14ac:dyDescent="0.3">
      <c r="B116" s="115" t="s">
        <v>237</v>
      </c>
      <c r="C116" s="115" t="s">
        <v>603</v>
      </c>
      <c r="D116" s="60" cm="1">
        <f t="array" ref="D116">MIN(IF((Table_SiteMilestoneTracking[SiteReadyForIntegration_BL]&lt;&gt;"")*(Table_SiteMilestoneTracking[SiteReadyForIntegration_AC]&lt;&gt;""),Table_SiteMilestoneTracking[SiteReadyForIntegration_AC]-Table_SiteMilestoneTracking[SiteReadyForIntegration_BL]))</f>
        <v>0</v>
      </c>
      <c r="E116" s="115" t="s">
        <v>231</v>
      </c>
      <c r="F116" s="115" t="s">
        <v>287</v>
      </c>
      <c r="G116" s="34" t="s">
        <v>458</v>
      </c>
    </row>
    <row r="117" spans="2:9" x14ac:dyDescent="0.3">
      <c r="B117" s="115" t="s">
        <v>237</v>
      </c>
      <c r="C117" s="115" t="s">
        <v>603</v>
      </c>
      <c r="D117" s="60" cm="1">
        <f t="array" ref="D117">MAX(Table_SiteMilestoneTracking[SiteReadyForIntegration_AC]-Table_SiteMilestoneTracking[SiteReadyForIntegration_BL])</f>
        <v>9</v>
      </c>
      <c r="E117" s="115" t="s">
        <v>229</v>
      </c>
      <c r="F117" s="115" t="s">
        <v>288</v>
      </c>
      <c r="G117" s="34" t="s">
        <v>458</v>
      </c>
      <c r="H117" s="102" t="str" cm="1">
        <f t="array" ref="H117">INDEX(Table_SiteMilestoneTracking[SiteID],SMALL(IF(Table_SiteMilestoneTracking[Delta_SiteReadyForIntegration_AC_SiRdyInteg_BL]=D117,ROW(Table_SiteMilestoneTracking[Delta_SiteReadyForIntegration_AC_SiRdyInteg_BL])-ROW(Table_SiteMilestoneTracking[[#Headers],[Delta_SiteReadyForIntegration_AC_SiRdyInteg_BL]])),
COUNTIF($D117:D$117,D117)))</f>
        <v>CA00135</v>
      </c>
      <c r="I117" t="str" cm="1">
        <f t="array" ref="I117">INDEX(Table_SiteMilestoneTracking[Region],SMALL(IF(Table_SiteMilestoneTracking[Delta_SiteReadyForIntegration_AC_SiRdyInteg_BL]=D117,ROW(Table_SiteMilestoneTracking[Delta_SiteReadyForIntegration_AC_SiRdyInteg_BL])-ROW(Table_SiteMilestoneTracking[[#Headers],[Delta_SiteReadyForIntegration_AC_SiRdyInteg_BL]])),
COUNTIF($D117:D$117,D117)))</f>
        <v>North</v>
      </c>
    </row>
    <row r="118" spans="2:9" x14ac:dyDescent="0.3">
      <c r="B118" s="115" t="s">
        <v>237</v>
      </c>
      <c r="C118" s="115" t="s">
        <v>603</v>
      </c>
      <c r="D118" s="60" cm="1">
        <f t="array" ref="D118">AVERAGE(IF((Table_SiteMilestoneTracking[SiteReadyForIntegration_BL]&lt;&gt;"")*(Table_SiteMilestoneTracking[SiteReadyForIntegration_AC]&lt;&gt;""),Table_SiteMilestoneTracking[SiteReadyForIntegration_AC]-Table_SiteMilestoneTracking[SiteReadyForIntegration_BL]))</f>
        <v>5.625</v>
      </c>
      <c r="E118" s="115" t="s">
        <v>230</v>
      </c>
      <c r="F118" s="115" t="s">
        <v>289</v>
      </c>
      <c r="G118" s="34" t="s">
        <v>458</v>
      </c>
    </row>
    <row r="119" spans="2:9" x14ac:dyDescent="0.3">
      <c r="B119" s="115" t="s">
        <v>237</v>
      </c>
      <c r="C119" s="115" t="s">
        <v>604</v>
      </c>
      <c r="D119" s="60" cm="1">
        <f t="array" ref="D119">MIN(IF((Table_SiteMilestoneTracking[SiteOnAir_BL]&lt;&gt;"")*(Table_SiteMilestoneTracking[SiteOnAir_AC]&lt;&gt;""),Table_SiteMilestoneTracking[SiteOnAir_AC]-Table_SiteMilestoneTracking[SiteOnAir_BL]))</f>
        <v>0</v>
      </c>
      <c r="E119" s="115" t="s">
        <v>231</v>
      </c>
      <c r="F119" s="115" t="s">
        <v>296</v>
      </c>
      <c r="G119" s="34" t="s">
        <v>459</v>
      </c>
      <c r="H119" t="str" cm="1">
        <f t="array" ref="H119">INDEX(Table_SiteMilestoneTracking[SiteID],SMALL(IF(Table_SiteMilestoneTracking[Delta_SiteOnAir_AC_SiteOnAir_BL]=D120,ROW(Table_SiteMilestoneTracking[Delta_SiteOnAir_AC_SiteOnAir_BL])-ROW(Table_SiteMilestoneTracking[[#Headers],[Delta_SiteOnAir_AC_SiteOnAir_BL]])),
COUNTIF($D120:D$120,D120)))</f>
        <v>CA00135</v>
      </c>
      <c r="I119" s="102" t="str" cm="1">
        <f t="array" ref="I119">INDEX(Table_SiteMilestoneTracking[Region],SMALL(IF(Table_SiteMilestoneTracking[Delta_SiteOnAir_AC_SiteOnAir_BL]=D120,ROW(Table_SiteMilestoneTracking[Delta_SiteOnAir_AC_SiteOnAir_BL])-ROW(Table_SiteMilestoneTracking[[#Headers],[Delta_SiteOnAir_AC_SiteOnAir_BL]])),
COUNTIF($D120:D$120,D120)))</f>
        <v>North</v>
      </c>
    </row>
    <row r="120" spans="2:9" x14ac:dyDescent="0.3">
      <c r="B120" s="115" t="s">
        <v>237</v>
      </c>
      <c r="C120" s="115" t="s">
        <v>604</v>
      </c>
      <c r="D120" s="60" cm="1">
        <f t="array" ref="D120">MAX(Table_SiteMilestoneTracking[SiteOnAir_AC]-Table_SiteMilestoneTracking[SiteOnAir_BL])</f>
        <v>9</v>
      </c>
      <c r="E120" s="115" t="s">
        <v>229</v>
      </c>
      <c r="F120" s="115" t="s">
        <v>297</v>
      </c>
      <c r="G120" s="34" t="s">
        <v>459</v>
      </c>
    </row>
    <row r="121" spans="2:9" x14ac:dyDescent="0.3">
      <c r="B121" s="115" t="s">
        <v>237</v>
      </c>
      <c r="C121" s="115" t="s">
        <v>604</v>
      </c>
      <c r="D121" s="60" cm="1">
        <f t="array" ref="D121">AVERAGE(IF((Table_SiteMilestoneTracking[SiteOnAir_BL]&lt;&gt;"")*(Table_SiteMilestoneTracking[SiteOnAir_AC]&lt;&gt;""),Table_SiteMilestoneTracking[SiteOnAir_AC]-Table_SiteMilestoneTracking[SiteOnAir_BL]))</f>
        <v>5.5</v>
      </c>
      <c r="E121" s="115" t="s">
        <v>230</v>
      </c>
      <c r="F121" s="115" t="s">
        <v>298</v>
      </c>
      <c r="G121" s="34" t="s">
        <v>459</v>
      </c>
    </row>
    <row r="122" spans="2:9" x14ac:dyDescent="0.3">
      <c r="B122" s="115" t="s">
        <v>237</v>
      </c>
      <c r="C122" s="115" t="s">
        <v>605</v>
      </c>
      <c r="D122" s="60" cm="1">
        <f t="array" ref="D122">MIN(IF((Table_SiteMilestoneTracking[SiteAccepted_AC]&lt;&gt;"")*(Table_SiteMilestoneTracking[SiteAccepted_BL]&lt;&gt;""),Table_SiteMilestoneTracking[SiteAccepted_AC]-Table_SiteMilestoneTracking[SiteAccepted_BL]))</f>
        <v>0</v>
      </c>
      <c r="E122" s="115" t="s">
        <v>231</v>
      </c>
      <c r="F122" s="115" t="s">
        <v>305</v>
      </c>
      <c r="G122" s="34" t="s">
        <v>460</v>
      </c>
    </row>
    <row r="123" spans="2:9" x14ac:dyDescent="0.3">
      <c r="B123" s="115" t="s">
        <v>237</v>
      </c>
      <c r="C123" s="115" t="s">
        <v>605</v>
      </c>
      <c r="D123" s="60" cm="1">
        <f t="array" ref="D123">MAX(Table_SiteMilestoneTracking[SiteAccepted_AC]-Table_SiteMilestoneTracking[SiteAccepted_BL])</f>
        <v>10</v>
      </c>
      <c r="E123" s="115" t="s">
        <v>229</v>
      </c>
      <c r="F123" s="115" t="s">
        <v>306</v>
      </c>
      <c r="G123" s="34" t="s">
        <v>460</v>
      </c>
      <c r="H123" s="102" t="str" cm="1">
        <f t="array" ref="H123">INDEX(Table_SiteMilestoneTracking[SiteID],SMALL(IF(Table_SiteMilestoneTracking[Delta_SiteAccepted_AC_SiAccept_BL]=D123,ROW(Table_SiteMilestoneTracking[Delta_SiteAccepted_AC_SiAccept_BL])-ROW(Table_SiteMilestoneTracking[[#Headers],[Delta_SiteAccepted_AC_SiAccept_BL]])),
COUNTIF($D123:D$123,D123)))</f>
        <v>ED00640</v>
      </c>
      <c r="I123" t="str" cm="1">
        <f t="array" ref="I123">INDEX(Table_SiteMilestoneTracking[Region],SMALL(IF(Table_SiteMilestoneTracking[Delta_SiteAccepted_AC_SiAccept_BL]=D123,ROW(Table_SiteMilestoneTracking[Delta_SiteAccepted_AC_SiAccept_BL])-ROW(Table_SiteMilestoneTracking[[#Headers],[Delta_SiteAccepted_AC_SiAccept_BL]])),
COUNTIF($D123:D$123,D123)))</f>
        <v>Center</v>
      </c>
    </row>
    <row r="124" spans="2:9" x14ac:dyDescent="0.3">
      <c r="B124" s="115" t="s">
        <v>237</v>
      </c>
      <c r="C124" s="115" t="s">
        <v>605</v>
      </c>
      <c r="D124" s="60" cm="1">
        <f t="array" ref="D124">AVERAGE(IF((Table_SiteMilestoneTracking[SiteAccepted_AC]&lt;&gt;"")*(Table_SiteMilestoneTracking[SiteAccepted_BL]&lt;&gt;""),Table_SiteMilestoneTracking[SiteAccepted_AC]-Table_SiteMilestoneTracking[SiteAccepted_BL]))</f>
        <v>5.9</v>
      </c>
      <c r="E124" s="115" t="s">
        <v>230</v>
      </c>
      <c r="F124" s="115" t="s">
        <v>307</v>
      </c>
      <c r="G124" s="34" t="s">
        <v>460</v>
      </c>
    </row>
    <row r="125" spans="2:9" x14ac:dyDescent="0.3">
      <c r="B125" s="115" t="s">
        <v>238</v>
      </c>
      <c r="C125" s="115" t="s">
        <v>606</v>
      </c>
      <c r="D125" s="60" cm="1">
        <f t="array" ref="D125">MIN(IF((Table_SiteMilestoneTracking[SiteInOperations_AC]&lt;&gt;"")*(Table_SiteMilestoneTracking[SiteInOperations_BL]&lt;&gt;""),Table_SiteMilestoneTracking[SiteInOperations_AC]-Table_SiteMilestoneTracking[SiteInOperations_BL]))</f>
        <v>0</v>
      </c>
      <c r="E125" s="115" t="s">
        <v>231</v>
      </c>
      <c r="F125" s="115" t="s">
        <v>314</v>
      </c>
      <c r="G125" s="34" t="s">
        <v>461</v>
      </c>
    </row>
    <row r="126" spans="2:9" x14ac:dyDescent="0.3">
      <c r="B126" s="115" t="s">
        <v>238</v>
      </c>
      <c r="C126" s="115" t="s">
        <v>606</v>
      </c>
      <c r="D126" s="60" cm="1">
        <f t="array" ref="D126">MAX(Table_SiteMilestoneTracking[SiteInOperations_AC]-Table_SiteMilestoneTracking[SiteInOperations_BL])</f>
        <v>18</v>
      </c>
      <c r="E126" s="115" t="s">
        <v>229</v>
      </c>
      <c r="F126" s="115" t="s">
        <v>315</v>
      </c>
      <c r="G126" s="34" t="s">
        <v>461</v>
      </c>
      <c r="H126" s="102" t="str" cm="1">
        <f t="array" ref="H126">INDEX(Table_SiteMilestoneTracking[SiteID],SMALL(IF(Table_SiteMilestoneTracking[Delta_SiteInOperations_AC_SiteInOperations_BL]=D126,ROW(Table_SiteMilestoneTracking[Delta_SiteInOperations_AC_SiteInOperations_BL])-ROW(Table_SiteMilestoneTracking[[#Headers],[Delta_SiteInOperations_AC_SiteInOperations_BL]])),
COUNTIF($D126:D$126,D126)))</f>
        <v>CA00257</v>
      </c>
      <c r="I126" t="str" cm="1">
        <f t="array" ref="I126">INDEX(Table_SiteMilestoneTracking[Region],SMALL(IF(Table_SiteMilestoneTracking[Delta_SiteInOperations_AC_SiteInOperations_BL]=D126,ROW(Table_SiteMilestoneTracking[Delta_SiteInOperations_AC_SiteInOperations_BL])-ROW(Table_SiteMilestoneTracking[[#Headers],[Delta_SiteInOperations_AC_SiteInOperations_BL]])),
COUNTIF($D126:D$126,D126)))</f>
        <v>Center</v>
      </c>
    </row>
    <row r="127" spans="2:9" x14ac:dyDescent="0.3">
      <c r="B127" s="115" t="s">
        <v>238</v>
      </c>
      <c r="C127" s="115" t="s">
        <v>606</v>
      </c>
      <c r="D127" s="60" cm="1">
        <f t="array" ref="D127">AVERAGE(IF((Table_SiteMilestoneTracking[SiteInOperations_AC]&lt;&gt;"")*(Table_SiteMilestoneTracking[SiteInOperations_BL]&lt;&gt;""),Table_SiteMilestoneTracking[SiteInOperations_AC]-Table_SiteMilestoneTracking[SiteInOperations_BL]))</f>
        <v>9.6</v>
      </c>
      <c r="E127" s="115" t="s">
        <v>230</v>
      </c>
      <c r="F127" s="115" t="s">
        <v>316</v>
      </c>
      <c r="G127" s="34" t="s">
        <v>461</v>
      </c>
    </row>
    <row r="128" spans="2:9" x14ac:dyDescent="0.3">
      <c r="B128" s="120"/>
      <c r="C128" s="120" t="s">
        <v>662</v>
      </c>
      <c r="D128" s="120"/>
      <c r="E128" s="120"/>
      <c r="F128" s="120"/>
      <c r="G128" s="34"/>
    </row>
    <row r="129" spans="2:7" x14ac:dyDescent="0.3">
      <c r="B129" s="115" t="s">
        <v>239</v>
      </c>
      <c r="C129" s="115" t="s">
        <v>607</v>
      </c>
      <c r="D129" s="60" cm="1">
        <f t="array" ref="D129">MIN(Table_SiteMilestoneTracking[SiteDesignReady_BL]-Table_SiteMilestoneTracking[SiteDesignStarted_BL])</f>
        <v>2</v>
      </c>
      <c r="E129" s="115" t="s">
        <v>231</v>
      </c>
      <c r="F129" s="115" t="s">
        <v>345</v>
      </c>
      <c r="G129" t="s">
        <v>446</v>
      </c>
    </row>
    <row r="130" spans="2:7" x14ac:dyDescent="0.3">
      <c r="B130" s="115" t="s">
        <v>239</v>
      </c>
      <c r="C130" s="115" t="s">
        <v>607</v>
      </c>
      <c r="D130" s="60" cm="1">
        <f t="array" ref="D130">MAX(Table_SiteMilestoneTracking[SiteDesignReady_BL]-Table_SiteMilestoneTracking[SiteDesignStarted_BL])</f>
        <v>2</v>
      </c>
      <c r="E130" s="115" t="s">
        <v>229</v>
      </c>
      <c r="F130" s="115" t="s">
        <v>346</v>
      </c>
      <c r="G130" t="s">
        <v>446</v>
      </c>
    </row>
    <row r="131" spans="2:7" x14ac:dyDescent="0.3">
      <c r="B131" s="115" t="s">
        <v>239</v>
      </c>
      <c r="C131" s="115" t="s">
        <v>607</v>
      </c>
      <c r="D131" s="60" cm="1">
        <f t="array" ref="D131">AVERAGE(Table_SiteMilestoneTracking[SiteDesignReady_BL]-Table_SiteMilestoneTracking[SiteDesignStarted_BL])</f>
        <v>2</v>
      </c>
      <c r="E131" s="115" t="s">
        <v>230</v>
      </c>
      <c r="F131" s="115" t="s">
        <v>347</v>
      </c>
      <c r="G131" t="s">
        <v>446</v>
      </c>
    </row>
    <row r="132" spans="2:7" x14ac:dyDescent="0.3">
      <c r="B132" s="115" t="s">
        <v>239</v>
      </c>
      <c r="C132" s="115" t="s">
        <v>608</v>
      </c>
      <c r="D132" s="60" cm="1">
        <f t="array" ref="D132">MIN(IF((Table_SiteMilestoneTracking[SiteDesignReady_AC]&lt;&gt;"")*(Table_SiteMilestoneTracking[SiteDesignStarted_AC]&lt;&gt;""),Table_SiteMilestoneTracking[SiteDesignReady_AC]-Table_SiteMilestoneTracking[SiteDesignStarted_AC]))</f>
        <v>-4</v>
      </c>
      <c r="E132" s="115" t="s">
        <v>231</v>
      </c>
      <c r="F132" s="115" t="s">
        <v>348</v>
      </c>
      <c r="G132" t="s">
        <v>446</v>
      </c>
    </row>
    <row r="133" spans="2:7" x14ac:dyDescent="0.3">
      <c r="B133" s="115" t="s">
        <v>239</v>
      </c>
      <c r="C133" s="115" t="s">
        <v>608</v>
      </c>
      <c r="D133" s="60" cm="1">
        <f t="array" ref="D133">MAX(Table_SiteMilestoneTracking[SiteDesignReady_AC]-Table_SiteMilestoneTracking[SiteDesignStarted_AC])</f>
        <v>6</v>
      </c>
      <c r="E133" s="115" t="s">
        <v>229</v>
      </c>
      <c r="F133" s="115" t="s">
        <v>349</v>
      </c>
      <c r="G133" t="s">
        <v>446</v>
      </c>
    </row>
    <row r="134" spans="2:7" x14ac:dyDescent="0.3">
      <c r="B134" s="115" t="s">
        <v>239</v>
      </c>
      <c r="C134" s="115" t="s">
        <v>608</v>
      </c>
      <c r="D134" s="60" cm="1">
        <f t="array" ref="D134">AVERAGE(IF((Table_SiteMilestoneTracking[SiteDesignStarted_AC]&lt;&gt;"")*(Table_SiteMilestoneTracking[SiteDesignStarted_BL]&lt;&gt;""),Table_SiteMilestoneTracking[SiteDesignStarted_AC]-Table_SiteMilestoneTracking[SiteDesignStarted_BL]))</f>
        <v>1.5416666666666667</v>
      </c>
      <c r="E134" s="115" t="s">
        <v>230</v>
      </c>
      <c r="F134" s="115" t="s">
        <v>350</v>
      </c>
      <c r="G134" t="s">
        <v>446</v>
      </c>
    </row>
    <row r="135" spans="2:7" x14ac:dyDescent="0.3">
      <c r="B135" s="115" t="s">
        <v>237</v>
      </c>
      <c r="C135" s="115" t="s">
        <v>609</v>
      </c>
      <c r="D135" s="66" cm="1">
        <f t="array" ref="D135">MIN(Table_SiteMilestoneTracking[SiteReadyForCW_BL]-Table_SiteMilestoneTracking[SiteDesignReady_BL])</f>
        <v>15</v>
      </c>
      <c r="E135" s="115" t="s">
        <v>231</v>
      </c>
      <c r="F135" s="115" t="s">
        <v>245</v>
      </c>
      <c r="G135" s="34" t="s">
        <v>447</v>
      </c>
    </row>
    <row r="136" spans="2:7" x14ac:dyDescent="0.3">
      <c r="B136" s="115" t="s">
        <v>237</v>
      </c>
      <c r="C136" s="115" t="s">
        <v>609</v>
      </c>
      <c r="D136" s="66" cm="1">
        <f t="array" ref="D136">MAX(Table_SiteMilestoneTracking[SiteReadyForCW_BL]-Table_SiteMilestoneTracking[SiteDesignReady_BL])</f>
        <v>15</v>
      </c>
      <c r="E136" s="115" t="s">
        <v>229</v>
      </c>
      <c r="F136" s="115" t="s">
        <v>246</v>
      </c>
      <c r="G136" s="34" t="s">
        <v>447</v>
      </c>
    </row>
    <row r="137" spans="2:7" x14ac:dyDescent="0.3">
      <c r="B137" s="115" t="s">
        <v>237</v>
      </c>
      <c r="C137" s="115" t="s">
        <v>609</v>
      </c>
      <c r="D137" s="66" cm="1">
        <f t="array" ref="D137">AVERAGE(Table_SiteMilestoneTracking[SiteReadyForCW_BL]-Table_SiteMilestoneTracking[SiteDesignReady_BL])</f>
        <v>15</v>
      </c>
      <c r="E137" s="115" t="s">
        <v>230</v>
      </c>
      <c r="F137" s="115" t="s">
        <v>247</v>
      </c>
      <c r="G137" s="34" t="s">
        <v>447</v>
      </c>
    </row>
    <row r="138" spans="2:7" x14ac:dyDescent="0.3">
      <c r="B138" s="115" t="s">
        <v>237</v>
      </c>
      <c r="C138" s="115" t="s">
        <v>610</v>
      </c>
      <c r="D138" s="60" cm="1">
        <f t="array" ref="D138">MIN(IF((Table_SiteMilestoneTracking[SiteDesignReady_AC]&lt;&gt;"")*(Table_SiteMilestoneTracking[SiteReadyForCW_AC]&lt;&gt;""),Table_SiteMilestoneTracking[SiteReadyForCW_AC]-Table_SiteMilestoneTracking[SiteDesignReady_AC]))</f>
        <v>14</v>
      </c>
      <c r="E138" s="115" t="s">
        <v>231</v>
      </c>
      <c r="F138" s="115" t="s">
        <v>248</v>
      </c>
      <c r="G138" s="34" t="s">
        <v>447</v>
      </c>
    </row>
    <row r="139" spans="2:7" x14ac:dyDescent="0.3">
      <c r="B139" s="115" t="s">
        <v>237</v>
      </c>
      <c r="C139" s="115" t="s">
        <v>610</v>
      </c>
      <c r="D139" s="66" cm="1">
        <f t="array" ref="D139">MAX(Table_SiteMilestoneTracking[SiteReadyForCW_AC]-Table_SiteMilestoneTracking[SiteDesignReady_AC])</f>
        <v>18</v>
      </c>
      <c r="E139" s="115" t="s">
        <v>229</v>
      </c>
      <c r="F139" s="115" t="s">
        <v>249</v>
      </c>
      <c r="G139" s="34" t="s">
        <v>447</v>
      </c>
    </row>
    <row r="140" spans="2:7" x14ac:dyDescent="0.3">
      <c r="B140" s="115" t="s">
        <v>237</v>
      </c>
      <c r="C140" s="115" t="s">
        <v>610</v>
      </c>
      <c r="D140" s="60" cm="1">
        <f t="array" ref="D140">AVERAGE(IF((Table_SiteMilestoneTracking[SiteDesignReady_AC]&lt;&gt;"")*(Table_SiteMilestoneTracking[SiteReadyForCW_AC]&lt;&gt;""),Table_SiteMilestoneTracking[SiteReadyForCW_AC]-Table_SiteMilestoneTracking[SiteDesignReady_AC]))</f>
        <v>16.337499999999999</v>
      </c>
      <c r="E140" s="115" t="s">
        <v>230</v>
      </c>
      <c r="F140" s="115" t="s">
        <v>250</v>
      </c>
      <c r="G140" s="34" t="s">
        <v>447</v>
      </c>
    </row>
    <row r="141" spans="2:7" x14ac:dyDescent="0.3">
      <c r="B141" s="115" t="s">
        <v>237</v>
      </c>
      <c r="C141" s="115" t="s">
        <v>611</v>
      </c>
      <c r="D141" s="60" cm="1">
        <f t="array" ref="D141">MIN(Table_SiteMilestoneTracking[SiteReadyForPower_BL]-Table_SiteMilestoneTracking[SiteReadyForCW_BL])</f>
        <v>8</v>
      </c>
      <c r="E141" s="115" t="s">
        <v>231</v>
      </c>
      <c r="F141" s="115" t="s">
        <v>254</v>
      </c>
      <c r="G141" s="34" t="s">
        <v>448</v>
      </c>
    </row>
    <row r="142" spans="2:7" x14ac:dyDescent="0.3">
      <c r="B142" s="115" t="s">
        <v>237</v>
      </c>
      <c r="C142" s="115" t="s">
        <v>611</v>
      </c>
      <c r="D142" s="60" cm="1">
        <f t="array" ref="D142">MAX(Table_SiteMilestoneTracking[SiteReadyForPower_BL]-Table_SiteMilestoneTracking[SiteReadyForCW_BL])</f>
        <v>8</v>
      </c>
      <c r="E142" s="115" t="s">
        <v>229</v>
      </c>
      <c r="F142" s="115" t="s">
        <v>255</v>
      </c>
      <c r="G142" s="34" t="s">
        <v>448</v>
      </c>
    </row>
    <row r="143" spans="2:7" x14ac:dyDescent="0.3">
      <c r="B143" s="115" t="s">
        <v>237</v>
      </c>
      <c r="C143" s="115" t="s">
        <v>611</v>
      </c>
      <c r="D143" s="60" cm="1">
        <f t="array" ref="D143">AVERAGE(Table_SiteMilestoneTracking[SiteReadyForPower_BL]-Table_SiteMilestoneTracking[SiteReadyForCW_BL])</f>
        <v>8</v>
      </c>
      <c r="E143" s="115" t="s">
        <v>230</v>
      </c>
      <c r="F143" s="115" t="s">
        <v>256</v>
      </c>
      <c r="G143" s="34" t="s">
        <v>448</v>
      </c>
    </row>
    <row r="144" spans="2:7" x14ac:dyDescent="0.3">
      <c r="B144" s="115" t="s">
        <v>237</v>
      </c>
      <c r="C144" s="115" t="s">
        <v>612</v>
      </c>
      <c r="D144" s="60" cm="1">
        <f t="array" ref="D144">MIN(IF((Table_SiteMilestoneTracking[SiteReadyForPower_AC]&lt;&gt;"")*(Table_SiteMilestoneTracking[SiteReadyForCW_AC]&lt;&gt;""),Table_SiteMilestoneTracking[SiteReadyForPower_AC]-Table_SiteMilestoneTracking[SiteReadyForCW_AC]))</f>
        <v>3</v>
      </c>
      <c r="E144" s="115" t="s">
        <v>231</v>
      </c>
      <c r="F144" s="115" t="s">
        <v>257</v>
      </c>
      <c r="G144" s="34" t="s">
        <v>448</v>
      </c>
    </row>
    <row r="145" spans="2:7" x14ac:dyDescent="0.3">
      <c r="B145" s="115" t="s">
        <v>237</v>
      </c>
      <c r="C145" s="115" t="s">
        <v>612</v>
      </c>
      <c r="D145" s="60" cm="1">
        <f t="array" ref="D145">MAX(Table_SiteMilestoneTracking[SiteReadyForPower_AC]-Table_SiteMilestoneTracking[SiteReadyForCW_AC])</f>
        <v>9</v>
      </c>
      <c r="E145" s="115" t="s">
        <v>229</v>
      </c>
      <c r="F145" s="115" t="s">
        <v>258</v>
      </c>
      <c r="G145" s="34" t="s">
        <v>448</v>
      </c>
    </row>
    <row r="146" spans="2:7" x14ac:dyDescent="0.3">
      <c r="B146" s="115" t="s">
        <v>237</v>
      </c>
      <c r="C146" s="115" t="s">
        <v>612</v>
      </c>
      <c r="D146" s="60" cm="1">
        <f t="array" ref="D146">AVERAGE(IF((Table_SiteMilestoneTracking[SiteReadyForPower_AC]&lt;&gt;"")*(Table_SiteMilestoneTracking[SiteReadyForCW_AC]&lt;&gt;""),Table_SiteMilestoneTracking[SiteReadyForPower_AC]-Table_SiteMilestoneTracking[SiteReadyForCW_AC]))</f>
        <v>8.3285714285714292</v>
      </c>
      <c r="E146" s="115" t="s">
        <v>230</v>
      </c>
      <c r="F146" s="115" t="s">
        <v>259</v>
      </c>
      <c r="G146" s="34" t="s">
        <v>448</v>
      </c>
    </row>
    <row r="147" spans="2:7" x14ac:dyDescent="0.3">
      <c r="B147" s="115" t="s">
        <v>237</v>
      </c>
      <c r="C147" s="115" t="s">
        <v>613</v>
      </c>
      <c r="D147" s="60" cm="1">
        <f t="array" ref="D147">MIN(Table_SiteMilestoneTracking[TXReady_BL]-Table_SiteMilestoneTracking[SiteReadyForPower_BL])</f>
        <v>5</v>
      </c>
      <c r="E147" s="115" t="s">
        <v>231</v>
      </c>
      <c r="F147" s="115" t="s">
        <v>263</v>
      </c>
      <c r="G147" s="34" t="s">
        <v>453</v>
      </c>
    </row>
    <row r="148" spans="2:7" x14ac:dyDescent="0.3">
      <c r="B148" s="115" t="s">
        <v>237</v>
      </c>
      <c r="C148" s="115" t="s">
        <v>613</v>
      </c>
      <c r="D148" s="60" cm="1">
        <f t="array" ref="D148">MAX(Table_SiteMilestoneTracking[TXReady_BL]-Table_SiteMilestoneTracking[SiteReadyForPower_BL])</f>
        <v>5</v>
      </c>
      <c r="E148" s="115" t="s">
        <v>229</v>
      </c>
      <c r="F148" s="115" t="s">
        <v>264</v>
      </c>
      <c r="G148" s="34" t="s">
        <v>453</v>
      </c>
    </row>
    <row r="149" spans="2:7" x14ac:dyDescent="0.3">
      <c r="B149" s="115" t="s">
        <v>237</v>
      </c>
      <c r="C149" s="115" t="s">
        <v>613</v>
      </c>
      <c r="D149" s="60" cm="1">
        <f t="array" ref="D149">AVERAGE(Table_SiteMilestoneTracking[TXReady_BL]-Table_SiteMilestoneTracking[SiteReadyForPower_BL])</f>
        <v>5</v>
      </c>
      <c r="E149" s="115" t="s">
        <v>230</v>
      </c>
      <c r="F149" s="115" t="s">
        <v>265</v>
      </c>
      <c r="G149" s="34" t="s">
        <v>453</v>
      </c>
    </row>
    <row r="150" spans="2:7" x14ac:dyDescent="0.3">
      <c r="B150" s="115" t="s">
        <v>237</v>
      </c>
      <c r="C150" s="115" t="s">
        <v>614</v>
      </c>
      <c r="D150" s="60" cm="1">
        <f t="array" ref="D150">MIN(IF((Table_SiteMilestoneTracking[SiteReadyForPower_AC]&lt;&gt;"")*(Table_SiteMilestoneTracking[TXReady_AC]&lt;&gt;""),Table_SiteMilestoneTracking[TXReady_AC]-Table_SiteMilestoneTracking[SiteReadyForPower_AC]))</f>
        <v>5</v>
      </c>
      <c r="E150" s="115" t="s">
        <v>231</v>
      </c>
      <c r="F150" s="115" t="s">
        <v>266</v>
      </c>
      <c r="G150" s="34" t="s">
        <v>453</v>
      </c>
    </row>
    <row r="151" spans="2:7" x14ac:dyDescent="0.3">
      <c r="B151" s="115" t="s">
        <v>237</v>
      </c>
      <c r="C151" s="115" t="s">
        <v>614</v>
      </c>
      <c r="D151" s="60" cm="1">
        <f t="array" ref="D151">MAX(Table_SiteMilestoneTracking[TXReady_AC]-Table_SiteMilestoneTracking[SiteReadyForPower_AC])</f>
        <v>21</v>
      </c>
      <c r="E151" s="115" t="s">
        <v>229</v>
      </c>
      <c r="F151" s="115" t="s">
        <v>267</v>
      </c>
      <c r="G151" s="34" t="s">
        <v>453</v>
      </c>
    </row>
    <row r="152" spans="2:7" x14ac:dyDescent="0.3">
      <c r="B152" s="115" t="s">
        <v>237</v>
      </c>
      <c r="C152" s="115" t="s">
        <v>614</v>
      </c>
      <c r="D152" s="60" cm="1">
        <f t="array" ref="D152">AVERAGE(IF((Table_SiteMilestoneTracking[SiteReadyForPower_AC]&lt;&gt;"")*(Table_SiteMilestoneTracking[TXReady_AC]&lt;&gt;""),Table_SiteMilestoneTracking[TXReady_AC]-Table_SiteMilestoneTracking[SiteReadyForPower_AC]))</f>
        <v>5.95</v>
      </c>
      <c r="E152" s="115" t="s">
        <v>230</v>
      </c>
      <c r="F152" s="115" t="s">
        <v>268</v>
      </c>
      <c r="G152" s="34" t="s">
        <v>453</v>
      </c>
    </row>
    <row r="153" spans="2:7" x14ac:dyDescent="0.3">
      <c r="B153" s="115" t="s">
        <v>237</v>
      </c>
      <c r="C153" s="115" t="s">
        <v>615</v>
      </c>
      <c r="D153" s="66" cm="1">
        <f t="array" ref="D153">MIN(Table_SiteMilestoneTracking[SiteReadyForInstallation_BL]-Table_SiteMilestoneTracking[TXReady_BL])</f>
        <v>7</v>
      </c>
      <c r="E153" s="115" t="s">
        <v>231</v>
      </c>
      <c r="F153" s="115" t="s">
        <v>272</v>
      </c>
      <c r="G153" s="34" t="s">
        <v>454</v>
      </c>
    </row>
    <row r="154" spans="2:7" x14ac:dyDescent="0.3">
      <c r="B154" s="115" t="s">
        <v>237</v>
      </c>
      <c r="C154" s="115" t="s">
        <v>615</v>
      </c>
      <c r="D154" s="66" cm="1">
        <f t="array" ref="D154">MAX(Table_SiteMilestoneTracking[SiteReadyForInstallation_BL]-Table_SiteMilestoneTracking[TXReady_BL])</f>
        <v>7</v>
      </c>
      <c r="E154" s="115" t="s">
        <v>229</v>
      </c>
      <c r="F154" s="115" t="s">
        <v>273</v>
      </c>
      <c r="G154" s="34" t="s">
        <v>454</v>
      </c>
    </row>
    <row r="155" spans="2:7" x14ac:dyDescent="0.3">
      <c r="B155" s="115" t="s">
        <v>237</v>
      </c>
      <c r="C155" s="115" t="s">
        <v>615</v>
      </c>
      <c r="D155" s="66" cm="1">
        <f t="array" ref="D155">AVERAGE(Table_SiteMilestoneTracking[SiteReadyForInstallation_BL]-Table_SiteMilestoneTracking[TXReady_BL])</f>
        <v>7</v>
      </c>
      <c r="E155" s="115" t="s">
        <v>230</v>
      </c>
      <c r="F155" s="115" t="s">
        <v>274</v>
      </c>
      <c r="G155" s="34" t="s">
        <v>454</v>
      </c>
    </row>
    <row r="156" spans="2:7" x14ac:dyDescent="0.3">
      <c r="B156" s="115" t="s">
        <v>237</v>
      </c>
      <c r="C156" s="115" t="s">
        <v>616</v>
      </c>
      <c r="D156" s="60" cm="1">
        <f t="array" ref="D156">MIN(IF((Table_SiteMilestoneTracking[SiteReadyForInstallation_AC]&lt;&gt;"")*(Table_SiteMilestoneTracking[TXReady_AC]&lt;&gt;""),Table_SiteMilestoneTracking[SiteReadyForInstallation_AC]-Table_SiteMilestoneTracking[TXReady_AC]))</f>
        <v>0</v>
      </c>
      <c r="E156" s="115" t="s">
        <v>231</v>
      </c>
      <c r="F156" s="115" t="s">
        <v>275</v>
      </c>
      <c r="G156" s="34" t="s">
        <v>454</v>
      </c>
    </row>
    <row r="157" spans="2:7" x14ac:dyDescent="0.3">
      <c r="B157" s="115" t="s">
        <v>237</v>
      </c>
      <c r="C157" s="115" t="s">
        <v>616</v>
      </c>
      <c r="D157" s="66" cm="1">
        <f t="array" ref="D157">MAX(Table_SiteMilestoneTracking[SiteReadyForInstallation_AC]-Table_SiteMilestoneTracking[TXReady_AC])</f>
        <v>8</v>
      </c>
      <c r="E157" s="115" t="s">
        <v>229</v>
      </c>
      <c r="F157" s="115" t="s">
        <v>276</v>
      </c>
      <c r="G157" s="34" t="s">
        <v>454</v>
      </c>
    </row>
    <row r="158" spans="2:7" x14ac:dyDescent="0.3">
      <c r="B158" s="115" t="s">
        <v>237</v>
      </c>
      <c r="C158" s="115" t="s">
        <v>616</v>
      </c>
      <c r="D158" s="60" cm="1">
        <f t="array" ref="D158">AVERAGE(IF((Table_SiteMilestoneTracking[SiteReadyForInstallation_AC]&lt;&gt;"")*(Table_SiteMilestoneTracking[TXReady_AC]&lt;&gt;""),Table_SiteMilestoneTracking[SiteReadyForInstallation_AC]-Table_SiteMilestoneTracking[TXReady_AC]))</f>
        <v>7.2352941176470589</v>
      </c>
      <c r="E158" s="115" t="s">
        <v>230</v>
      </c>
      <c r="F158" s="115" t="s">
        <v>277</v>
      </c>
      <c r="G158" s="34" t="s">
        <v>454</v>
      </c>
    </row>
    <row r="159" spans="2:7" x14ac:dyDescent="0.3">
      <c r="B159" s="115" t="s">
        <v>237</v>
      </c>
      <c r="C159" s="115" t="s">
        <v>617</v>
      </c>
      <c r="D159" s="60" cm="1">
        <f t="array" ref="D159">MIN(Table_SiteMilestoneTracking[SiteReadyForIntegration_BL]-Table_SiteMilestoneTracking[SiteReadyForInstallation_BL])</f>
        <v>4</v>
      </c>
      <c r="E159" s="115" t="s">
        <v>231</v>
      </c>
      <c r="F159" s="115" t="s">
        <v>281</v>
      </c>
      <c r="G159" s="34" t="s">
        <v>455</v>
      </c>
    </row>
    <row r="160" spans="2:7" x14ac:dyDescent="0.3">
      <c r="B160" s="115" t="s">
        <v>237</v>
      </c>
      <c r="C160" s="115" t="s">
        <v>617</v>
      </c>
      <c r="D160" s="60" cm="1">
        <f t="array" ref="D160">MAX(Table_SiteMilestoneTracking[SiteReadyForIntegration_BL]-Table_SiteMilestoneTracking[SiteReadyForInstallation_BL])</f>
        <v>4</v>
      </c>
      <c r="E160" s="115" t="s">
        <v>229</v>
      </c>
      <c r="F160" s="115" t="s">
        <v>282</v>
      </c>
      <c r="G160" s="34" t="s">
        <v>455</v>
      </c>
    </row>
    <row r="161" spans="2:7" x14ac:dyDescent="0.3">
      <c r="B161" s="115" t="s">
        <v>237</v>
      </c>
      <c r="C161" s="115" t="s">
        <v>617</v>
      </c>
      <c r="D161" s="60" cm="1">
        <f t="array" ref="D161">AVERAGE(Table_SiteMilestoneTracking[SiteReadyForIntegration_BL]-Table_SiteMilestoneTracking[SiteReadyForInstallation_BL])</f>
        <v>4</v>
      </c>
      <c r="E161" s="115" t="s">
        <v>230</v>
      </c>
      <c r="F161" s="115" t="s">
        <v>283</v>
      </c>
      <c r="G161" s="34" t="s">
        <v>455</v>
      </c>
    </row>
    <row r="162" spans="2:7" x14ac:dyDescent="0.3">
      <c r="B162" s="115" t="s">
        <v>237</v>
      </c>
      <c r="C162" s="115" t="s">
        <v>618</v>
      </c>
      <c r="D162" s="60" cm="1">
        <f t="array" ref="D162">MIN(IF((Table_SiteMilestoneTracking[SiteReadyForInstallation_AC]&lt;&gt;"")*(Table_SiteMilestoneTracking[SiteReadyForIntegration_AC]&lt;&gt;""),Table_SiteMilestoneTracking[SiteReadyForIntegration_AC]-Table_SiteMilestoneTracking[SiteReadyForInstallation_AC]))</f>
        <v>0</v>
      </c>
      <c r="E162" s="115" t="s">
        <v>231</v>
      </c>
      <c r="F162" s="115" t="s">
        <v>284</v>
      </c>
      <c r="G162" s="34" t="s">
        <v>455</v>
      </c>
    </row>
    <row r="163" spans="2:7" x14ac:dyDescent="0.3">
      <c r="B163" s="115" t="s">
        <v>237</v>
      </c>
      <c r="C163" s="115" t="s">
        <v>618</v>
      </c>
      <c r="D163" s="60" cm="1">
        <f t="array" ref="D163">MAX(Table_SiteMilestoneTracking[SiteReadyForIntegration_AC]-Table_SiteMilestoneTracking[SiteReadyForInstallation_AC])</f>
        <v>5</v>
      </c>
      <c r="E163" s="115" t="s">
        <v>229</v>
      </c>
      <c r="F163" s="115" t="s">
        <v>285</v>
      </c>
      <c r="G163" s="34" t="s">
        <v>455</v>
      </c>
    </row>
    <row r="164" spans="2:7" x14ac:dyDescent="0.3">
      <c r="B164" s="115" t="s">
        <v>237</v>
      </c>
      <c r="C164" s="115" t="s">
        <v>618</v>
      </c>
      <c r="D164" s="60" cm="1">
        <f t="array" ref="D164">AVERAGE(IF((Table_SiteMilestoneTracking[SiteReadyForInstallation_AC]&lt;&gt;"")*(Table_SiteMilestoneTracking[SiteReadyForIntegration_AC]&lt;&gt;""),Table_SiteMilestoneTracking[SiteReadyForIntegration_AC]-Table_SiteMilestoneTracking[SiteReadyForInstallation_AC]))</f>
        <v>4.3</v>
      </c>
      <c r="E164" s="115" t="s">
        <v>230</v>
      </c>
      <c r="F164" s="115" t="s">
        <v>286</v>
      </c>
      <c r="G164" s="34" t="s">
        <v>455</v>
      </c>
    </row>
    <row r="165" spans="2:7" x14ac:dyDescent="0.3">
      <c r="B165" s="115" t="s">
        <v>237</v>
      </c>
      <c r="C165" s="115" t="s">
        <v>619</v>
      </c>
      <c r="D165" s="60" cm="1">
        <f t="array" ref="D165">MIN(Table_SiteMilestoneTracking[SiteOnAir_BL]-Table_SiteMilestoneTracking[SiteReadyForIntegration_BL])</f>
        <v>4</v>
      </c>
      <c r="E165" s="115" t="s">
        <v>231</v>
      </c>
      <c r="F165" s="115" t="s">
        <v>290</v>
      </c>
      <c r="G165" s="34" t="s">
        <v>458</v>
      </c>
    </row>
    <row r="166" spans="2:7" x14ac:dyDescent="0.3">
      <c r="B166" s="115" t="s">
        <v>237</v>
      </c>
      <c r="C166" s="115" t="s">
        <v>619</v>
      </c>
      <c r="D166" s="60" cm="1">
        <f t="array" ref="D166">MAX(Table_SiteMilestoneTracking[SiteOnAir_BL]-Table_SiteMilestoneTracking[SiteReadyForIntegration_BL])</f>
        <v>4</v>
      </c>
      <c r="E166" s="115" t="s">
        <v>229</v>
      </c>
      <c r="F166" s="115" t="s">
        <v>291</v>
      </c>
      <c r="G166" s="34" t="s">
        <v>458</v>
      </c>
    </row>
    <row r="167" spans="2:7" x14ac:dyDescent="0.3">
      <c r="B167" s="115" t="s">
        <v>237</v>
      </c>
      <c r="C167" s="115" t="s">
        <v>619</v>
      </c>
      <c r="D167" s="60" cm="1">
        <f t="array" ref="D167">AVERAGE(Table_SiteMilestoneTracking[SiteOnAir_BL]-Table_SiteMilestoneTracking[SiteReadyForIntegration_BL])</f>
        <v>4</v>
      </c>
      <c r="E167" s="115" t="s">
        <v>230</v>
      </c>
      <c r="F167" s="115" t="s">
        <v>292</v>
      </c>
      <c r="G167" s="34" t="s">
        <v>458</v>
      </c>
    </row>
    <row r="168" spans="2:7" x14ac:dyDescent="0.3">
      <c r="B168" s="115" t="s">
        <v>237</v>
      </c>
      <c r="C168" s="115" t="s">
        <v>620</v>
      </c>
      <c r="D168" s="60" cm="1">
        <f t="array" ref="D168">MIN(IF((Table_SiteMilestoneTracking[SiteReadyForIntegration_AC]&lt;&gt;"")*(Table_SiteMilestoneTracking[SiteOnAir_AC]&lt;&gt;""),Table_SiteMilestoneTracking[SiteOnAir_AC]-Table_SiteMilestoneTracking[SiteReadyForIntegration_AC]))</f>
        <v>0</v>
      </c>
      <c r="E168" s="115" t="s">
        <v>231</v>
      </c>
      <c r="F168" s="115" t="s">
        <v>293</v>
      </c>
      <c r="G168" s="34" t="s">
        <v>458</v>
      </c>
    </row>
    <row r="169" spans="2:7" x14ac:dyDescent="0.3">
      <c r="B169" s="115" t="s">
        <v>237</v>
      </c>
      <c r="C169" s="115" t="s">
        <v>620</v>
      </c>
      <c r="D169" s="60" cm="1">
        <f t="array" ref="D169">MAX(Table_SiteMilestoneTracking[SiteOnAir_AC]-Table_SiteMilestoneTracking[SiteReadyForIntegration_AC])</f>
        <v>5</v>
      </c>
      <c r="E169" s="115" t="s">
        <v>229</v>
      </c>
      <c r="F169" s="115" t="s">
        <v>294</v>
      </c>
      <c r="G169" s="34" t="s">
        <v>458</v>
      </c>
    </row>
    <row r="170" spans="2:7" x14ac:dyDescent="0.3">
      <c r="B170" s="115" t="s">
        <v>237</v>
      </c>
      <c r="C170" s="115" t="s">
        <v>620</v>
      </c>
      <c r="D170" s="60" cm="1">
        <f t="array" ref="D170">AVERAGE(IF((Table_SiteMilestoneTracking[SiteReadyForIntegration_AC]&lt;&gt;"")*(Table_SiteMilestoneTracking[SiteOnAir_AC]&lt;&gt;""),Table_SiteMilestoneTracking[SiteOnAir_AC]-Table_SiteMilestoneTracking[SiteReadyForIntegration_AC]))</f>
        <v>4.0999999999999996</v>
      </c>
      <c r="E170" s="115" t="s">
        <v>230</v>
      </c>
      <c r="F170" s="115" t="s">
        <v>295</v>
      </c>
      <c r="G170" s="34" t="s">
        <v>458</v>
      </c>
    </row>
    <row r="171" spans="2:7" x14ac:dyDescent="0.3">
      <c r="B171" s="115" t="s">
        <v>237</v>
      </c>
      <c r="C171" s="115" t="s">
        <v>621</v>
      </c>
      <c r="D171" s="60" cm="1">
        <f t="array" ref="D171">MIN(Table_SiteMilestoneTracking[SiteAccepted_BL]-Table_SiteMilestoneTracking[SiteOnAir_BL])</f>
        <v>4</v>
      </c>
      <c r="E171" s="115" t="s">
        <v>231</v>
      </c>
      <c r="F171" s="115" t="s">
        <v>299</v>
      </c>
      <c r="G171" s="34" t="s">
        <v>459</v>
      </c>
    </row>
    <row r="172" spans="2:7" x14ac:dyDescent="0.3">
      <c r="B172" s="115" t="s">
        <v>237</v>
      </c>
      <c r="C172" s="115" t="s">
        <v>621</v>
      </c>
      <c r="D172" s="60" cm="1">
        <f t="array" ref="D172">MAX(Table_SiteMilestoneTracking[SiteAccepted_BL]-Table_SiteMilestoneTracking[SiteOnAir_BL])</f>
        <v>4</v>
      </c>
      <c r="E172" s="115" t="s">
        <v>229</v>
      </c>
      <c r="F172" s="115" t="s">
        <v>300</v>
      </c>
      <c r="G172" s="34" t="s">
        <v>459</v>
      </c>
    </row>
    <row r="173" spans="2:7" x14ac:dyDescent="0.3">
      <c r="B173" s="115" t="s">
        <v>237</v>
      </c>
      <c r="C173" s="115" t="s">
        <v>621</v>
      </c>
      <c r="D173" s="60" cm="1">
        <f t="array" ref="D173">AVERAGE(Table_SiteMilestoneTracking[SiteAccepted_BL]-Table_SiteMilestoneTracking[SiteOnAir_BL])</f>
        <v>4</v>
      </c>
      <c r="E173" s="115" t="s">
        <v>230</v>
      </c>
      <c r="F173" s="115" t="s">
        <v>301</v>
      </c>
      <c r="G173" s="34" t="s">
        <v>459</v>
      </c>
    </row>
    <row r="174" spans="2:7" x14ac:dyDescent="0.3">
      <c r="B174" s="115" t="s">
        <v>237</v>
      </c>
      <c r="C174" s="115" t="s">
        <v>622</v>
      </c>
      <c r="D174" s="60" cm="1">
        <f t="array" ref="D174">MIN(IF((Table_SiteMilestoneTracking[SiteAccepted_AC]&lt;&gt;"")*(Table_SiteMilestoneTracking[SiteOnAir_AC]&lt;&gt;""),Table_SiteMilestoneTracking[SiteAccepted_AC]-Table_SiteMilestoneTracking[SiteOnAir_AC]))</f>
        <v>1</v>
      </c>
      <c r="E174" s="115" t="s">
        <v>231</v>
      </c>
      <c r="F174" s="115" t="s">
        <v>302</v>
      </c>
      <c r="G174" s="34" t="s">
        <v>459</v>
      </c>
    </row>
    <row r="175" spans="2:7" x14ac:dyDescent="0.3">
      <c r="B175" s="115" t="s">
        <v>237</v>
      </c>
      <c r="C175" s="115" t="s">
        <v>622</v>
      </c>
      <c r="D175" s="60" cm="1">
        <f t="array" ref="D175">MAX(Table_SiteMilestoneTracking[SiteAccepted_AC]-Table_SiteMilestoneTracking[SiteOnAir_AC])</f>
        <v>12</v>
      </c>
      <c r="E175" s="115" t="s">
        <v>229</v>
      </c>
      <c r="F175" s="115" t="s">
        <v>303</v>
      </c>
      <c r="G175" s="34" t="s">
        <v>459</v>
      </c>
    </row>
    <row r="176" spans="2:7" x14ac:dyDescent="0.3">
      <c r="B176" s="115" t="s">
        <v>237</v>
      </c>
      <c r="C176" s="115" t="s">
        <v>622</v>
      </c>
      <c r="D176" s="60" cm="1">
        <f t="array" ref="D176">AVERAGE(IF((Table_SiteMilestoneTracking[SiteAccepted_AC]&lt;&gt;"")*(Table_SiteMilestoneTracking[SiteOnAir_AC]&lt;&gt;""),Table_SiteMilestoneTracking[SiteAccepted_AC]-Table_SiteMilestoneTracking[SiteOnAir_AC]))</f>
        <v>4.6500000000000004</v>
      </c>
      <c r="E176" s="115" t="s">
        <v>230</v>
      </c>
      <c r="F176" s="115" t="s">
        <v>304</v>
      </c>
      <c r="G176" s="34" t="s">
        <v>459</v>
      </c>
    </row>
    <row r="177" spans="2:7" x14ac:dyDescent="0.3">
      <c r="B177" s="115" t="s">
        <v>238</v>
      </c>
      <c r="C177" s="115" t="s">
        <v>623</v>
      </c>
      <c r="D177" s="60" cm="1">
        <f t="array" ref="D177">MIN(Table_SiteMilestoneTracking[SiteInOperations_BL]-Table_SiteMilestoneTracking[SiteAccepted_BL])</f>
        <v>8</v>
      </c>
      <c r="E177" s="115" t="s">
        <v>231</v>
      </c>
      <c r="F177" s="115" t="s">
        <v>308</v>
      </c>
      <c r="G177" s="34" t="s">
        <v>460</v>
      </c>
    </row>
    <row r="178" spans="2:7" x14ac:dyDescent="0.3">
      <c r="B178" s="115" t="s">
        <v>238</v>
      </c>
      <c r="C178" s="115" t="s">
        <v>623</v>
      </c>
      <c r="D178" s="60" cm="1">
        <f t="array" ref="D178">MAX(Table_SiteMilestoneTracking[SiteInOperations_BL]-Table_SiteMilestoneTracking[SiteAccepted_BL])</f>
        <v>8</v>
      </c>
      <c r="E178" s="115" t="s">
        <v>229</v>
      </c>
      <c r="F178" s="115" t="s">
        <v>309</v>
      </c>
      <c r="G178" s="34" t="s">
        <v>460</v>
      </c>
    </row>
    <row r="179" spans="2:7" x14ac:dyDescent="0.3">
      <c r="B179" s="115" t="s">
        <v>238</v>
      </c>
      <c r="C179" s="115" t="s">
        <v>623</v>
      </c>
      <c r="D179" s="60" cm="1">
        <f t="array" ref="D179">AVERAGE(Table_SiteMilestoneTracking[SiteInOperations_BL]-Table_SiteMilestoneTracking[SiteAccepted_BL])</f>
        <v>8</v>
      </c>
      <c r="E179" s="115" t="s">
        <v>230</v>
      </c>
      <c r="F179" s="115" t="s">
        <v>310</v>
      </c>
      <c r="G179" s="34" t="s">
        <v>460</v>
      </c>
    </row>
    <row r="180" spans="2:7" x14ac:dyDescent="0.3">
      <c r="B180" s="115" t="s">
        <v>238</v>
      </c>
      <c r="C180" s="115" t="s">
        <v>624</v>
      </c>
      <c r="D180" s="60" cm="1">
        <f t="array" ref="D180">MIN(IF((Table_SiteMilestoneTracking[SiteInOperations_AC]&lt;&gt;"")*(Table_SiteMilestoneTracking[SiteAccepted_AC]&lt;&gt;""),Table_SiteMilestoneTracking[SiteInOperations_AC]-Table_SiteMilestoneTracking[SiteAccepted_AC]))</f>
        <v>8</v>
      </c>
      <c r="E180" s="115" t="s">
        <v>231</v>
      </c>
      <c r="F180" s="115" t="s">
        <v>311</v>
      </c>
      <c r="G180" s="34" t="s">
        <v>460</v>
      </c>
    </row>
    <row r="181" spans="2:7" x14ac:dyDescent="0.3">
      <c r="B181" s="115" t="s">
        <v>238</v>
      </c>
      <c r="C181" s="115" t="s">
        <v>624</v>
      </c>
      <c r="D181" s="60" cm="1">
        <f t="array" ref="D181">MAX(Table_SiteMilestoneTracking[SiteInOperations_AC]-Table_SiteMilestoneTracking[SiteAccepted_AC])</f>
        <v>18</v>
      </c>
      <c r="E181" s="115" t="s">
        <v>229</v>
      </c>
      <c r="F181" s="115" t="s">
        <v>312</v>
      </c>
      <c r="G181" s="34" t="s">
        <v>460</v>
      </c>
    </row>
    <row r="182" spans="2:7" x14ac:dyDescent="0.3">
      <c r="B182" s="115" t="s">
        <v>238</v>
      </c>
      <c r="C182" s="115" t="s">
        <v>624</v>
      </c>
      <c r="D182" s="60" cm="1">
        <f t="array" ref="D182">AVERAGE(IF((Table_SiteMilestoneTracking[SiteInOperations_AC]&lt;&gt;"")*(Table_SiteMilestoneTracking[SiteAccepted_AC]&lt;&gt;""),Table_SiteMilestoneTracking[SiteInOperations_AC]-Table_SiteMilestoneTracking[SiteAccepted_AC]))</f>
        <v>11.7</v>
      </c>
      <c r="E182" s="115" t="s">
        <v>230</v>
      </c>
      <c r="F182" s="115" t="s">
        <v>313</v>
      </c>
      <c r="G182" s="34" t="s">
        <v>460</v>
      </c>
    </row>
    <row r="183" spans="2:7" x14ac:dyDescent="0.3">
      <c r="B183" s="115" t="s">
        <v>238</v>
      </c>
      <c r="C183" s="115" t="s">
        <v>625</v>
      </c>
      <c r="D183" s="65">
        <f>MIN(Table_SiteMilestoneTracking[E2E_Site_BL])</f>
        <v>55</v>
      </c>
      <c r="E183" s="115" t="s">
        <v>231</v>
      </c>
      <c r="F183" s="115" t="s">
        <v>317</v>
      </c>
      <c r="G183" s="34" t="s">
        <v>461</v>
      </c>
    </row>
    <row r="184" spans="2:7" x14ac:dyDescent="0.3">
      <c r="B184" s="115" t="s">
        <v>238</v>
      </c>
      <c r="C184" s="115" t="s">
        <v>625</v>
      </c>
      <c r="D184" s="65">
        <f>MAX(Table_SiteMilestoneTracking[E2E_Site_BL])</f>
        <v>55</v>
      </c>
      <c r="E184" s="115" t="s">
        <v>229</v>
      </c>
      <c r="F184" s="115" t="s">
        <v>318</v>
      </c>
      <c r="G184" s="34" t="s">
        <v>461</v>
      </c>
    </row>
    <row r="185" spans="2:7" x14ac:dyDescent="0.3">
      <c r="B185" s="115" t="s">
        <v>238</v>
      </c>
      <c r="C185" s="115" t="s">
        <v>625</v>
      </c>
      <c r="D185" s="65">
        <f>AVERAGE(Table_SiteMilestoneTracking[E2E_Site_BL])</f>
        <v>55</v>
      </c>
      <c r="E185" s="115" t="s">
        <v>230</v>
      </c>
      <c r="F185" s="115" t="s">
        <v>319</v>
      </c>
      <c r="G185" s="34" t="s">
        <v>461</v>
      </c>
    </row>
    <row r="186" spans="2:7" x14ac:dyDescent="0.3">
      <c r="B186" s="115" t="s">
        <v>238</v>
      </c>
      <c r="C186" s="115" t="s">
        <v>626</v>
      </c>
      <c r="D186" s="65">
        <f>MIN(Table_SiteMilestoneTracking[E2E_Site_AC])</f>
        <v>55</v>
      </c>
      <c r="E186" s="115" t="s">
        <v>231</v>
      </c>
      <c r="F186" s="115" t="s">
        <v>320</v>
      </c>
      <c r="G186" s="34" t="s">
        <v>461</v>
      </c>
    </row>
    <row r="187" spans="2:7" x14ac:dyDescent="0.3">
      <c r="B187" s="115" t="s">
        <v>238</v>
      </c>
      <c r="C187" s="115" t="s">
        <v>626</v>
      </c>
      <c r="D187" s="65">
        <f>MAX(Table_SiteMilestoneTracking[E2E_Site_AC])</f>
        <v>71</v>
      </c>
      <c r="E187" s="115" t="s">
        <v>229</v>
      </c>
      <c r="F187" s="115" t="s">
        <v>321</v>
      </c>
      <c r="G187" s="34" t="s">
        <v>461</v>
      </c>
    </row>
    <row r="188" spans="2:7" x14ac:dyDescent="0.3">
      <c r="B188" s="115" t="s">
        <v>238</v>
      </c>
      <c r="C188" s="115" t="s">
        <v>626</v>
      </c>
      <c r="D188" s="65">
        <f>AVERAGE(Table_SiteMilestoneTracking[E2E_Site_AC])</f>
        <v>61.9</v>
      </c>
      <c r="E188" s="115" t="s">
        <v>230</v>
      </c>
      <c r="F188" s="115" t="s">
        <v>322</v>
      </c>
      <c r="G188" s="34" t="s">
        <v>461</v>
      </c>
    </row>
    <row r="189" spans="2:7" x14ac:dyDescent="0.3">
      <c r="B189" s="115" t="s">
        <v>238</v>
      </c>
      <c r="C189" s="115" t="s">
        <v>627</v>
      </c>
      <c r="D189" s="60" cm="1">
        <f t="array" ref="D189">MIN(IF((Table_SiteMilestoneTracking[E2E_Site_AC]&lt;&gt;"")*(Table_SiteMilestoneTracking[E2E_Site_BL]&lt;&gt;""),Table_SiteMilestoneTracking[E2E_Site_AC]-Table_SiteMilestoneTracking[E2E_Site_BL]))</f>
        <v>0</v>
      </c>
      <c r="E189" s="115" t="s">
        <v>231</v>
      </c>
      <c r="F189" s="115" t="s">
        <v>323</v>
      </c>
    </row>
    <row r="190" spans="2:7" x14ac:dyDescent="0.3">
      <c r="B190" s="115" t="s">
        <v>238</v>
      </c>
      <c r="C190" s="115" t="s">
        <v>627</v>
      </c>
      <c r="D190" s="60" cm="1">
        <f t="array" ref="D190">MAX(IF((Table_SiteMilestoneTracking[E2E_Site_AC]&lt;&gt;"")*(Table_SiteMilestoneTracking[E2E_Site_BL]&lt;&gt;""),Table_SiteMilestoneTracking[E2E_Site_AC]-Table_SiteMilestoneTracking[E2E_Site_BL]))</f>
        <v>16</v>
      </c>
      <c r="E190" s="115" t="s">
        <v>229</v>
      </c>
      <c r="F190" s="115" t="s">
        <v>324</v>
      </c>
    </row>
    <row r="191" spans="2:7" x14ac:dyDescent="0.3">
      <c r="B191" s="115" t="s">
        <v>238</v>
      </c>
      <c r="C191" s="115" t="s">
        <v>627</v>
      </c>
      <c r="D191" s="60" cm="1">
        <f t="array" ref="D191">AVERAGE(IF((Table_SiteMilestoneTracking[E2E_Site_AC]&lt;&gt;"")*(Table_SiteMilestoneTracking[E2E_Site_BL]&lt;&gt;""),Table_SiteMilestoneTracking[E2E_Site_AC]-Table_SiteMilestoneTracking[E2E_Site_BL]))</f>
        <v>6.9</v>
      </c>
      <c r="E191" s="115" t="s">
        <v>230</v>
      </c>
      <c r="F191" s="115" t="s">
        <v>325</v>
      </c>
    </row>
    <row r="192" spans="2:7" s="136" customFormat="1" x14ac:dyDescent="0.3"/>
    <row r="193" s="136" customFormat="1" x14ac:dyDescent="0.3"/>
    <row r="194" s="136" customFormat="1" x14ac:dyDescent="0.3"/>
    <row r="195" s="136" customFormat="1" x14ac:dyDescent="0.3"/>
    <row r="196" s="136" customFormat="1" x14ac:dyDescent="0.3"/>
    <row r="197" s="136" customFormat="1" x14ac:dyDescent="0.3"/>
    <row r="198" s="136" customFormat="1" x14ac:dyDescent="0.3"/>
    <row r="199" s="136" customFormat="1" x14ac:dyDescent="0.3"/>
    <row r="200" s="136" customFormat="1" x14ac:dyDescent="0.3"/>
    <row r="201" s="136" customFormat="1" x14ac:dyDescent="0.3"/>
    <row r="202" s="136" customFormat="1" x14ac:dyDescent="0.3"/>
    <row r="203" s="136" customFormat="1" x14ac:dyDescent="0.3"/>
    <row r="204" s="136" customFormat="1" x14ac:dyDescent="0.3"/>
    <row r="205" s="136" customFormat="1" x14ac:dyDescent="0.3"/>
    <row r="206" s="136" customFormat="1" x14ac:dyDescent="0.3"/>
    <row r="207" s="136" customFormat="1" x14ac:dyDescent="0.3"/>
    <row r="208" s="136" customFormat="1" x14ac:dyDescent="0.3"/>
    <row r="209" s="136" customFormat="1" x14ac:dyDescent="0.3"/>
    <row r="210" s="136" customFormat="1" x14ac:dyDescent="0.3"/>
    <row r="211" s="136" customFormat="1" x14ac:dyDescent="0.3"/>
    <row r="212" s="136" customFormat="1" x14ac:dyDescent="0.3"/>
    <row r="213" s="136" customFormat="1" x14ac:dyDescent="0.3"/>
    <row r="214" s="136" customFormat="1" x14ac:dyDescent="0.3"/>
    <row r="215" s="136" customFormat="1" x14ac:dyDescent="0.3"/>
    <row r="216" s="136" customFormat="1" x14ac:dyDescent="0.3"/>
    <row r="217" s="136" customFormat="1" x14ac:dyDescent="0.3"/>
    <row r="218" s="136" customFormat="1" x14ac:dyDescent="0.3"/>
    <row r="219" s="136" customFormat="1" x14ac:dyDescent="0.3"/>
    <row r="220" s="136" customFormat="1" x14ac:dyDescent="0.3"/>
    <row r="221" s="136" customFormat="1" x14ac:dyDescent="0.3"/>
    <row r="222" s="136" customFormat="1" x14ac:dyDescent="0.3"/>
    <row r="223" s="136" customFormat="1" x14ac:dyDescent="0.3"/>
    <row r="224" s="136" customFormat="1" x14ac:dyDescent="0.3"/>
    <row r="225" s="136" customFormat="1" x14ac:dyDescent="0.3"/>
    <row r="226" s="136" customFormat="1" x14ac:dyDescent="0.3"/>
    <row r="227" s="136" customFormat="1" x14ac:dyDescent="0.3"/>
    <row r="228" s="136" customFormat="1" x14ac:dyDescent="0.3"/>
    <row r="229" s="136" customFormat="1" x14ac:dyDescent="0.3"/>
    <row r="230" s="136" customFormat="1" x14ac:dyDescent="0.3"/>
    <row r="231" s="136" customFormat="1" x14ac:dyDescent="0.3"/>
    <row r="232" s="136" customFormat="1" x14ac:dyDescent="0.3"/>
    <row r="233" s="136" customFormat="1" x14ac:dyDescent="0.3"/>
    <row r="234" s="136" customFormat="1" x14ac:dyDescent="0.3"/>
    <row r="235" s="136" customFormat="1" x14ac:dyDescent="0.3"/>
    <row r="236" s="136" customFormat="1" x14ac:dyDescent="0.3"/>
    <row r="237" s="136" customFormat="1" x14ac:dyDescent="0.3"/>
    <row r="238" s="136" customFormat="1" x14ac:dyDescent="0.3"/>
    <row r="239" s="136" customFormat="1" x14ac:dyDescent="0.3"/>
    <row r="240" s="136" customFormat="1" x14ac:dyDescent="0.3"/>
    <row r="241" s="136" customFormat="1" x14ac:dyDescent="0.3"/>
    <row r="242" s="136" customFormat="1" x14ac:dyDescent="0.3"/>
    <row r="243" s="136" customFormat="1" x14ac:dyDescent="0.3"/>
    <row r="244" s="136" customFormat="1" x14ac:dyDescent="0.3"/>
    <row r="245" s="136" customFormat="1" x14ac:dyDescent="0.3"/>
    <row r="246" s="136" customFormat="1" x14ac:dyDescent="0.3"/>
    <row r="247" s="136" customFormat="1" x14ac:dyDescent="0.3"/>
    <row r="248" s="136" customFormat="1" x14ac:dyDescent="0.3"/>
    <row r="249" s="136" customFormat="1" x14ac:dyDescent="0.3"/>
    <row r="250" s="136" customFormat="1" x14ac:dyDescent="0.3"/>
    <row r="251" s="136" customFormat="1" x14ac:dyDescent="0.3"/>
    <row r="252" s="136" customFormat="1" x14ac:dyDescent="0.3"/>
    <row r="253" s="136" customFormat="1" x14ac:dyDescent="0.3"/>
    <row r="254" s="136" customFormat="1" x14ac:dyDescent="0.3"/>
    <row r="255" s="136" customFormat="1" x14ac:dyDescent="0.3"/>
    <row r="256" s="136" customFormat="1" x14ac:dyDescent="0.3"/>
    <row r="257" s="136" customFormat="1" x14ac:dyDescent="0.3"/>
    <row r="258" s="136" customFormat="1" x14ac:dyDescent="0.3"/>
    <row r="259" s="136" customFormat="1" x14ac:dyDescent="0.3"/>
    <row r="260" s="136" customFormat="1" x14ac:dyDescent="0.3"/>
    <row r="261" s="136" customFormat="1" x14ac:dyDescent="0.3"/>
    <row r="262" s="136" customFormat="1" x14ac:dyDescent="0.3"/>
    <row r="263" s="136" customFormat="1" x14ac:dyDescent="0.3"/>
    <row r="264" s="136" customFormat="1" x14ac:dyDescent="0.3"/>
    <row r="265" s="136" customFormat="1" x14ac:dyDescent="0.3"/>
    <row r="266" s="136" customFormat="1" x14ac:dyDescent="0.3"/>
    <row r="267" s="136" customFormat="1" x14ac:dyDescent="0.3"/>
    <row r="268" s="136" customFormat="1" x14ac:dyDescent="0.3"/>
    <row r="269" s="136" customFormat="1" x14ac:dyDescent="0.3"/>
    <row r="270" s="136" customFormat="1" x14ac:dyDescent="0.3"/>
    <row r="271" s="136" customFormat="1" x14ac:dyDescent="0.3"/>
    <row r="272" s="136" customFormat="1" x14ac:dyDescent="0.3"/>
    <row r="273" s="136" customFormat="1" x14ac:dyDescent="0.3"/>
    <row r="274" s="136" customFormat="1" x14ac:dyDescent="0.3"/>
    <row r="275" s="136" customFormat="1" x14ac:dyDescent="0.3"/>
    <row r="276" s="136" customFormat="1" x14ac:dyDescent="0.3"/>
    <row r="277" s="136" customFormat="1" x14ac:dyDescent="0.3"/>
    <row r="278" s="136" customFormat="1" x14ac:dyDescent="0.3"/>
    <row r="279" s="136" customFormat="1" x14ac:dyDescent="0.3"/>
    <row r="280" s="136" customFormat="1" x14ac:dyDescent="0.3"/>
    <row r="281" s="136" customFormat="1" x14ac:dyDescent="0.3"/>
    <row r="282" s="136" customFormat="1" x14ac:dyDescent="0.3"/>
    <row r="283" s="136" customFormat="1" x14ac:dyDescent="0.3"/>
    <row r="284" s="136" customFormat="1" x14ac:dyDescent="0.3"/>
    <row r="285" s="136" customFormat="1" x14ac:dyDescent="0.3"/>
    <row r="286" s="136" customFormat="1" x14ac:dyDescent="0.3"/>
    <row r="287" s="136" customFormat="1" x14ac:dyDescent="0.3"/>
    <row r="288" s="136" customFormat="1" x14ac:dyDescent="0.3"/>
    <row r="289" s="136" customFormat="1" x14ac:dyDescent="0.3"/>
    <row r="290" s="136" customFormat="1" x14ac:dyDescent="0.3"/>
    <row r="291" s="136" customFormat="1" x14ac:dyDescent="0.3"/>
    <row r="292" s="136" customFormat="1" x14ac:dyDescent="0.3"/>
    <row r="293" s="136" customFormat="1" x14ac:dyDescent="0.3"/>
    <row r="294" s="136" customFormat="1" x14ac:dyDescent="0.3"/>
    <row r="295" s="136" customFormat="1" x14ac:dyDescent="0.3"/>
    <row r="296" s="136" customFormat="1" x14ac:dyDescent="0.3"/>
    <row r="297" s="136" customFormat="1" x14ac:dyDescent="0.3"/>
    <row r="298" s="136" customFormat="1" x14ac:dyDescent="0.3"/>
    <row r="299" s="136" customFormat="1" x14ac:dyDescent="0.3"/>
    <row r="300" s="136" customFormat="1" x14ac:dyDescent="0.3"/>
    <row r="301" s="136" customFormat="1" x14ac:dyDescent="0.3"/>
    <row r="302" s="136" customFormat="1" x14ac:dyDescent="0.3"/>
    <row r="303" s="136" customFormat="1" x14ac:dyDescent="0.3"/>
    <row r="304" s="136" customFormat="1" x14ac:dyDescent="0.3"/>
    <row r="305" s="136" customFormat="1" x14ac:dyDescent="0.3"/>
    <row r="306" s="136" customFormat="1" x14ac:dyDescent="0.3"/>
    <row r="307" s="136" customFormat="1" x14ac:dyDescent="0.3"/>
    <row r="308" s="136" customFormat="1" x14ac:dyDescent="0.3"/>
    <row r="309" s="136" customFormat="1" x14ac:dyDescent="0.3"/>
    <row r="310" s="136" customFormat="1" x14ac:dyDescent="0.3"/>
    <row r="311" s="136" customFormat="1" x14ac:dyDescent="0.3"/>
    <row r="312" s="136" customFormat="1" x14ac:dyDescent="0.3"/>
    <row r="313" s="136" customFormat="1" x14ac:dyDescent="0.3"/>
    <row r="314" s="136" customFormat="1" x14ac:dyDescent="0.3"/>
    <row r="315" s="136" customFormat="1" x14ac:dyDescent="0.3"/>
    <row r="316" s="136" customFormat="1" x14ac:dyDescent="0.3"/>
    <row r="317" s="136" customFormat="1" x14ac:dyDescent="0.3"/>
    <row r="318" s="136" customFormat="1" x14ac:dyDescent="0.3"/>
    <row r="319" s="136" customFormat="1" x14ac:dyDescent="0.3"/>
    <row r="320" s="136" customFormat="1" x14ac:dyDescent="0.3"/>
    <row r="321" s="136" customFormat="1" x14ac:dyDescent="0.3"/>
    <row r="322" s="136" customFormat="1" x14ac:dyDescent="0.3"/>
    <row r="323" s="136" customFormat="1" x14ac:dyDescent="0.3"/>
    <row r="324" s="136" customFormat="1" x14ac:dyDescent="0.3"/>
    <row r="325" s="136" customFormat="1" x14ac:dyDescent="0.3"/>
    <row r="326" s="136" customFormat="1" x14ac:dyDescent="0.3"/>
    <row r="327" s="136" customFormat="1" x14ac:dyDescent="0.3"/>
    <row r="328" s="136" customFormat="1" x14ac:dyDescent="0.3"/>
    <row r="329" s="136" customFormat="1" x14ac:dyDescent="0.3"/>
    <row r="330" s="136" customFormat="1" x14ac:dyDescent="0.3"/>
    <row r="331" s="136" customFormat="1" x14ac:dyDescent="0.3"/>
    <row r="332" s="136" customFormat="1" x14ac:dyDescent="0.3"/>
    <row r="333" s="136" customFormat="1" x14ac:dyDescent="0.3"/>
    <row r="334" s="136" customFormat="1" x14ac:dyDescent="0.3"/>
    <row r="335" s="136" customFormat="1" x14ac:dyDescent="0.3"/>
    <row r="336" s="136" customFormat="1" x14ac:dyDescent="0.3"/>
    <row r="337" s="136" customFormat="1" x14ac:dyDescent="0.3"/>
    <row r="338" s="136" customFormat="1" x14ac:dyDescent="0.3"/>
    <row r="339" s="136" customFormat="1" x14ac:dyDescent="0.3"/>
    <row r="340" s="136" customFormat="1" x14ac:dyDescent="0.3"/>
    <row r="341" s="136" customFormat="1" x14ac:dyDescent="0.3"/>
    <row r="342" s="136" customFormat="1" x14ac:dyDescent="0.3"/>
    <row r="343" s="136" customFormat="1" x14ac:dyDescent="0.3"/>
    <row r="344" s="136" customFormat="1" x14ac:dyDescent="0.3"/>
    <row r="345" s="136" customFormat="1" x14ac:dyDescent="0.3"/>
    <row r="346" s="136" customFormat="1" x14ac:dyDescent="0.3"/>
    <row r="347" s="136" customFormat="1" x14ac:dyDescent="0.3"/>
    <row r="348" s="136" customFormat="1" x14ac:dyDescent="0.3"/>
    <row r="349" s="136" customFormat="1" x14ac:dyDescent="0.3"/>
    <row r="350" s="136" customFormat="1" x14ac:dyDescent="0.3"/>
    <row r="351" s="136" customFormat="1" x14ac:dyDescent="0.3"/>
    <row r="352" s="136" customFormat="1" x14ac:dyDescent="0.3"/>
    <row r="353" s="136" customFormat="1" x14ac:dyDescent="0.3"/>
    <row r="354" s="136" customFormat="1" x14ac:dyDescent="0.3"/>
    <row r="355" s="136" customFormat="1" x14ac:dyDescent="0.3"/>
    <row r="356" s="136" customFormat="1" x14ac:dyDescent="0.3"/>
    <row r="357" s="136" customFormat="1" x14ac:dyDescent="0.3"/>
    <row r="358" s="136" customFormat="1" x14ac:dyDescent="0.3"/>
    <row r="359" s="136" customFormat="1" x14ac:dyDescent="0.3"/>
    <row r="360" s="136" customFormat="1" x14ac:dyDescent="0.3"/>
    <row r="361" s="136" customFormat="1" x14ac:dyDescent="0.3"/>
    <row r="362" s="136" customFormat="1" x14ac:dyDescent="0.3"/>
    <row r="363" s="136" customFormat="1" x14ac:dyDescent="0.3"/>
    <row r="364" s="136" customFormat="1" x14ac:dyDescent="0.3"/>
    <row r="365" s="136" customFormat="1" x14ac:dyDescent="0.3"/>
    <row r="366" s="136" customFormat="1" x14ac:dyDescent="0.3"/>
    <row r="367" s="136" customFormat="1" x14ac:dyDescent="0.3"/>
    <row r="368" s="136" customFormat="1" x14ac:dyDescent="0.3"/>
    <row r="369" s="136" customFormat="1" x14ac:dyDescent="0.3"/>
    <row r="370" s="136" customFormat="1" x14ac:dyDescent="0.3"/>
    <row r="371" s="136" customFormat="1" x14ac:dyDescent="0.3"/>
    <row r="372" s="136" customFormat="1" x14ac:dyDescent="0.3"/>
    <row r="373" s="136" customFormat="1" x14ac:dyDescent="0.3"/>
    <row r="374" s="136" customFormat="1" x14ac:dyDescent="0.3"/>
    <row r="375" s="136" customFormat="1" x14ac:dyDescent="0.3"/>
    <row r="376" s="136" customFormat="1" x14ac:dyDescent="0.3"/>
    <row r="377" s="136" customFormat="1" x14ac:dyDescent="0.3"/>
    <row r="378" s="136" customFormat="1" x14ac:dyDescent="0.3"/>
    <row r="379" s="136" customFormat="1" x14ac:dyDescent="0.3"/>
    <row r="380" s="136" customFormat="1" x14ac:dyDescent="0.3"/>
    <row r="381" s="136" customFormat="1" x14ac:dyDescent="0.3"/>
    <row r="382" s="136" customFormat="1" x14ac:dyDescent="0.3"/>
    <row r="383" s="136" customFormat="1" x14ac:dyDescent="0.3"/>
    <row r="384" s="136" customFormat="1" x14ac:dyDescent="0.3"/>
    <row r="385" s="136" customFormat="1" x14ac:dyDescent="0.3"/>
    <row r="386" s="136" customFormat="1" x14ac:dyDescent="0.3"/>
    <row r="387" s="136" customFormat="1" x14ac:dyDescent="0.3"/>
    <row r="388" s="136" customFormat="1" x14ac:dyDescent="0.3"/>
    <row r="389" s="136" customFormat="1" x14ac:dyDescent="0.3"/>
    <row r="390" s="136" customFormat="1" x14ac:dyDescent="0.3"/>
    <row r="391" s="136" customFormat="1" x14ac:dyDescent="0.3"/>
    <row r="392" s="136" customFormat="1" x14ac:dyDescent="0.3"/>
    <row r="393" s="136" customFormat="1" x14ac:dyDescent="0.3"/>
    <row r="394" s="136" customFormat="1" x14ac:dyDescent="0.3"/>
    <row r="395" s="136" customFormat="1" x14ac:dyDescent="0.3"/>
    <row r="396" s="136" customFormat="1" x14ac:dyDescent="0.3"/>
    <row r="397" s="136" customFormat="1" x14ac:dyDescent="0.3"/>
    <row r="398" s="136" customFormat="1" x14ac:dyDescent="0.3"/>
    <row r="399" s="136" customFormat="1" x14ac:dyDescent="0.3"/>
    <row r="400" s="136" customFormat="1" x14ac:dyDescent="0.3"/>
    <row r="401" s="136" customFormat="1" x14ac:dyDescent="0.3"/>
    <row r="402" s="136" customFormat="1" x14ac:dyDescent="0.3"/>
    <row r="403" s="136" customFormat="1" x14ac:dyDescent="0.3"/>
    <row r="404" s="136" customFormat="1" x14ac:dyDescent="0.3"/>
    <row r="405" s="136" customFormat="1" x14ac:dyDescent="0.3"/>
    <row r="406" s="136" customFormat="1" x14ac:dyDescent="0.3"/>
    <row r="407" s="136" customFormat="1" x14ac:dyDescent="0.3"/>
    <row r="408" s="136" customFormat="1" x14ac:dyDescent="0.3"/>
    <row r="409" s="136" customFormat="1" x14ac:dyDescent="0.3"/>
    <row r="410" s="136" customFormat="1" x14ac:dyDescent="0.3"/>
    <row r="411" s="136" customFormat="1" x14ac:dyDescent="0.3"/>
    <row r="412" s="136" customFormat="1" x14ac:dyDescent="0.3"/>
    <row r="413" s="136" customFormat="1" x14ac:dyDescent="0.3"/>
    <row r="414" s="136" customFormat="1" x14ac:dyDescent="0.3"/>
    <row r="415" s="136" customFormat="1" x14ac:dyDescent="0.3"/>
    <row r="416" s="136" customFormat="1" x14ac:dyDescent="0.3"/>
    <row r="417" s="136" customFormat="1" x14ac:dyDescent="0.3"/>
    <row r="418" s="136" customFormat="1" x14ac:dyDescent="0.3"/>
    <row r="419" s="136" customFormat="1" x14ac:dyDescent="0.3"/>
    <row r="420" s="136" customFormat="1" x14ac:dyDescent="0.3"/>
    <row r="421" s="136" customFormat="1" x14ac:dyDescent="0.3"/>
    <row r="422" s="136" customFormat="1" x14ac:dyDescent="0.3"/>
    <row r="423" s="136" customFormat="1" x14ac:dyDescent="0.3"/>
    <row r="424" s="136" customFormat="1" x14ac:dyDescent="0.3"/>
    <row r="425" s="136" customFormat="1" x14ac:dyDescent="0.3"/>
    <row r="426" s="136" customFormat="1" x14ac:dyDescent="0.3"/>
    <row r="427" s="136" customFormat="1" x14ac:dyDescent="0.3"/>
    <row r="428" s="136" customFormat="1" x14ac:dyDescent="0.3"/>
    <row r="429" s="136" customFormat="1" x14ac:dyDescent="0.3"/>
    <row r="430" s="136" customFormat="1" x14ac:dyDescent="0.3"/>
    <row r="431" s="136" customFormat="1" x14ac:dyDescent="0.3"/>
    <row r="432" s="136" customFormat="1" x14ac:dyDescent="0.3"/>
    <row r="433" s="136" customFormat="1" x14ac:dyDescent="0.3"/>
    <row r="434" s="136" customFormat="1" x14ac:dyDescent="0.3"/>
    <row r="435" s="136" customFormat="1" x14ac:dyDescent="0.3"/>
    <row r="436" s="136" customFormat="1" x14ac:dyDescent="0.3"/>
    <row r="437" s="136" customFormat="1" x14ac:dyDescent="0.3"/>
    <row r="438" s="136" customFormat="1" x14ac:dyDescent="0.3"/>
    <row r="439" s="136" customFormat="1" x14ac:dyDescent="0.3"/>
    <row r="440" s="136" customFormat="1" x14ac:dyDescent="0.3"/>
    <row r="441" s="136" customFormat="1" x14ac:dyDescent="0.3"/>
    <row r="442" s="136" customFormat="1" x14ac:dyDescent="0.3"/>
    <row r="443" s="136" customFormat="1" x14ac:dyDescent="0.3"/>
    <row r="444" s="136" customFormat="1" x14ac:dyDescent="0.3"/>
    <row r="445" s="136" customFormat="1" x14ac:dyDescent="0.3"/>
    <row r="446" s="136" customFormat="1" x14ac:dyDescent="0.3"/>
    <row r="447" s="136" customFormat="1" x14ac:dyDescent="0.3"/>
    <row r="448" s="136" customFormat="1" x14ac:dyDescent="0.3"/>
    <row r="449" s="136" customFormat="1" x14ac:dyDescent="0.3"/>
    <row r="450" s="136" customFormat="1" x14ac:dyDescent="0.3"/>
    <row r="451" s="136" customFormat="1" x14ac:dyDescent="0.3"/>
    <row r="452" s="136" customFormat="1" x14ac:dyDescent="0.3"/>
    <row r="453" s="136" customFormat="1" x14ac:dyDescent="0.3"/>
    <row r="454" s="136" customFormat="1" x14ac:dyDescent="0.3"/>
    <row r="455" s="136" customFormat="1" x14ac:dyDescent="0.3"/>
    <row r="456" s="136" customFormat="1" x14ac:dyDescent="0.3"/>
    <row r="457" s="136" customFormat="1" x14ac:dyDescent="0.3"/>
    <row r="458" s="136" customFormat="1" x14ac:dyDescent="0.3"/>
    <row r="459" s="136" customFormat="1" x14ac:dyDescent="0.3"/>
    <row r="460" s="136" customFormat="1" x14ac:dyDescent="0.3"/>
    <row r="461" s="136" customFormat="1" x14ac:dyDescent="0.3"/>
    <row r="462" s="136" customFormat="1" x14ac:dyDescent="0.3"/>
    <row r="463" s="136" customFormat="1" x14ac:dyDescent="0.3"/>
    <row r="464" s="136" customFormat="1" x14ac:dyDescent="0.3"/>
    <row r="465" s="136" customFormat="1" x14ac:dyDescent="0.3"/>
    <row r="466" s="136" customFormat="1" x14ac:dyDescent="0.3"/>
    <row r="467" s="136" customFormat="1" x14ac:dyDescent="0.3"/>
    <row r="468" s="136" customFormat="1" x14ac:dyDescent="0.3"/>
    <row r="469" s="136" customFormat="1" x14ac:dyDescent="0.3"/>
    <row r="470" s="136" customFormat="1" x14ac:dyDescent="0.3"/>
    <row r="471" s="136" customFormat="1" x14ac:dyDescent="0.3"/>
    <row r="472" s="136" customFormat="1" x14ac:dyDescent="0.3"/>
    <row r="473" s="136" customFormat="1" x14ac:dyDescent="0.3"/>
    <row r="474" s="136" customFormat="1" x14ac:dyDescent="0.3"/>
    <row r="475" s="136" customFormat="1" x14ac:dyDescent="0.3"/>
    <row r="476" s="136" customFormat="1" x14ac:dyDescent="0.3"/>
    <row r="477" s="136" customFormat="1" x14ac:dyDescent="0.3"/>
    <row r="478" s="136" customFormat="1" x14ac:dyDescent="0.3"/>
    <row r="479" s="136" customFormat="1" x14ac:dyDescent="0.3"/>
    <row r="480" s="136" customFormat="1" x14ac:dyDescent="0.3"/>
    <row r="481" s="136" customFormat="1" x14ac:dyDescent="0.3"/>
    <row r="482" s="136" customFormat="1" x14ac:dyDescent="0.3"/>
    <row r="483" s="136" customFormat="1" x14ac:dyDescent="0.3"/>
    <row r="484" s="136" customFormat="1" x14ac:dyDescent="0.3"/>
    <row r="485" s="136" customFormat="1" x14ac:dyDescent="0.3"/>
    <row r="486" s="136" customFormat="1" x14ac:dyDescent="0.3"/>
    <row r="487" s="136" customFormat="1" x14ac:dyDescent="0.3"/>
    <row r="488" s="136" customFormat="1" x14ac:dyDescent="0.3"/>
    <row r="489" s="136" customFormat="1" x14ac:dyDescent="0.3"/>
    <row r="490" s="136" customFormat="1" x14ac:dyDescent="0.3"/>
    <row r="491" s="136" customFormat="1" x14ac:dyDescent="0.3"/>
    <row r="492" s="136" customFormat="1" x14ac:dyDescent="0.3"/>
    <row r="493" s="136" customFormat="1" x14ac:dyDescent="0.3"/>
    <row r="494" s="136" customFormat="1" x14ac:dyDescent="0.3"/>
    <row r="495" s="136" customFormat="1" x14ac:dyDescent="0.3"/>
    <row r="496" s="136" customFormat="1" x14ac:dyDescent="0.3"/>
    <row r="497" s="136" customFormat="1" x14ac:dyDescent="0.3"/>
    <row r="498" s="136" customFormat="1" x14ac:dyDescent="0.3"/>
    <row r="499" s="136" customFormat="1" x14ac:dyDescent="0.3"/>
    <row r="500" s="136" customFormat="1" x14ac:dyDescent="0.3"/>
    <row r="501" s="136" customFormat="1" x14ac:dyDescent="0.3"/>
    <row r="502" s="136" customFormat="1" x14ac:dyDescent="0.3"/>
    <row r="503" s="136" customFormat="1" x14ac:dyDescent="0.3"/>
    <row r="504" s="136" customFormat="1" x14ac:dyDescent="0.3"/>
    <row r="505" s="136" customFormat="1" x14ac:dyDescent="0.3"/>
    <row r="506" s="136" customFormat="1" x14ac:dyDescent="0.3"/>
    <row r="507" s="136" customFormat="1" x14ac:dyDescent="0.3"/>
    <row r="508" s="136" customFormat="1" x14ac:dyDescent="0.3"/>
    <row r="509" s="136" customFormat="1" x14ac:dyDescent="0.3"/>
    <row r="510" s="136" customFormat="1" x14ac:dyDescent="0.3"/>
    <row r="511" s="136" customFormat="1" x14ac:dyDescent="0.3"/>
    <row r="512" s="136" customFormat="1" x14ac:dyDescent="0.3"/>
    <row r="513" s="136" customFormat="1" x14ac:dyDescent="0.3"/>
    <row r="514" s="136" customFormat="1" x14ac:dyDescent="0.3"/>
    <row r="515" s="136" customFormat="1" x14ac:dyDescent="0.3"/>
    <row r="516" s="136" customFormat="1" x14ac:dyDescent="0.3"/>
    <row r="517" s="136" customFormat="1" x14ac:dyDescent="0.3"/>
    <row r="518" s="136" customFormat="1" x14ac:dyDescent="0.3"/>
    <row r="519" s="136" customFormat="1" x14ac:dyDescent="0.3"/>
    <row r="520" s="136" customFormat="1" x14ac:dyDescent="0.3"/>
    <row r="521" s="136" customFormat="1" x14ac:dyDescent="0.3"/>
    <row r="522" s="136" customFormat="1" x14ac:dyDescent="0.3"/>
    <row r="523" s="136" customFormat="1" x14ac:dyDescent="0.3"/>
    <row r="524" s="136" customFormat="1" x14ac:dyDescent="0.3"/>
    <row r="525" s="136" customFormat="1" x14ac:dyDescent="0.3"/>
    <row r="526" s="136" customFormat="1" x14ac:dyDescent="0.3"/>
    <row r="527" s="136" customFormat="1" x14ac:dyDescent="0.3"/>
    <row r="528" s="136" customFormat="1" x14ac:dyDescent="0.3"/>
    <row r="529" s="136" customFormat="1" x14ac:dyDescent="0.3"/>
    <row r="530" s="136" customFormat="1" x14ac:dyDescent="0.3"/>
    <row r="531" s="136" customFormat="1" x14ac:dyDescent="0.3"/>
    <row r="532" s="136" customFormat="1" x14ac:dyDescent="0.3"/>
    <row r="533" s="136" customFormat="1" x14ac:dyDescent="0.3"/>
    <row r="534" s="136" customFormat="1" x14ac:dyDescent="0.3"/>
    <row r="535" s="136" customFormat="1" x14ac:dyDescent="0.3"/>
    <row r="536" s="136" customFormat="1" x14ac:dyDescent="0.3"/>
    <row r="537" s="136" customFormat="1" x14ac:dyDescent="0.3"/>
    <row r="538" s="136" customFormat="1" x14ac:dyDescent="0.3"/>
    <row r="539" s="136" customFormat="1" x14ac:dyDescent="0.3"/>
    <row r="540" s="136" customFormat="1" x14ac:dyDescent="0.3"/>
    <row r="541" s="136" customFormat="1" x14ac:dyDescent="0.3"/>
    <row r="542" s="136" customFormat="1" x14ac:dyDescent="0.3"/>
    <row r="543" s="136" customFormat="1" x14ac:dyDescent="0.3"/>
    <row r="544" s="136" customFormat="1" x14ac:dyDescent="0.3"/>
    <row r="545" s="136" customFormat="1" x14ac:dyDescent="0.3"/>
    <row r="546" s="136" customFormat="1" x14ac:dyDescent="0.3"/>
    <row r="547" s="136" customFormat="1" x14ac:dyDescent="0.3"/>
    <row r="548" s="136" customFormat="1" x14ac:dyDescent="0.3"/>
    <row r="549" s="136" customFormat="1" x14ac:dyDescent="0.3"/>
    <row r="550" s="136" customFormat="1" x14ac:dyDescent="0.3"/>
    <row r="551" s="136" customFormat="1" x14ac:dyDescent="0.3"/>
    <row r="552" s="136" customFormat="1" x14ac:dyDescent="0.3"/>
    <row r="553" s="136" customFormat="1" x14ac:dyDescent="0.3"/>
    <row r="554" s="136" customFormat="1" x14ac:dyDescent="0.3"/>
    <row r="555" s="136" customFormat="1" x14ac:dyDescent="0.3"/>
    <row r="556" s="136" customFormat="1" x14ac:dyDescent="0.3"/>
    <row r="557" s="136" customFormat="1" x14ac:dyDescent="0.3"/>
    <row r="558" s="136" customFormat="1" x14ac:dyDescent="0.3"/>
    <row r="559" s="136" customFormat="1" x14ac:dyDescent="0.3"/>
    <row r="560" s="136" customFormat="1" x14ac:dyDescent="0.3"/>
    <row r="561" s="136" customFormat="1" x14ac:dyDescent="0.3"/>
    <row r="562" s="136" customFormat="1" x14ac:dyDescent="0.3"/>
    <row r="563" s="136" customFormat="1" x14ac:dyDescent="0.3"/>
    <row r="564" s="136" customFormat="1" x14ac:dyDescent="0.3"/>
    <row r="565" s="136" customFormat="1" x14ac:dyDescent="0.3"/>
    <row r="566" s="136" customFormat="1" x14ac:dyDescent="0.3"/>
    <row r="567" s="136" customFormat="1" x14ac:dyDescent="0.3"/>
    <row r="568" s="136" customFormat="1" x14ac:dyDescent="0.3"/>
    <row r="569" s="136" customFormat="1" x14ac:dyDescent="0.3"/>
    <row r="570" s="136" customFormat="1" x14ac:dyDescent="0.3"/>
    <row r="571" s="136" customFormat="1" x14ac:dyDescent="0.3"/>
    <row r="572" s="136" customFormat="1" x14ac:dyDescent="0.3"/>
    <row r="573" s="136" customFormat="1" x14ac:dyDescent="0.3"/>
    <row r="574" s="136" customFormat="1" x14ac:dyDescent="0.3"/>
    <row r="575" s="136" customFormat="1" x14ac:dyDescent="0.3"/>
    <row r="576" s="136" customFormat="1" x14ac:dyDescent="0.3"/>
    <row r="577" s="136" customFormat="1" x14ac:dyDescent="0.3"/>
    <row r="578" s="136" customFormat="1" x14ac:dyDescent="0.3"/>
    <row r="579" s="136" customFormat="1" x14ac:dyDescent="0.3"/>
    <row r="580" s="136" customFormat="1" x14ac:dyDescent="0.3"/>
    <row r="581" s="136" customFormat="1" x14ac:dyDescent="0.3"/>
    <row r="582" s="136" customFormat="1" x14ac:dyDescent="0.3"/>
    <row r="583" s="136" customFormat="1" x14ac:dyDescent="0.3"/>
    <row r="584" s="136" customFormat="1" x14ac:dyDescent="0.3"/>
    <row r="585" s="136" customFormat="1" x14ac:dyDescent="0.3"/>
    <row r="586" s="136" customFormat="1" x14ac:dyDescent="0.3"/>
    <row r="587" s="136" customFormat="1" x14ac:dyDescent="0.3"/>
    <row r="588" s="136" customFormat="1" x14ac:dyDescent="0.3"/>
    <row r="589" s="136" customFormat="1" x14ac:dyDescent="0.3"/>
    <row r="590" s="136" customFormat="1" x14ac:dyDescent="0.3"/>
    <row r="591" s="136" customFormat="1" x14ac:dyDescent="0.3"/>
    <row r="592" s="136" customFormat="1" x14ac:dyDescent="0.3"/>
    <row r="593" s="136" customFormat="1" x14ac:dyDescent="0.3"/>
    <row r="594" s="136" customFormat="1" x14ac:dyDescent="0.3"/>
    <row r="595" s="136" customFormat="1" x14ac:dyDescent="0.3"/>
    <row r="596" s="136" customFormat="1" x14ac:dyDescent="0.3"/>
    <row r="597" s="136" customFormat="1" x14ac:dyDescent="0.3"/>
    <row r="598" s="136" customFormat="1" x14ac:dyDescent="0.3"/>
    <row r="599" s="136" customFormat="1" x14ac:dyDescent="0.3"/>
    <row r="600" s="136" customFormat="1" x14ac:dyDescent="0.3"/>
    <row r="601" s="136" customFormat="1" x14ac:dyDescent="0.3"/>
    <row r="602" s="136" customFormat="1" x14ac:dyDescent="0.3"/>
    <row r="603" s="136" customFormat="1" x14ac:dyDescent="0.3"/>
    <row r="604" s="136" customFormat="1" x14ac:dyDescent="0.3"/>
    <row r="605" s="136" customFormat="1" x14ac:dyDescent="0.3"/>
    <row r="606" s="136" customFormat="1" x14ac:dyDescent="0.3"/>
    <row r="607" s="136" customFormat="1" x14ac:dyDescent="0.3"/>
    <row r="608" s="136" customFormat="1" x14ac:dyDescent="0.3"/>
    <row r="609" s="136" customFormat="1" x14ac:dyDescent="0.3"/>
    <row r="610" s="136" customFormat="1" x14ac:dyDescent="0.3"/>
    <row r="611" s="136" customFormat="1" x14ac:dyDescent="0.3"/>
    <row r="612" s="136" customFormat="1" x14ac:dyDescent="0.3"/>
    <row r="613" s="136" customFormat="1" x14ac:dyDescent="0.3"/>
    <row r="614" s="136" customFormat="1" x14ac:dyDescent="0.3"/>
    <row r="615" s="136" customFormat="1" x14ac:dyDescent="0.3"/>
    <row r="616" s="136" customFormat="1" x14ac:dyDescent="0.3"/>
    <row r="617" s="136" customFormat="1" x14ac:dyDescent="0.3"/>
    <row r="618" s="136" customFormat="1" x14ac:dyDescent="0.3"/>
    <row r="619" s="136" customFormat="1" x14ac:dyDescent="0.3"/>
    <row r="620" s="136" customFormat="1" x14ac:dyDescent="0.3"/>
    <row r="621" s="136" customFormat="1" x14ac:dyDescent="0.3"/>
    <row r="622" s="136" customFormat="1" x14ac:dyDescent="0.3"/>
    <row r="623" s="136" customFormat="1" x14ac:dyDescent="0.3"/>
    <row r="624" s="136" customFormat="1" x14ac:dyDescent="0.3"/>
    <row r="625" s="136" customFormat="1" x14ac:dyDescent="0.3"/>
    <row r="626" s="136" customFormat="1" x14ac:dyDescent="0.3"/>
    <row r="627" s="136" customFormat="1" x14ac:dyDescent="0.3"/>
    <row r="628" s="136" customFormat="1" x14ac:dyDescent="0.3"/>
    <row r="629" s="136" customFormat="1" x14ac:dyDescent="0.3"/>
    <row r="630" s="136" customFormat="1" x14ac:dyDescent="0.3"/>
    <row r="631" s="136" customFormat="1" x14ac:dyDescent="0.3"/>
    <row r="632" s="136" customFormat="1" x14ac:dyDescent="0.3"/>
    <row r="633" s="136" customFormat="1" x14ac:dyDescent="0.3"/>
    <row r="634" s="136" customFormat="1" x14ac:dyDescent="0.3"/>
    <row r="635" s="136" customFormat="1" x14ac:dyDescent="0.3"/>
    <row r="636" s="136" customFormat="1" x14ac:dyDescent="0.3"/>
    <row r="637" s="136" customFormat="1" x14ac:dyDescent="0.3"/>
    <row r="638" s="136" customFormat="1" x14ac:dyDescent="0.3"/>
    <row r="639" s="136" customFormat="1" x14ac:dyDescent="0.3"/>
    <row r="640" s="136" customFormat="1" x14ac:dyDescent="0.3"/>
    <row r="641" s="136" customFormat="1" x14ac:dyDescent="0.3"/>
    <row r="642" s="136" customFormat="1" x14ac:dyDescent="0.3"/>
    <row r="643" s="136" customFormat="1" x14ac:dyDescent="0.3"/>
    <row r="644" s="136" customFormat="1" x14ac:dyDescent="0.3"/>
    <row r="645" s="136" customFormat="1" x14ac:dyDescent="0.3"/>
    <row r="646" s="136" customFormat="1" x14ac:dyDescent="0.3"/>
    <row r="647" s="136" customFormat="1" x14ac:dyDescent="0.3"/>
    <row r="648" s="136" customFormat="1" x14ac:dyDescent="0.3"/>
    <row r="649" s="136" customFormat="1" x14ac:dyDescent="0.3"/>
    <row r="650" s="136" customFormat="1" x14ac:dyDescent="0.3"/>
    <row r="651" s="136" customFormat="1" x14ac:dyDescent="0.3"/>
    <row r="652" s="136" customFormat="1" x14ac:dyDescent="0.3"/>
    <row r="653" s="136" customFormat="1" x14ac:dyDescent="0.3"/>
    <row r="654" s="136" customFormat="1" x14ac:dyDescent="0.3"/>
    <row r="655" s="136" customFormat="1" x14ac:dyDescent="0.3"/>
    <row r="656" s="136" customFormat="1" x14ac:dyDescent="0.3"/>
    <row r="657" s="136" customFormat="1" x14ac:dyDescent="0.3"/>
    <row r="658" s="136" customFormat="1" x14ac:dyDescent="0.3"/>
    <row r="659" s="136" customFormat="1" x14ac:dyDescent="0.3"/>
    <row r="660" s="136" customFormat="1" x14ac:dyDescent="0.3"/>
    <row r="661" s="136" customFormat="1" x14ac:dyDescent="0.3"/>
    <row r="662" s="136" customFormat="1" x14ac:dyDescent="0.3"/>
    <row r="663" s="136" customFormat="1" x14ac:dyDescent="0.3"/>
    <row r="664" s="136" customFormat="1" x14ac:dyDescent="0.3"/>
    <row r="665" s="136" customFormat="1" x14ac:dyDescent="0.3"/>
    <row r="666" s="136" customFormat="1" x14ac:dyDescent="0.3"/>
    <row r="667" s="136" customFormat="1" x14ac:dyDescent="0.3"/>
    <row r="668" s="136" customFormat="1" x14ac:dyDescent="0.3"/>
    <row r="669" s="136" customFormat="1" x14ac:dyDescent="0.3"/>
    <row r="670" s="136" customFormat="1" x14ac:dyDescent="0.3"/>
    <row r="671" s="136" customFormat="1" x14ac:dyDescent="0.3"/>
    <row r="672" s="136" customFormat="1" x14ac:dyDescent="0.3"/>
    <row r="673" s="136" customFormat="1" x14ac:dyDescent="0.3"/>
    <row r="674" s="136" customFormat="1" x14ac:dyDescent="0.3"/>
    <row r="675" s="136" customFormat="1" x14ac:dyDescent="0.3"/>
    <row r="676" s="136" customFormat="1" x14ac:dyDescent="0.3"/>
    <row r="677" s="136" customFormat="1" x14ac:dyDescent="0.3"/>
    <row r="678" s="136" customFormat="1" x14ac:dyDescent="0.3"/>
    <row r="679" s="136" customFormat="1" x14ac:dyDescent="0.3"/>
    <row r="680" s="136" customFormat="1" x14ac:dyDescent="0.3"/>
    <row r="681" s="136" customFormat="1" x14ac:dyDescent="0.3"/>
    <row r="682" s="136" customFormat="1" x14ac:dyDescent="0.3"/>
    <row r="683" s="136" customFormat="1" x14ac:dyDescent="0.3"/>
    <row r="684" s="136" customFormat="1" x14ac:dyDescent="0.3"/>
    <row r="685" s="136" customFormat="1" x14ac:dyDescent="0.3"/>
    <row r="686" s="136" customFormat="1" x14ac:dyDescent="0.3"/>
    <row r="687" s="136" customFormat="1" x14ac:dyDescent="0.3"/>
    <row r="688" s="136" customFormat="1" x14ac:dyDescent="0.3"/>
    <row r="689" s="136" customFormat="1" x14ac:dyDescent="0.3"/>
    <row r="690" s="136" customFormat="1" x14ac:dyDescent="0.3"/>
    <row r="691" s="136" customFormat="1" x14ac:dyDescent="0.3"/>
    <row r="692" s="136" customFormat="1" x14ac:dyDescent="0.3"/>
    <row r="693" s="136" customFormat="1" x14ac:dyDescent="0.3"/>
    <row r="694" s="136" customFormat="1" x14ac:dyDescent="0.3"/>
    <row r="695" s="136" customFormat="1" x14ac:dyDescent="0.3"/>
    <row r="696" s="136" customFormat="1" x14ac:dyDescent="0.3"/>
    <row r="697" s="136" customFormat="1" x14ac:dyDescent="0.3"/>
    <row r="698" s="136" customFormat="1" x14ac:dyDescent="0.3"/>
    <row r="699" s="136" customFormat="1" x14ac:dyDescent="0.3"/>
    <row r="700" s="136" customFormat="1" x14ac:dyDescent="0.3"/>
    <row r="701" s="136" customFormat="1" x14ac:dyDescent="0.3"/>
    <row r="702" s="136" customFormat="1" x14ac:dyDescent="0.3"/>
    <row r="703" s="136" customFormat="1" x14ac:dyDescent="0.3"/>
    <row r="704" s="136" customFormat="1" x14ac:dyDescent="0.3"/>
    <row r="705" s="136" customFormat="1" x14ac:dyDescent="0.3"/>
    <row r="706" s="136" customFormat="1" x14ac:dyDescent="0.3"/>
    <row r="707" s="136" customFormat="1" x14ac:dyDescent="0.3"/>
    <row r="708" s="136" customFormat="1" x14ac:dyDescent="0.3"/>
    <row r="709" s="136" customFormat="1" x14ac:dyDescent="0.3"/>
    <row r="710" s="136" customFormat="1" x14ac:dyDescent="0.3"/>
    <row r="711" s="136" customFormat="1" x14ac:dyDescent="0.3"/>
    <row r="712" s="136" customFormat="1" x14ac:dyDescent="0.3"/>
    <row r="713" s="136" customFormat="1" x14ac:dyDescent="0.3"/>
    <row r="714" s="136" customFormat="1" x14ac:dyDescent="0.3"/>
    <row r="715" s="136" customFormat="1" x14ac:dyDescent="0.3"/>
    <row r="716" s="136" customFormat="1" x14ac:dyDescent="0.3"/>
    <row r="717" s="136" customFormat="1" x14ac:dyDescent="0.3"/>
    <row r="718" s="136" customFormat="1" x14ac:dyDescent="0.3"/>
    <row r="719" s="136" customFormat="1" x14ac:dyDescent="0.3"/>
    <row r="720" s="136" customFormat="1" x14ac:dyDescent="0.3"/>
    <row r="721" s="136" customFormat="1" x14ac:dyDescent="0.3"/>
    <row r="722" s="136" customFormat="1" x14ac:dyDescent="0.3"/>
    <row r="723" s="136" customFormat="1" x14ac:dyDescent="0.3"/>
    <row r="724" s="136" customFormat="1" x14ac:dyDescent="0.3"/>
    <row r="725" s="136" customFormat="1" x14ac:dyDescent="0.3"/>
    <row r="726" s="136" customFormat="1" x14ac:dyDescent="0.3"/>
    <row r="727" s="136" customFormat="1" x14ac:dyDescent="0.3"/>
    <row r="728" s="136" customFormat="1" x14ac:dyDescent="0.3"/>
    <row r="729" s="136" customFormat="1" x14ac:dyDescent="0.3"/>
    <row r="730" s="136" customFormat="1" x14ac:dyDescent="0.3"/>
    <row r="731" s="136" customFormat="1" x14ac:dyDescent="0.3"/>
    <row r="732" s="136" customFormat="1" x14ac:dyDescent="0.3"/>
    <row r="733" s="136" customFormat="1" x14ac:dyDescent="0.3"/>
    <row r="734" s="136" customFormat="1" x14ac:dyDescent="0.3"/>
    <row r="735" s="136" customFormat="1" x14ac:dyDescent="0.3"/>
    <row r="736" s="136" customFormat="1" x14ac:dyDescent="0.3"/>
    <row r="737" s="136" customFormat="1" x14ac:dyDescent="0.3"/>
    <row r="738" s="136" customFormat="1" x14ac:dyDescent="0.3"/>
    <row r="739" s="136" customFormat="1" x14ac:dyDescent="0.3"/>
    <row r="740" s="136" customFormat="1" x14ac:dyDescent="0.3"/>
    <row r="741" s="136" customFormat="1" x14ac:dyDescent="0.3"/>
    <row r="742" s="136" customFormat="1" x14ac:dyDescent="0.3"/>
    <row r="743" s="136" customFormat="1" x14ac:dyDescent="0.3"/>
    <row r="744" s="136" customFormat="1" x14ac:dyDescent="0.3"/>
    <row r="745" s="136" customFormat="1" x14ac:dyDescent="0.3"/>
    <row r="746" s="136" customFormat="1" x14ac:dyDescent="0.3"/>
    <row r="747" s="136" customFormat="1" x14ac:dyDescent="0.3"/>
    <row r="748" s="136" customFormat="1" x14ac:dyDescent="0.3"/>
    <row r="749" s="136" customFormat="1" x14ac:dyDescent="0.3"/>
    <row r="750" s="136" customFormat="1" x14ac:dyDescent="0.3"/>
    <row r="751" s="136" customFormat="1" x14ac:dyDescent="0.3"/>
    <row r="752" s="136" customFormat="1" x14ac:dyDescent="0.3"/>
    <row r="753" s="136" customFormat="1" x14ac:dyDescent="0.3"/>
    <row r="754" s="136" customFormat="1" x14ac:dyDescent="0.3"/>
    <row r="755" s="136" customFormat="1" x14ac:dyDescent="0.3"/>
    <row r="756" s="136" customFormat="1" x14ac:dyDescent="0.3"/>
    <row r="757" s="136" customFormat="1" x14ac:dyDescent="0.3"/>
    <row r="758" s="136" customFormat="1" x14ac:dyDescent="0.3"/>
    <row r="759" s="136" customFormat="1" x14ac:dyDescent="0.3"/>
    <row r="760" s="136" customFormat="1" x14ac:dyDescent="0.3"/>
    <row r="761" s="136" customFormat="1" x14ac:dyDescent="0.3"/>
    <row r="762" s="136" customFormat="1" x14ac:dyDescent="0.3"/>
    <row r="763" s="136" customFormat="1" x14ac:dyDescent="0.3"/>
    <row r="764" s="136" customFormat="1" x14ac:dyDescent="0.3"/>
    <row r="765" s="136" customFormat="1" x14ac:dyDescent="0.3"/>
    <row r="766" s="136" customFormat="1" x14ac:dyDescent="0.3"/>
    <row r="767" s="136" customFormat="1" x14ac:dyDescent="0.3"/>
    <row r="768" s="136" customFormat="1" x14ac:dyDescent="0.3"/>
    <row r="769" s="136" customFormat="1" x14ac:dyDescent="0.3"/>
    <row r="770" s="136" customFormat="1" x14ac:dyDescent="0.3"/>
    <row r="771" s="136" customFormat="1" x14ac:dyDescent="0.3"/>
    <row r="772" s="136" customFormat="1" x14ac:dyDescent="0.3"/>
    <row r="773" s="136" customFormat="1" x14ac:dyDescent="0.3"/>
    <row r="774" s="136" customFormat="1" x14ac:dyDescent="0.3"/>
    <row r="775" s="136" customFormat="1" x14ac:dyDescent="0.3"/>
    <row r="776" s="136" customFormat="1" x14ac:dyDescent="0.3"/>
    <row r="777" s="136" customFormat="1" x14ac:dyDescent="0.3"/>
    <row r="778" s="136" customFormat="1" x14ac:dyDescent="0.3"/>
    <row r="779" s="136" customFormat="1" x14ac:dyDescent="0.3"/>
    <row r="780" s="136" customFormat="1" x14ac:dyDescent="0.3"/>
    <row r="781" s="136" customFormat="1" x14ac:dyDescent="0.3"/>
    <row r="782" s="136" customFormat="1" x14ac:dyDescent="0.3"/>
    <row r="783" s="136" customFormat="1" x14ac:dyDescent="0.3"/>
    <row r="784" s="136" customFormat="1" x14ac:dyDescent="0.3"/>
    <row r="785" s="136" customFormat="1" x14ac:dyDescent="0.3"/>
    <row r="786" s="136" customFormat="1" x14ac:dyDescent="0.3"/>
    <row r="787" s="136" customFormat="1" x14ac:dyDescent="0.3"/>
    <row r="788" s="136" customFormat="1" x14ac:dyDescent="0.3"/>
    <row r="789" s="136" customFormat="1" x14ac:dyDescent="0.3"/>
    <row r="790" s="136" customFormat="1" x14ac:dyDescent="0.3"/>
    <row r="791" s="136" customFormat="1" x14ac:dyDescent="0.3"/>
    <row r="792" s="136" customFormat="1" x14ac:dyDescent="0.3"/>
    <row r="793" s="136" customFormat="1" x14ac:dyDescent="0.3"/>
    <row r="794" s="136" customFormat="1" x14ac:dyDescent="0.3"/>
    <row r="795" s="136" customFormat="1" x14ac:dyDescent="0.3"/>
    <row r="796" s="136" customFormat="1" x14ac:dyDescent="0.3"/>
    <row r="797" s="136" customFormat="1" x14ac:dyDescent="0.3"/>
    <row r="798" s="136" customFormat="1" x14ac:dyDescent="0.3"/>
    <row r="799" s="136" customFormat="1" x14ac:dyDescent="0.3"/>
    <row r="800" s="136" customFormat="1" x14ac:dyDescent="0.3"/>
    <row r="801" s="136" customFormat="1" x14ac:dyDescent="0.3"/>
    <row r="802" s="136" customFormat="1" x14ac:dyDescent="0.3"/>
    <row r="803" s="136" customFormat="1" x14ac:dyDescent="0.3"/>
    <row r="804" s="136" customFormat="1" x14ac:dyDescent="0.3"/>
    <row r="805" s="136" customFormat="1" x14ac:dyDescent="0.3"/>
    <row r="806" s="136" customFormat="1" x14ac:dyDescent="0.3"/>
    <row r="807" s="136" customFormat="1" x14ac:dyDescent="0.3"/>
    <row r="808" s="136" customFormat="1" x14ac:dyDescent="0.3"/>
    <row r="809" s="136" customFormat="1" x14ac:dyDescent="0.3"/>
    <row r="810" s="136" customFormat="1" x14ac:dyDescent="0.3"/>
    <row r="811" s="136" customFormat="1" x14ac:dyDescent="0.3"/>
    <row r="812" s="136" customFormat="1" x14ac:dyDescent="0.3"/>
    <row r="813" s="136" customFormat="1" x14ac:dyDescent="0.3"/>
    <row r="814" s="136" customFormat="1" x14ac:dyDescent="0.3"/>
    <row r="815" s="136" customFormat="1" x14ac:dyDescent="0.3"/>
    <row r="816" s="136" customFormat="1" x14ac:dyDescent="0.3"/>
    <row r="817" s="136" customFormat="1" x14ac:dyDescent="0.3"/>
    <row r="818" s="136" customFormat="1" x14ac:dyDescent="0.3"/>
    <row r="819" s="136" customFormat="1" x14ac:dyDescent="0.3"/>
    <row r="820" s="136" customFormat="1" x14ac:dyDescent="0.3"/>
    <row r="821" s="136" customFormat="1" x14ac:dyDescent="0.3"/>
    <row r="822" s="136" customFormat="1" x14ac:dyDescent="0.3"/>
    <row r="823" s="136" customFormat="1" x14ac:dyDescent="0.3"/>
    <row r="824" s="136" customFormat="1" x14ac:dyDescent="0.3"/>
    <row r="825" s="136" customFormat="1" x14ac:dyDescent="0.3"/>
    <row r="826" s="136" customFormat="1" x14ac:dyDescent="0.3"/>
    <row r="827" s="136" customFormat="1" x14ac:dyDescent="0.3"/>
    <row r="828" s="136" customFormat="1" x14ac:dyDescent="0.3"/>
    <row r="829" s="136" customFormat="1" x14ac:dyDescent="0.3"/>
    <row r="830" s="136" customFormat="1" x14ac:dyDescent="0.3"/>
    <row r="831" s="136" customFormat="1" x14ac:dyDescent="0.3"/>
    <row r="832" s="136" customFormat="1" x14ac:dyDescent="0.3"/>
    <row r="833" s="136" customFormat="1" x14ac:dyDescent="0.3"/>
    <row r="834" s="136" customFormat="1" x14ac:dyDescent="0.3"/>
    <row r="835" s="136" customFormat="1" x14ac:dyDescent="0.3"/>
    <row r="836" s="136" customFormat="1" x14ac:dyDescent="0.3"/>
    <row r="837" s="136" customFormat="1" x14ac:dyDescent="0.3"/>
    <row r="838" s="136" customFormat="1" x14ac:dyDescent="0.3"/>
    <row r="839" s="136" customFormat="1" x14ac:dyDescent="0.3"/>
    <row r="840" s="136" customFormat="1" x14ac:dyDescent="0.3"/>
    <row r="841" s="136" customFormat="1" x14ac:dyDescent="0.3"/>
    <row r="842" s="136" customFormat="1" x14ac:dyDescent="0.3"/>
    <row r="843" s="136" customFormat="1" x14ac:dyDescent="0.3"/>
    <row r="844" s="136" customFormat="1" x14ac:dyDescent="0.3"/>
    <row r="845" s="136" customFormat="1" x14ac:dyDescent="0.3"/>
    <row r="846" s="136" customFormat="1" x14ac:dyDescent="0.3"/>
    <row r="847" s="136" customFormat="1" x14ac:dyDescent="0.3"/>
    <row r="848" s="136" customFormat="1" x14ac:dyDescent="0.3"/>
    <row r="849" s="136" customFormat="1" x14ac:dyDescent="0.3"/>
    <row r="850" s="136" customFormat="1" x14ac:dyDescent="0.3"/>
    <row r="851" s="136" customFormat="1" x14ac:dyDescent="0.3"/>
    <row r="852" s="136" customFormat="1" x14ac:dyDescent="0.3"/>
    <row r="853" s="136" customFormat="1" x14ac:dyDescent="0.3"/>
    <row r="854" s="136" customFormat="1" x14ac:dyDescent="0.3"/>
    <row r="855" s="136" customFormat="1" x14ac:dyDescent="0.3"/>
    <row r="856" s="136" customFormat="1" x14ac:dyDescent="0.3"/>
    <row r="857" s="136" customFormat="1" x14ac:dyDescent="0.3"/>
    <row r="858" s="136" customFormat="1" x14ac:dyDescent="0.3"/>
    <row r="859" s="136" customFormat="1" x14ac:dyDescent="0.3"/>
    <row r="860" s="136" customFormat="1" x14ac:dyDescent="0.3"/>
    <row r="861" s="136" customFormat="1" x14ac:dyDescent="0.3"/>
    <row r="862" s="136" customFormat="1" x14ac:dyDescent="0.3"/>
    <row r="863" s="136" customFormat="1" x14ac:dyDescent="0.3"/>
    <row r="864" s="136" customFormat="1" x14ac:dyDescent="0.3"/>
    <row r="865" s="136" customFormat="1" x14ac:dyDescent="0.3"/>
    <row r="866" s="136" customFormat="1" x14ac:dyDescent="0.3"/>
    <row r="867" s="136" customFormat="1" x14ac:dyDescent="0.3"/>
    <row r="868" s="136" customFormat="1" x14ac:dyDescent="0.3"/>
    <row r="869" s="136" customFormat="1" x14ac:dyDescent="0.3"/>
    <row r="870" s="136" customFormat="1" x14ac:dyDescent="0.3"/>
    <row r="871" s="136" customFormat="1" x14ac:dyDescent="0.3"/>
    <row r="872" s="136" customFormat="1" x14ac:dyDescent="0.3"/>
    <row r="873" s="136" customFormat="1" x14ac:dyDescent="0.3"/>
    <row r="874" s="136" customFormat="1" x14ac:dyDescent="0.3"/>
    <row r="875" s="136" customFormat="1" x14ac:dyDescent="0.3"/>
    <row r="876" s="136" customFormat="1" x14ac:dyDescent="0.3"/>
    <row r="877" s="136" customFormat="1" x14ac:dyDescent="0.3"/>
    <row r="878" s="136" customFormat="1" x14ac:dyDescent="0.3"/>
    <row r="879" s="136" customFormat="1" x14ac:dyDescent="0.3"/>
    <row r="880" s="136" customFormat="1" x14ac:dyDescent="0.3"/>
    <row r="881" s="136" customFormat="1" x14ac:dyDescent="0.3"/>
    <row r="882" s="136" customFormat="1" x14ac:dyDescent="0.3"/>
    <row r="883" s="136" customFormat="1" x14ac:dyDescent="0.3"/>
    <row r="884" s="136" customFormat="1" x14ac:dyDescent="0.3"/>
    <row r="885" s="136" customFormat="1" x14ac:dyDescent="0.3"/>
    <row r="886" s="136" customFormat="1" x14ac:dyDescent="0.3"/>
    <row r="887" s="136" customFormat="1" x14ac:dyDescent="0.3"/>
    <row r="888" s="136" customFormat="1" x14ac:dyDescent="0.3"/>
    <row r="889" s="136" customFormat="1" x14ac:dyDescent="0.3"/>
    <row r="890" s="136" customFormat="1" x14ac:dyDescent="0.3"/>
    <row r="891" s="136" customFormat="1" x14ac:dyDescent="0.3"/>
    <row r="892" s="136" customFormat="1" x14ac:dyDescent="0.3"/>
    <row r="893" s="136" customFormat="1" x14ac:dyDescent="0.3"/>
    <row r="894" s="136" customFormat="1" x14ac:dyDescent="0.3"/>
    <row r="895" s="136" customFormat="1" x14ac:dyDescent="0.3"/>
    <row r="896" s="136" customFormat="1" x14ac:dyDescent="0.3"/>
    <row r="897" s="136" customFormat="1" x14ac:dyDescent="0.3"/>
    <row r="898" s="136" customFormat="1" x14ac:dyDescent="0.3"/>
    <row r="899" s="136" customFormat="1" x14ac:dyDescent="0.3"/>
    <row r="900" s="136" customFormat="1" x14ac:dyDescent="0.3"/>
    <row r="901" s="136" customFormat="1" x14ac:dyDescent="0.3"/>
    <row r="902" s="136" customFormat="1" x14ac:dyDescent="0.3"/>
    <row r="903" s="136" customFormat="1" x14ac:dyDescent="0.3"/>
    <row r="904" s="136" customFormat="1" x14ac:dyDescent="0.3"/>
    <row r="905" s="136" customFormat="1" x14ac:dyDescent="0.3"/>
    <row r="906" s="136" customFormat="1" x14ac:dyDescent="0.3"/>
    <row r="907" s="136" customFormat="1" x14ac:dyDescent="0.3"/>
    <row r="908" s="136" customFormat="1" x14ac:dyDescent="0.3"/>
    <row r="909" s="136" customFormat="1" x14ac:dyDescent="0.3"/>
    <row r="910" s="136" customFormat="1" x14ac:dyDescent="0.3"/>
    <row r="911" s="136" customFormat="1" x14ac:dyDescent="0.3"/>
    <row r="912" s="136" customFormat="1" x14ac:dyDescent="0.3"/>
    <row r="913" s="136" customFormat="1" x14ac:dyDescent="0.3"/>
    <row r="914" s="136" customFormat="1" x14ac:dyDescent="0.3"/>
    <row r="915" s="136" customFormat="1" x14ac:dyDescent="0.3"/>
    <row r="916" s="136" customFormat="1" x14ac:dyDescent="0.3"/>
    <row r="917" s="136" customFormat="1" x14ac:dyDescent="0.3"/>
    <row r="918" s="136" customFormat="1" x14ac:dyDescent="0.3"/>
    <row r="919" s="136" customFormat="1" x14ac:dyDescent="0.3"/>
    <row r="920" s="136" customFormat="1" x14ac:dyDescent="0.3"/>
    <row r="921" s="136" customFormat="1" x14ac:dyDescent="0.3"/>
    <row r="922" s="136" customFormat="1" x14ac:dyDescent="0.3"/>
    <row r="923" s="136" customFormat="1" x14ac:dyDescent="0.3"/>
    <row r="924" s="136" customFormat="1" x14ac:dyDescent="0.3"/>
    <row r="925" s="136" customFormat="1" x14ac:dyDescent="0.3"/>
    <row r="926" s="136" customFormat="1" x14ac:dyDescent="0.3"/>
    <row r="927" s="136" customFormat="1" x14ac:dyDescent="0.3"/>
    <row r="928" s="136" customFormat="1" x14ac:dyDescent="0.3"/>
    <row r="929" s="136" customFormat="1" x14ac:dyDescent="0.3"/>
    <row r="930" s="136" customFormat="1" x14ac:dyDescent="0.3"/>
    <row r="931" s="136" customFormat="1" x14ac:dyDescent="0.3"/>
    <row r="932" s="136" customFormat="1" x14ac:dyDescent="0.3"/>
    <row r="933" s="136" customFormat="1" x14ac:dyDescent="0.3"/>
    <row r="934" s="136" customFormat="1" x14ac:dyDescent="0.3"/>
    <row r="935" s="136" customFormat="1" x14ac:dyDescent="0.3"/>
    <row r="936" s="136" customFormat="1" x14ac:dyDescent="0.3"/>
    <row r="937" s="136" customFormat="1" x14ac:dyDescent="0.3"/>
    <row r="938" s="136" customFormat="1" x14ac:dyDescent="0.3"/>
    <row r="939" s="136" customFormat="1" x14ac:dyDescent="0.3"/>
    <row r="940" s="136" customFormat="1" x14ac:dyDescent="0.3"/>
    <row r="941" s="136" customFormat="1" x14ac:dyDescent="0.3"/>
    <row r="942" s="136" customFormat="1" x14ac:dyDescent="0.3"/>
    <row r="943" s="136" customFormat="1" x14ac:dyDescent="0.3"/>
    <row r="944" s="136" customFormat="1" x14ac:dyDescent="0.3"/>
    <row r="945" s="136" customFormat="1" x14ac:dyDescent="0.3"/>
    <row r="946" s="136" customFormat="1" x14ac:dyDescent="0.3"/>
    <row r="947" s="136" customFormat="1" x14ac:dyDescent="0.3"/>
    <row r="948" s="136" customFormat="1" x14ac:dyDescent="0.3"/>
    <row r="949" s="136" customFormat="1" x14ac:dyDescent="0.3"/>
    <row r="950" s="136" customFormat="1" x14ac:dyDescent="0.3"/>
    <row r="951" s="136" customFormat="1" x14ac:dyDescent="0.3"/>
    <row r="952" s="136" customFormat="1" x14ac:dyDescent="0.3"/>
    <row r="953" s="136" customFormat="1" x14ac:dyDescent="0.3"/>
    <row r="954" s="136" customFormat="1" x14ac:dyDescent="0.3"/>
    <row r="955" s="136" customFormat="1" x14ac:dyDescent="0.3"/>
    <row r="956" s="136" customFormat="1" x14ac:dyDescent="0.3"/>
    <row r="957" s="136" customFormat="1" x14ac:dyDescent="0.3"/>
    <row r="958" s="136" customFormat="1" x14ac:dyDescent="0.3"/>
    <row r="959" s="136" customFormat="1" x14ac:dyDescent="0.3"/>
    <row r="960" s="136" customFormat="1" x14ac:dyDescent="0.3"/>
    <row r="961" s="136" customFormat="1" x14ac:dyDescent="0.3"/>
    <row r="962" s="136" customFormat="1" x14ac:dyDescent="0.3"/>
    <row r="963" s="136" customFormat="1" x14ac:dyDescent="0.3"/>
    <row r="964" s="136" customFormat="1" x14ac:dyDescent="0.3"/>
    <row r="965" s="136" customFormat="1" x14ac:dyDescent="0.3"/>
    <row r="966" s="136" customFormat="1" x14ac:dyDescent="0.3"/>
    <row r="967" s="136" customFormat="1" x14ac:dyDescent="0.3"/>
    <row r="968" s="136" customFormat="1" x14ac:dyDescent="0.3"/>
    <row r="969" s="136" customFormat="1" x14ac:dyDescent="0.3"/>
    <row r="970" s="136" customFormat="1" x14ac:dyDescent="0.3"/>
    <row r="971" s="136" customFormat="1" x14ac:dyDescent="0.3"/>
    <row r="972" s="136" customFormat="1" x14ac:dyDescent="0.3"/>
    <row r="973" s="136" customFormat="1" x14ac:dyDescent="0.3"/>
    <row r="974" s="136" customFormat="1" x14ac:dyDescent="0.3"/>
    <row r="975" s="136" customFormat="1" x14ac:dyDescent="0.3"/>
    <row r="976" s="136" customFormat="1" x14ac:dyDescent="0.3"/>
    <row r="977" s="136" customFormat="1" x14ac:dyDescent="0.3"/>
    <row r="978" s="136" customFormat="1" x14ac:dyDescent="0.3"/>
    <row r="979" s="136" customFormat="1" x14ac:dyDescent="0.3"/>
    <row r="980" s="136" customFormat="1" x14ac:dyDescent="0.3"/>
    <row r="981" s="136" customFormat="1" x14ac:dyDescent="0.3"/>
    <row r="982" s="136" customFormat="1" x14ac:dyDescent="0.3"/>
    <row r="983" s="136" customFormat="1" x14ac:dyDescent="0.3"/>
    <row r="984" s="136" customFormat="1" x14ac:dyDescent="0.3"/>
    <row r="985" s="136" customFormat="1" x14ac:dyDescent="0.3"/>
    <row r="986" s="136" customFormat="1" x14ac:dyDescent="0.3"/>
    <row r="987" s="136" customFormat="1" x14ac:dyDescent="0.3"/>
    <row r="988" s="136" customFormat="1" x14ac:dyDescent="0.3"/>
    <row r="989" s="136" customFormat="1" x14ac:dyDescent="0.3"/>
    <row r="990" s="136" customFormat="1" x14ac:dyDescent="0.3"/>
    <row r="991" s="136" customFormat="1" x14ac:dyDescent="0.3"/>
    <row r="992" s="136" customFormat="1" x14ac:dyDescent="0.3"/>
    <row r="993" s="136" customFormat="1" x14ac:dyDescent="0.3"/>
    <row r="994" s="136" customFormat="1" x14ac:dyDescent="0.3"/>
    <row r="995" s="136" customFormat="1" x14ac:dyDescent="0.3"/>
    <row r="996" s="136" customFormat="1" x14ac:dyDescent="0.3"/>
    <row r="997" s="136" customFormat="1" x14ac:dyDescent="0.3"/>
    <row r="998" s="136" customFormat="1" x14ac:dyDescent="0.3"/>
    <row r="999" s="136" customFormat="1" x14ac:dyDescent="0.3"/>
    <row r="1000" s="136" customFormat="1" x14ac:dyDescent="0.3"/>
    <row r="1001" s="136" customFormat="1" x14ac:dyDescent="0.3"/>
    <row r="1002" s="136" customFormat="1" x14ac:dyDescent="0.3"/>
    <row r="1003" s="136" customFormat="1" x14ac:dyDescent="0.3"/>
    <row r="1004" s="136" customFormat="1" x14ac:dyDescent="0.3"/>
    <row r="1005" s="136" customFormat="1" x14ac:dyDescent="0.3"/>
    <row r="1006" s="136" customFormat="1" x14ac:dyDescent="0.3"/>
    <row r="1007" s="136" customFormat="1" x14ac:dyDescent="0.3"/>
    <row r="1008" s="136" customFormat="1" x14ac:dyDescent="0.3"/>
    <row r="1009" s="136" customFormat="1" x14ac:dyDescent="0.3"/>
    <row r="1010" s="136" customFormat="1" x14ac:dyDescent="0.3"/>
    <row r="1011" s="136" customFormat="1" x14ac:dyDescent="0.3"/>
    <row r="1012" s="136" customFormat="1" x14ac:dyDescent="0.3"/>
    <row r="1013" s="136" customFormat="1" x14ac:dyDescent="0.3"/>
    <row r="1014" s="136" customFormat="1" x14ac:dyDescent="0.3"/>
    <row r="1015" s="136" customFormat="1" x14ac:dyDescent="0.3"/>
    <row r="1016" s="136" customFormat="1" x14ac:dyDescent="0.3"/>
    <row r="1017" s="136" customFormat="1" x14ac:dyDescent="0.3"/>
    <row r="1018" s="136" customFormat="1" x14ac:dyDescent="0.3"/>
    <row r="1019" s="136" customFormat="1" x14ac:dyDescent="0.3"/>
    <row r="1020" s="136" customFormat="1" x14ac:dyDescent="0.3"/>
    <row r="1021" s="136" customFormat="1" x14ac:dyDescent="0.3"/>
    <row r="1022" s="136" customFormat="1" x14ac:dyDescent="0.3"/>
    <row r="1023" s="136" customFormat="1" x14ac:dyDescent="0.3"/>
    <row r="1024" s="136" customFormat="1" x14ac:dyDescent="0.3"/>
    <row r="1025" s="136" customFormat="1" x14ac:dyDescent="0.3"/>
    <row r="1026" s="136" customFormat="1" x14ac:dyDescent="0.3"/>
    <row r="1027" s="136" customFormat="1" x14ac:dyDescent="0.3"/>
    <row r="1028" s="136" customFormat="1" x14ac:dyDescent="0.3"/>
    <row r="1029" s="136" customFormat="1" x14ac:dyDescent="0.3"/>
    <row r="1030" s="136" customFormat="1" x14ac:dyDescent="0.3"/>
    <row r="1031" s="136" customFormat="1" x14ac:dyDescent="0.3"/>
    <row r="1032" s="136" customFormat="1" x14ac:dyDescent="0.3"/>
    <row r="1033" s="136" customFormat="1" x14ac:dyDescent="0.3"/>
    <row r="1034" s="136" customFormat="1" x14ac:dyDescent="0.3"/>
    <row r="1035" s="136" customFormat="1" x14ac:dyDescent="0.3"/>
    <row r="1036" s="136" customFormat="1" x14ac:dyDescent="0.3"/>
    <row r="1037" s="136" customFormat="1" x14ac:dyDescent="0.3"/>
    <row r="1038" s="136" customFormat="1" x14ac:dyDescent="0.3"/>
    <row r="1039" s="136" customFormat="1" x14ac:dyDescent="0.3"/>
    <row r="1040" s="136" customFormat="1" x14ac:dyDescent="0.3"/>
    <row r="1041" s="136" customFormat="1" x14ac:dyDescent="0.3"/>
    <row r="1042" s="136" customFormat="1" x14ac:dyDescent="0.3"/>
    <row r="1043" s="136" customFormat="1" x14ac:dyDescent="0.3"/>
    <row r="1044" s="136" customFormat="1" x14ac:dyDescent="0.3"/>
    <row r="1045" s="136" customFormat="1" x14ac:dyDescent="0.3"/>
    <row r="1046" s="136" customFormat="1" x14ac:dyDescent="0.3"/>
    <row r="1047" s="136" customFormat="1" x14ac:dyDescent="0.3"/>
    <row r="1048" s="136" customFormat="1" x14ac:dyDescent="0.3"/>
    <row r="1049" s="136" customFormat="1" x14ac:dyDescent="0.3"/>
    <row r="1050" s="136" customFormat="1" x14ac:dyDescent="0.3"/>
    <row r="1051" s="136" customFormat="1" x14ac:dyDescent="0.3"/>
    <row r="1052" s="136" customFormat="1" x14ac:dyDescent="0.3"/>
    <row r="1053" s="136" customFormat="1" x14ac:dyDescent="0.3"/>
    <row r="1054" s="136" customFormat="1" x14ac:dyDescent="0.3"/>
    <row r="1055" s="136" customFormat="1" x14ac:dyDescent="0.3"/>
    <row r="1056" s="136" customFormat="1" x14ac:dyDescent="0.3"/>
    <row r="1057" s="136" customFormat="1" x14ac:dyDescent="0.3"/>
    <row r="1058" s="136" customFormat="1" x14ac:dyDescent="0.3"/>
    <row r="1059" s="136" customFormat="1" x14ac:dyDescent="0.3"/>
    <row r="1060" s="136" customFormat="1" x14ac:dyDescent="0.3"/>
    <row r="1061" s="136" customFormat="1" x14ac:dyDescent="0.3"/>
    <row r="1062" s="136" customFormat="1" x14ac:dyDescent="0.3"/>
    <row r="1063" s="136" customFormat="1" x14ac:dyDescent="0.3"/>
    <row r="1064" s="136" customFormat="1" x14ac:dyDescent="0.3"/>
    <row r="1065" s="136" customFormat="1" x14ac:dyDescent="0.3"/>
    <row r="1066" s="136" customFormat="1" x14ac:dyDescent="0.3"/>
    <row r="1067" s="136" customFormat="1" x14ac:dyDescent="0.3"/>
    <row r="1068" s="136" customFormat="1" x14ac:dyDescent="0.3"/>
    <row r="1069" s="136" customFormat="1" x14ac:dyDescent="0.3"/>
    <row r="1070" s="136" customFormat="1" x14ac:dyDescent="0.3"/>
    <row r="1071" s="136" customFormat="1" x14ac:dyDescent="0.3"/>
    <row r="1072" s="136" customFormat="1" x14ac:dyDescent="0.3"/>
    <row r="1073" s="136" customFormat="1" x14ac:dyDescent="0.3"/>
    <row r="1074" s="136" customFormat="1" x14ac:dyDescent="0.3"/>
    <row r="1075" s="136" customFormat="1" x14ac:dyDescent="0.3"/>
    <row r="1076" s="136" customFormat="1" x14ac:dyDescent="0.3"/>
    <row r="1077" s="136" customFormat="1" x14ac:dyDescent="0.3"/>
    <row r="1078" s="136" customFormat="1" x14ac:dyDescent="0.3"/>
    <row r="1079" s="136" customFormat="1" x14ac:dyDescent="0.3"/>
    <row r="1080" s="136" customFormat="1" x14ac:dyDescent="0.3"/>
    <row r="1081" s="136" customFormat="1" x14ac:dyDescent="0.3"/>
    <row r="1082" s="136" customFormat="1" x14ac:dyDescent="0.3"/>
    <row r="1083" s="136" customFormat="1" x14ac:dyDescent="0.3"/>
    <row r="1084" s="136" customFormat="1" x14ac:dyDescent="0.3"/>
    <row r="1085" s="136" customFormat="1" x14ac:dyDescent="0.3"/>
    <row r="1086" s="136" customFormat="1" x14ac:dyDescent="0.3"/>
    <row r="1087" s="136" customFormat="1" x14ac:dyDescent="0.3"/>
    <row r="1088" s="136" customFormat="1" x14ac:dyDescent="0.3"/>
    <row r="1089" s="136" customFormat="1" x14ac:dyDescent="0.3"/>
    <row r="1090" s="136" customFormat="1" x14ac:dyDescent="0.3"/>
    <row r="1091" s="136" customFormat="1" x14ac:dyDescent="0.3"/>
    <row r="1092" s="136" customFormat="1" x14ac:dyDescent="0.3"/>
    <row r="1093" s="136" customFormat="1" x14ac:dyDescent="0.3"/>
    <row r="1094" s="136" customFormat="1" x14ac:dyDescent="0.3"/>
    <row r="1095" s="136" customFormat="1" x14ac:dyDescent="0.3"/>
    <row r="1096" s="136" customFormat="1" x14ac:dyDescent="0.3"/>
    <row r="1097" s="136" customFormat="1" x14ac:dyDescent="0.3"/>
    <row r="1098" s="136" customFormat="1" x14ac:dyDescent="0.3"/>
    <row r="1099" s="136" customFormat="1" x14ac:dyDescent="0.3"/>
    <row r="1100" s="136" customFormat="1" x14ac:dyDescent="0.3"/>
    <row r="1101" s="136" customFormat="1" x14ac:dyDescent="0.3"/>
    <row r="1102" s="136" customFormat="1" x14ac:dyDescent="0.3"/>
    <row r="1103" s="136" customFormat="1" x14ac:dyDescent="0.3"/>
    <row r="1104" s="136" customFormat="1" x14ac:dyDescent="0.3"/>
    <row r="1105" s="136" customFormat="1" x14ac:dyDescent="0.3"/>
    <row r="1106" s="136" customFormat="1" x14ac:dyDescent="0.3"/>
    <row r="1107" s="136" customFormat="1" x14ac:dyDescent="0.3"/>
    <row r="1108" s="136" customFormat="1" x14ac:dyDescent="0.3"/>
    <row r="1109" s="136" customFormat="1" x14ac:dyDescent="0.3"/>
    <row r="1110" s="136" customFormat="1" x14ac:dyDescent="0.3"/>
    <row r="1111" s="136" customFormat="1" x14ac:dyDescent="0.3"/>
    <row r="1112" s="136" customFormat="1" x14ac:dyDescent="0.3"/>
    <row r="1113" s="136" customFormat="1" x14ac:dyDescent="0.3"/>
    <row r="1114" s="136" customFormat="1" x14ac:dyDescent="0.3"/>
    <row r="1115" s="136" customFormat="1" x14ac:dyDescent="0.3"/>
    <row r="1116" s="136" customFormat="1" x14ac:dyDescent="0.3"/>
    <row r="1117" s="136" customFormat="1" x14ac:dyDescent="0.3"/>
    <row r="1118" s="136" customFormat="1" x14ac:dyDescent="0.3"/>
    <row r="1119" s="136" customFormat="1" x14ac:dyDescent="0.3"/>
    <row r="1120" s="136" customFormat="1" x14ac:dyDescent="0.3"/>
    <row r="1121" s="136" customFormat="1" x14ac:dyDescent="0.3"/>
    <row r="1122" s="136" customFormat="1" x14ac:dyDescent="0.3"/>
    <row r="1123" s="136" customFormat="1" x14ac:dyDescent="0.3"/>
    <row r="1124" s="136" customFormat="1" x14ac:dyDescent="0.3"/>
    <row r="1125" s="136" customFormat="1" x14ac:dyDescent="0.3"/>
    <row r="1126" s="136" customFormat="1" x14ac:dyDescent="0.3"/>
    <row r="1127" s="136" customFormat="1" x14ac:dyDescent="0.3"/>
    <row r="1128" s="136" customFormat="1" x14ac:dyDescent="0.3"/>
    <row r="1129" s="136" customFormat="1" x14ac:dyDescent="0.3"/>
    <row r="1130" s="136" customFormat="1" x14ac:dyDescent="0.3"/>
    <row r="1131" s="136" customFormat="1" x14ac:dyDescent="0.3"/>
    <row r="1132" s="136" customFormat="1" x14ac:dyDescent="0.3"/>
    <row r="1133" s="136" customFormat="1" x14ac:dyDescent="0.3"/>
    <row r="1134" s="136" customFormat="1" x14ac:dyDescent="0.3"/>
    <row r="1135" s="136" customFormat="1" x14ac:dyDescent="0.3"/>
    <row r="1136" s="136" customFormat="1" x14ac:dyDescent="0.3"/>
    <row r="1137" s="136" customFormat="1" x14ac:dyDescent="0.3"/>
    <row r="1138" s="136" customFormat="1" x14ac:dyDescent="0.3"/>
    <row r="1139" s="136" customFormat="1" x14ac:dyDescent="0.3"/>
    <row r="1140" s="136" customFormat="1" x14ac:dyDescent="0.3"/>
    <row r="1141" s="136" customFormat="1" x14ac:dyDescent="0.3"/>
    <row r="1142" s="136" customFormat="1" x14ac:dyDescent="0.3"/>
    <row r="1143" s="136" customFormat="1" x14ac:dyDescent="0.3"/>
    <row r="1144" s="136" customFormat="1" x14ac:dyDescent="0.3"/>
    <row r="1145" s="136" customFormat="1" x14ac:dyDescent="0.3"/>
    <row r="1146" s="136" customFormat="1" x14ac:dyDescent="0.3"/>
    <row r="1147" s="136" customFormat="1" x14ac:dyDescent="0.3"/>
    <row r="1148" s="136" customFormat="1" x14ac:dyDescent="0.3"/>
    <row r="1149" s="136" customFormat="1" x14ac:dyDescent="0.3"/>
    <row r="1150" s="136" customFormat="1" x14ac:dyDescent="0.3"/>
    <row r="1151" s="136" customFormat="1" x14ac:dyDescent="0.3"/>
    <row r="1152" s="136" customFormat="1" x14ac:dyDescent="0.3"/>
    <row r="1153" s="136" customFormat="1" x14ac:dyDescent="0.3"/>
    <row r="1154" s="136" customFormat="1" x14ac:dyDescent="0.3"/>
    <row r="1155" s="136" customFormat="1" x14ac:dyDescent="0.3"/>
    <row r="1156" s="136" customFormat="1" x14ac:dyDescent="0.3"/>
    <row r="1157" s="136" customFormat="1" x14ac:dyDescent="0.3"/>
    <row r="1158" s="136" customFormat="1" x14ac:dyDescent="0.3"/>
    <row r="1159" s="136" customFormat="1" x14ac:dyDescent="0.3"/>
    <row r="1160" s="136" customFormat="1" x14ac:dyDescent="0.3"/>
    <row r="1161" s="136" customFormat="1" x14ac:dyDescent="0.3"/>
    <row r="1162" s="136" customFormat="1" x14ac:dyDescent="0.3"/>
    <row r="1163" s="136" customFormat="1" x14ac:dyDescent="0.3"/>
    <row r="1164" s="136" customFormat="1" x14ac:dyDescent="0.3"/>
    <row r="1165" s="136" customFormat="1" x14ac:dyDescent="0.3"/>
    <row r="1166" s="136" customFormat="1" x14ac:dyDescent="0.3"/>
    <row r="1167" s="136" customFormat="1" x14ac:dyDescent="0.3"/>
    <row r="1168" s="136" customFormat="1" x14ac:dyDescent="0.3"/>
    <row r="1169" s="136" customFormat="1" x14ac:dyDescent="0.3"/>
    <row r="1170" s="136" customFormat="1" x14ac:dyDescent="0.3"/>
    <row r="1171" s="136" customFormat="1" x14ac:dyDescent="0.3"/>
    <row r="1172" s="136" customFormat="1" x14ac:dyDescent="0.3"/>
    <row r="1173" s="136" customFormat="1" x14ac:dyDescent="0.3"/>
    <row r="1174" s="136" customFormat="1" x14ac:dyDescent="0.3"/>
    <row r="1175" s="136" customFormat="1" x14ac:dyDescent="0.3"/>
    <row r="1176" s="136" customFormat="1" x14ac:dyDescent="0.3"/>
    <row r="1177" s="136" customFormat="1" x14ac:dyDescent="0.3"/>
    <row r="1178" s="136" customFormat="1" x14ac:dyDescent="0.3"/>
    <row r="1179" s="136" customFormat="1" x14ac:dyDescent="0.3"/>
    <row r="1180" s="136" customFormat="1" x14ac:dyDescent="0.3"/>
    <row r="1181" s="136" customFormat="1" x14ac:dyDescent="0.3"/>
    <row r="1182" s="136" customFormat="1" x14ac:dyDescent="0.3"/>
    <row r="1183" s="136" customFormat="1" x14ac:dyDescent="0.3"/>
    <row r="1184" s="136" customFormat="1" x14ac:dyDescent="0.3"/>
    <row r="1185" s="136" customFormat="1" x14ac:dyDescent="0.3"/>
    <row r="1186" s="136" customFormat="1" x14ac:dyDescent="0.3"/>
    <row r="1187" s="136" customFormat="1" x14ac:dyDescent="0.3"/>
    <row r="1188" s="136" customFormat="1" x14ac:dyDescent="0.3"/>
    <row r="1189" s="136" customFormat="1" x14ac:dyDescent="0.3"/>
    <row r="1190" s="136" customFormat="1" x14ac:dyDescent="0.3"/>
    <row r="1191" s="136" customFormat="1" x14ac:dyDescent="0.3"/>
    <row r="1192" s="136" customFormat="1" x14ac:dyDescent="0.3"/>
    <row r="1193" s="136" customFormat="1" x14ac:dyDescent="0.3"/>
    <row r="1194" s="136" customFormat="1" x14ac:dyDescent="0.3"/>
    <row r="1195" s="136" customFormat="1" x14ac:dyDescent="0.3"/>
    <row r="1196" s="136" customFormat="1" x14ac:dyDescent="0.3"/>
    <row r="1197" s="136" customFormat="1" x14ac:dyDescent="0.3"/>
    <row r="1198" s="136" customFormat="1" x14ac:dyDescent="0.3"/>
    <row r="1199" s="136" customFormat="1" x14ac:dyDescent="0.3"/>
    <row r="1200" s="136" customFormat="1" x14ac:dyDescent="0.3"/>
    <row r="1201" s="136" customFormat="1" x14ac:dyDescent="0.3"/>
    <row r="1202" s="136" customFormat="1" x14ac:dyDescent="0.3"/>
    <row r="1203" s="136" customFormat="1" x14ac:dyDescent="0.3"/>
    <row r="1204" s="136" customFormat="1" x14ac:dyDescent="0.3"/>
    <row r="1205" s="136" customFormat="1" x14ac:dyDescent="0.3"/>
    <row r="1206" s="136" customFormat="1" x14ac:dyDescent="0.3"/>
    <row r="1207" s="136" customFormat="1" x14ac:dyDescent="0.3"/>
    <row r="1208" s="136" customFormat="1" x14ac:dyDescent="0.3"/>
    <row r="1209" s="136" customFormat="1" x14ac:dyDescent="0.3"/>
    <row r="1210" s="136" customFormat="1" x14ac:dyDescent="0.3"/>
    <row r="1211" s="136" customFormat="1" x14ac:dyDescent="0.3"/>
    <row r="1212" s="136" customFormat="1" x14ac:dyDescent="0.3"/>
    <row r="1213" s="136" customFormat="1" x14ac:dyDescent="0.3"/>
    <row r="1214" s="136" customFormat="1" x14ac:dyDescent="0.3"/>
    <row r="1215" s="136" customFormat="1" x14ac:dyDescent="0.3"/>
    <row r="1216" s="136" customFormat="1" x14ac:dyDescent="0.3"/>
    <row r="1217" s="136" customFormat="1" x14ac:dyDescent="0.3"/>
    <row r="1218" s="136" customFormat="1" x14ac:dyDescent="0.3"/>
    <row r="1219" s="136" customFormat="1" x14ac:dyDescent="0.3"/>
    <row r="1220" s="136" customFormat="1" x14ac:dyDescent="0.3"/>
    <row r="1221" s="136" customFormat="1" x14ac:dyDescent="0.3"/>
    <row r="1222" s="136" customFormat="1" x14ac:dyDescent="0.3"/>
    <row r="1223" s="136" customFormat="1" x14ac:dyDescent="0.3"/>
    <row r="1224" s="136" customFormat="1" x14ac:dyDescent="0.3"/>
    <row r="1225" s="136" customFormat="1" x14ac:dyDescent="0.3"/>
    <row r="1226" s="136" customFormat="1" x14ac:dyDescent="0.3"/>
    <row r="1227" s="136" customFormat="1" x14ac:dyDescent="0.3"/>
    <row r="1228" s="136" customFormat="1" x14ac:dyDescent="0.3"/>
    <row r="1229" s="136" customFormat="1" x14ac:dyDescent="0.3"/>
    <row r="1230" s="136" customFormat="1" x14ac:dyDescent="0.3"/>
    <row r="1231" s="136" customFormat="1" x14ac:dyDescent="0.3"/>
    <row r="1232" s="136" customFormat="1" x14ac:dyDescent="0.3"/>
    <row r="1233" s="136" customFormat="1" x14ac:dyDescent="0.3"/>
    <row r="1234" s="136" customFormat="1" x14ac:dyDescent="0.3"/>
    <row r="1235" s="136" customFormat="1" x14ac:dyDescent="0.3"/>
    <row r="1236" s="136" customFormat="1" x14ac:dyDescent="0.3"/>
    <row r="1237" s="136" customFormat="1" x14ac:dyDescent="0.3"/>
    <row r="1238" s="136" customFormat="1" x14ac:dyDescent="0.3"/>
    <row r="1239" s="136" customFormat="1" x14ac:dyDescent="0.3"/>
    <row r="1240" s="136" customFormat="1" x14ac:dyDescent="0.3"/>
    <row r="1241" s="136" customFormat="1" x14ac:dyDescent="0.3"/>
    <row r="1242" s="136" customFormat="1" x14ac:dyDescent="0.3"/>
    <row r="1243" s="136" customFormat="1" x14ac:dyDescent="0.3"/>
    <row r="1244" s="136" customFormat="1" x14ac:dyDescent="0.3"/>
    <row r="1245" s="136" customFormat="1" x14ac:dyDescent="0.3"/>
    <row r="1246" s="136" customFormat="1" x14ac:dyDescent="0.3"/>
    <row r="1247" s="136" customFormat="1" x14ac:dyDescent="0.3"/>
    <row r="1248" s="136" customFormat="1" x14ac:dyDescent="0.3"/>
    <row r="1249" s="136" customFormat="1" x14ac:dyDescent="0.3"/>
    <row r="1250" s="136" customFormat="1" x14ac:dyDescent="0.3"/>
    <row r="1251" s="136" customFormat="1" x14ac:dyDescent="0.3"/>
    <row r="1252" s="136" customFormat="1" x14ac:dyDescent="0.3"/>
    <row r="1253" s="136" customFormat="1" x14ac:dyDescent="0.3"/>
    <row r="1254" s="136" customFormat="1" x14ac:dyDescent="0.3"/>
    <row r="1255" s="136" customFormat="1" x14ac:dyDescent="0.3"/>
    <row r="1256" s="136" customFormat="1" x14ac:dyDescent="0.3"/>
    <row r="1257" s="136" customFormat="1" x14ac:dyDescent="0.3"/>
    <row r="1258" s="136" customFormat="1" x14ac:dyDescent="0.3"/>
    <row r="1259" s="136" customFormat="1" x14ac:dyDescent="0.3"/>
    <row r="1260" s="136" customFormat="1" x14ac:dyDescent="0.3"/>
    <row r="1261" s="136" customFormat="1" x14ac:dyDescent="0.3"/>
    <row r="1262" s="136" customFormat="1" x14ac:dyDescent="0.3"/>
    <row r="1263" s="136" customFormat="1" x14ac:dyDescent="0.3"/>
    <row r="1264" s="136" customFormat="1" x14ac:dyDescent="0.3"/>
    <row r="1265" s="136" customFormat="1" x14ac:dyDescent="0.3"/>
    <row r="1266" s="136" customFormat="1" x14ac:dyDescent="0.3"/>
    <row r="1267" s="136" customFormat="1" x14ac:dyDescent="0.3"/>
    <row r="1268" s="136" customFormat="1" x14ac:dyDescent="0.3"/>
    <row r="1269" s="136" customFormat="1" x14ac:dyDescent="0.3"/>
    <row r="1270" s="136" customFormat="1" x14ac:dyDescent="0.3"/>
    <row r="1271" s="136" customFormat="1" x14ac:dyDescent="0.3"/>
    <row r="1272" s="136" customFormat="1" x14ac:dyDescent="0.3"/>
    <row r="1273" s="136" customFormat="1" x14ac:dyDescent="0.3"/>
    <row r="1274" s="136" customFormat="1" x14ac:dyDescent="0.3"/>
    <row r="1275" s="136" customFormat="1" x14ac:dyDescent="0.3"/>
    <row r="1276" s="136" customFormat="1" x14ac:dyDescent="0.3"/>
    <row r="1277" s="136" customFormat="1" x14ac:dyDescent="0.3"/>
    <row r="1278" s="136" customFormat="1" x14ac:dyDescent="0.3"/>
    <row r="1279" s="136" customFormat="1" x14ac:dyDescent="0.3"/>
    <row r="1280" s="136" customFormat="1" x14ac:dyDescent="0.3"/>
    <row r="1281" s="136" customFormat="1" x14ac:dyDescent="0.3"/>
    <row r="1282" s="136" customFormat="1" x14ac:dyDescent="0.3"/>
    <row r="1283" s="136" customFormat="1" x14ac:dyDescent="0.3"/>
    <row r="1284" s="136" customFormat="1" x14ac:dyDescent="0.3"/>
    <row r="1285" s="136" customFormat="1" x14ac:dyDescent="0.3"/>
    <row r="1286" s="136" customFormat="1" x14ac:dyDescent="0.3"/>
    <row r="1287" s="136" customFormat="1" x14ac:dyDescent="0.3"/>
    <row r="1288" s="136" customFormat="1" x14ac:dyDescent="0.3"/>
    <row r="1289" s="136" customFormat="1" x14ac:dyDescent="0.3"/>
    <row r="1290" s="136" customFormat="1" x14ac:dyDescent="0.3"/>
    <row r="1291" s="136" customFormat="1" x14ac:dyDescent="0.3"/>
    <row r="1292" s="136" customFormat="1" x14ac:dyDescent="0.3"/>
    <row r="1293" s="136" customFormat="1" x14ac:dyDescent="0.3"/>
    <row r="1294" s="136" customFormat="1" x14ac:dyDescent="0.3"/>
    <row r="1295" s="136" customFormat="1" x14ac:dyDescent="0.3"/>
    <row r="1296" s="136" customFormat="1" x14ac:dyDescent="0.3"/>
    <row r="1297" s="136" customFormat="1" x14ac:dyDescent="0.3"/>
    <row r="1298" s="136" customFormat="1" x14ac:dyDescent="0.3"/>
    <row r="1299" s="136" customFormat="1" x14ac:dyDescent="0.3"/>
    <row r="1300" s="136" customFormat="1" x14ac:dyDescent="0.3"/>
    <row r="1301" s="136" customFormat="1" x14ac:dyDescent="0.3"/>
    <row r="1302" s="136" customFormat="1" x14ac:dyDescent="0.3"/>
    <row r="1303" s="136" customFormat="1" x14ac:dyDescent="0.3"/>
    <row r="1304" s="136" customFormat="1" x14ac:dyDescent="0.3"/>
    <row r="1305" s="136" customFormat="1" x14ac:dyDescent="0.3"/>
    <row r="1306" s="136" customFormat="1" x14ac:dyDescent="0.3"/>
    <row r="1307" s="136" customFormat="1" x14ac:dyDescent="0.3"/>
    <row r="1308" s="136" customFormat="1" x14ac:dyDescent="0.3"/>
    <row r="1309" s="136" customFormat="1" x14ac:dyDescent="0.3"/>
    <row r="1310" s="136" customFormat="1" x14ac:dyDescent="0.3"/>
    <row r="1311" s="136" customFormat="1" x14ac:dyDescent="0.3"/>
    <row r="1312" s="136" customFormat="1" x14ac:dyDescent="0.3"/>
    <row r="1313" s="136" customFormat="1" x14ac:dyDescent="0.3"/>
    <row r="1314" s="136" customFormat="1" x14ac:dyDescent="0.3"/>
    <row r="1315" s="136" customFormat="1" x14ac:dyDescent="0.3"/>
    <row r="1316" s="136" customFormat="1" x14ac:dyDescent="0.3"/>
    <row r="1317" s="136" customFormat="1" x14ac:dyDescent="0.3"/>
    <row r="1318" s="136" customFormat="1" x14ac:dyDescent="0.3"/>
    <row r="1319" s="136" customFormat="1" x14ac:dyDescent="0.3"/>
    <row r="1320" s="136" customFormat="1" x14ac:dyDescent="0.3"/>
    <row r="1321" s="136" customFormat="1" x14ac:dyDescent="0.3"/>
    <row r="1322" s="136" customFormat="1" x14ac:dyDescent="0.3"/>
    <row r="1323" s="136" customFormat="1" x14ac:dyDescent="0.3"/>
    <row r="1324" s="136" customFormat="1" x14ac:dyDescent="0.3"/>
    <row r="1325" s="136" customFormat="1" x14ac:dyDescent="0.3"/>
    <row r="1326" s="136" customFormat="1" x14ac:dyDescent="0.3"/>
    <row r="1327" s="136" customFormat="1" x14ac:dyDescent="0.3"/>
    <row r="1328" s="136" customFormat="1" x14ac:dyDescent="0.3"/>
    <row r="1329" s="136" customFormat="1" x14ac:dyDescent="0.3"/>
    <row r="1330" s="136" customFormat="1" x14ac:dyDescent="0.3"/>
    <row r="1331" s="136" customFormat="1" x14ac:dyDescent="0.3"/>
    <row r="1332" s="136" customFormat="1" x14ac:dyDescent="0.3"/>
    <row r="1333" s="136" customFormat="1" x14ac:dyDescent="0.3"/>
    <row r="1334" s="136" customFormat="1" x14ac:dyDescent="0.3"/>
    <row r="1335" s="136" customFormat="1" x14ac:dyDescent="0.3"/>
    <row r="1336" s="136" customFormat="1" x14ac:dyDescent="0.3"/>
    <row r="1337" s="136" customFormat="1" x14ac:dyDescent="0.3"/>
    <row r="1338" s="136" customFormat="1" x14ac:dyDescent="0.3"/>
    <row r="1339" s="136" customFormat="1" x14ac:dyDescent="0.3"/>
    <row r="1340" s="136" customFormat="1" x14ac:dyDescent="0.3"/>
    <row r="1341" s="136" customFormat="1" x14ac:dyDescent="0.3"/>
    <row r="1342" s="136" customFormat="1" x14ac:dyDescent="0.3"/>
    <row r="1343" s="136" customFormat="1" x14ac:dyDescent="0.3"/>
    <row r="1344" s="136" customFormat="1" x14ac:dyDescent="0.3"/>
    <row r="1345" s="136" customFormat="1" x14ac:dyDescent="0.3"/>
    <row r="1346" s="136" customFormat="1" x14ac:dyDescent="0.3"/>
    <row r="1347" s="136" customFormat="1" x14ac:dyDescent="0.3"/>
    <row r="1348" s="136" customFormat="1" x14ac:dyDescent="0.3"/>
    <row r="1349" s="136" customFormat="1" x14ac:dyDescent="0.3"/>
    <row r="1350" s="136" customFormat="1" x14ac:dyDescent="0.3"/>
    <row r="1351" s="136" customFormat="1" x14ac:dyDescent="0.3"/>
    <row r="1352" s="136" customFormat="1" x14ac:dyDescent="0.3"/>
    <row r="1353" s="136" customFormat="1" x14ac:dyDescent="0.3"/>
    <row r="1354" s="136" customFormat="1" x14ac:dyDescent="0.3"/>
    <row r="1355" s="136" customFormat="1" x14ac:dyDescent="0.3"/>
    <row r="1356" s="136" customFormat="1" x14ac:dyDescent="0.3"/>
    <row r="1357" s="136" customFormat="1" x14ac:dyDescent="0.3"/>
    <row r="1358" s="136" customFormat="1" x14ac:dyDescent="0.3"/>
    <row r="1359" s="136" customFormat="1" x14ac:dyDescent="0.3"/>
    <row r="1360" s="136" customFormat="1" x14ac:dyDescent="0.3"/>
    <row r="1361" s="136" customFormat="1" x14ac:dyDescent="0.3"/>
    <row r="1362" s="136" customFormat="1" x14ac:dyDescent="0.3"/>
    <row r="1363" s="136" customFormat="1" x14ac:dyDescent="0.3"/>
    <row r="1364" s="136" customFormat="1" x14ac:dyDescent="0.3"/>
    <row r="1365" s="136" customFormat="1" x14ac:dyDescent="0.3"/>
    <row r="1366" s="136" customFormat="1" x14ac:dyDescent="0.3"/>
    <row r="1367" s="136" customFormat="1" x14ac:dyDescent="0.3"/>
    <row r="1368" s="136" customFormat="1" x14ac:dyDescent="0.3"/>
    <row r="1369" s="136" customFormat="1" x14ac:dyDescent="0.3"/>
    <row r="1370" s="136" customFormat="1" x14ac:dyDescent="0.3"/>
    <row r="1371" s="136" customFormat="1" x14ac:dyDescent="0.3"/>
    <row r="1372" s="136" customFormat="1" x14ac:dyDescent="0.3"/>
    <row r="1373" s="136" customFormat="1" x14ac:dyDescent="0.3"/>
    <row r="1374" s="136" customFormat="1" x14ac:dyDescent="0.3"/>
    <row r="1375" s="136" customFormat="1" x14ac:dyDescent="0.3"/>
    <row r="1376" s="136" customFormat="1" x14ac:dyDescent="0.3"/>
    <row r="1377" s="136" customFormat="1" x14ac:dyDescent="0.3"/>
    <row r="1378" s="136" customFormat="1" x14ac:dyDescent="0.3"/>
    <row r="1379" s="136" customFormat="1" x14ac:dyDescent="0.3"/>
    <row r="1380" s="136" customFormat="1" x14ac:dyDescent="0.3"/>
    <row r="1381" s="136" customFormat="1" x14ac:dyDescent="0.3"/>
    <row r="1382" s="136" customFormat="1" x14ac:dyDescent="0.3"/>
    <row r="1383" s="136" customFormat="1" x14ac:dyDescent="0.3"/>
    <row r="1384" s="136" customFormat="1" x14ac:dyDescent="0.3"/>
    <row r="1385" s="136" customFormat="1" x14ac:dyDescent="0.3"/>
    <row r="1386" s="136" customFormat="1" x14ac:dyDescent="0.3"/>
    <row r="1387" s="136" customFormat="1" x14ac:dyDescent="0.3"/>
    <row r="1388" s="136" customFormat="1" x14ac:dyDescent="0.3"/>
    <row r="1389" s="136" customFormat="1" x14ac:dyDescent="0.3"/>
    <row r="1390" s="136" customFormat="1" x14ac:dyDescent="0.3"/>
    <row r="1391" s="136" customFormat="1" x14ac:dyDescent="0.3"/>
    <row r="1392" s="136" customFormat="1" x14ac:dyDescent="0.3"/>
    <row r="1393" s="136" customFormat="1" x14ac:dyDescent="0.3"/>
    <row r="1394" s="136" customFormat="1" x14ac:dyDescent="0.3"/>
    <row r="1395" s="136" customFormat="1" x14ac:dyDescent="0.3"/>
    <row r="1396" s="136" customFormat="1" x14ac:dyDescent="0.3"/>
    <row r="1397" s="136" customFormat="1" x14ac:dyDescent="0.3"/>
    <row r="1398" s="136" customFormat="1" x14ac:dyDescent="0.3"/>
    <row r="1399" s="136" customFormat="1" x14ac:dyDescent="0.3"/>
    <row r="1400" s="136" customFormat="1" x14ac:dyDescent="0.3"/>
    <row r="1401" s="136" customFormat="1" x14ac:dyDescent="0.3"/>
    <row r="1402" s="136" customFormat="1" x14ac:dyDescent="0.3"/>
    <row r="1403" s="136" customFormat="1" x14ac:dyDescent="0.3"/>
    <row r="1404" s="136" customFormat="1" x14ac:dyDescent="0.3"/>
    <row r="1405" s="136" customFormat="1" x14ac:dyDescent="0.3"/>
    <row r="1406" s="136" customFormat="1" x14ac:dyDescent="0.3"/>
    <row r="1407" s="136" customFormat="1" x14ac:dyDescent="0.3"/>
    <row r="1408" s="136" customFormat="1" x14ac:dyDescent="0.3"/>
    <row r="1409" s="136" customFormat="1" x14ac:dyDescent="0.3"/>
    <row r="1410" s="136" customFormat="1" x14ac:dyDescent="0.3"/>
    <row r="1411" s="136" customFormat="1" x14ac:dyDescent="0.3"/>
    <row r="1412" s="136" customFormat="1" x14ac:dyDescent="0.3"/>
    <row r="1413" s="136" customFormat="1" x14ac:dyDescent="0.3"/>
    <row r="1414" s="136" customFormat="1" x14ac:dyDescent="0.3"/>
    <row r="1415" s="136" customFormat="1" x14ac:dyDescent="0.3"/>
    <row r="1416" s="136" customFormat="1" x14ac:dyDescent="0.3"/>
    <row r="1417" s="136" customFormat="1" x14ac:dyDescent="0.3"/>
    <row r="1418" s="136" customFormat="1" x14ac:dyDescent="0.3"/>
    <row r="1419" s="136" customFormat="1" x14ac:dyDescent="0.3"/>
    <row r="1420" s="136" customFormat="1" x14ac:dyDescent="0.3"/>
    <row r="1421" s="136" customFormat="1" x14ac:dyDescent="0.3"/>
    <row r="1422" s="136" customFormat="1" x14ac:dyDescent="0.3"/>
    <row r="1423" s="136" customFormat="1" x14ac:dyDescent="0.3"/>
    <row r="1424" s="136" customFormat="1" x14ac:dyDescent="0.3"/>
    <row r="1425" s="136" customFormat="1" x14ac:dyDescent="0.3"/>
    <row r="1426" s="136" customFormat="1" x14ac:dyDescent="0.3"/>
    <row r="1427" s="136" customFormat="1" x14ac:dyDescent="0.3"/>
    <row r="1428" s="136" customFormat="1" x14ac:dyDescent="0.3"/>
    <row r="1429" s="136" customFormat="1" x14ac:dyDescent="0.3"/>
    <row r="1430" s="136" customFormat="1" x14ac:dyDescent="0.3"/>
    <row r="1431" s="136" customFormat="1" x14ac:dyDescent="0.3"/>
    <row r="1432" s="136" customFormat="1" x14ac:dyDescent="0.3"/>
    <row r="1433" s="136" customFormat="1" x14ac:dyDescent="0.3"/>
    <row r="1434" s="136" customFormat="1" x14ac:dyDescent="0.3"/>
    <row r="1435" s="136" customFormat="1" x14ac:dyDescent="0.3"/>
    <row r="1436" s="136" customFormat="1" x14ac:dyDescent="0.3"/>
    <row r="1437" s="136" customFormat="1" x14ac:dyDescent="0.3"/>
    <row r="1438" s="136" customFormat="1" x14ac:dyDescent="0.3"/>
    <row r="1439" s="136" customFormat="1" x14ac:dyDescent="0.3"/>
    <row r="1440" s="136" customFormat="1" x14ac:dyDescent="0.3"/>
    <row r="1441" s="136" customFormat="1" x14ac:dyDescent="0.3"/>
    <row r="1442" s="136" customFormat="1" x14ac:dyDescent="0.3"/>
    <row r="1443" s="136" customFormat="1" x14ac:dyDescent="0.3"/>
    <row r="1444" s="136" customFormat="1" x14ac:dyDescent="0.3"/>
    <row r="1445" s="136" customFormat="1" x14ac:dyDescent="0.3"/>
    <row r="1446" s="136" customFormat="1" x14ac:dyDescent="0.3"/>
    <row r="1447" s="136" customFormat="1" x14ac:dyDescent="0.3"/>
    <row r="1448" s="136" customFormat="1" x14ac:dyDescent="0.3"/>
    <row r="1449" s="136" customFormat="1" x14ac:dyDescent="0.3"/>
    <row r="1450" s="136" customFormat="1" x14ac:dyDescent="0.3"/>
    <row r="1451" s="136" customFormat="1" x14ac:dyDescent="0.3"/>
    <row r="1452" s="136" customFormat="1" x14ac:dyDescent="0.3"/>
    <row r="1453" s="136" customFormat="1" x14ac:dyDescent="0.3"/>
    <row r="1454" s="136" customFormat="1" x14ac:dyDescent="0.3"/>
    <row r="1455" s="136" customFormat="1" x14ac:dyDescent="0.3"/>
    <row r="1456" s="136" customFormat="1" x14ac:dyDescent="0.3"/>
    <row r="1457" s="136" customFormat="1" x14ac:dyDescent="0.3"/>
    <row r="1458" s="136" customFormat="1" x14ac:dyDescent="0.3"/>
    <row r="1459" s="136" customFormat="1" x14ac:dyDescent="0.3"/>
    <row r="1460" s="136" customFormat="1" x14ac:dyDescent="0.3"/>
    <row r="1461" s="136" customFormat="1" x14ac:dyDescent="0.3"/>
    <row r="1462" s="136" customFormat="1" x14ac:dyDescent="0.3"/>
    <row r="1463" s="136" customFormat="1" x14ac:dyDescent="0.3"/>
    <row r="1464" s="136" customFormat="1" x14ac:dyDescent="0.3"/>
    <row r="1465" s="136" customFormat="1" x14ac:dyDescent="0.3"/>
    <row r="1466" s="136" customFormat="1" x14ac:dyDescent="0.3"/>
    <row r="1467" s="136" customFormat="1" x14ac:dyDescent="0.3"/>
    <row r="1468" s="136" customFormat="1" x14ac:dyDescent="0.3"/>
    <row r="1469" s="136" customFormat="1" x14ac:dyDescent="0.3"/>
    <row r="1470" s="136" customFormat="1" x14ac:dyDescent="0.3"/>
    <row r="1471" s="136" customFormat="1" x14ac:dyDescent="0.3"/>
    <row r="1472" s="136" customFormat="1" x14ac:dyDescent="0.3"/>
    <row r="1473" s="136" customFormat="1" x14ac:dyDescent="0.3"/>
    <row r="1474" s="136" customFormat="1" x14ac:dyDescent="0.3"/>
    <row r="1475" s="136" customFormat="1" x14ac:dyDescent="0.3"/>
    <row r="1476" s="136" customFormat="1" x14ac:dyDescent="0.3"/>
    <row r="1477" s="136" customFormat="1" x14ac:dyDescent="0.3"/>
    <row r="1478" s="136" customFormat="1" x14ac:dyDescent="0.3"/>
    <row r="1479" s="136" customFormat="1" x14ac:dyDescent="0.3"/>
    <row r="1480" s="136" customFormat="1" x14ac:dyDescent="0.3"/>
    <row r="1481" s="136" customFormat="1" x14ac:dyDescent="0.3"/>
    <row r="1482" s="136" customFormat="1" x14ac:dyDescent="0.3"/>
    <row r="1483" s="136" customFormat="1" x14ac:dyDescent="0.3"/>
    <row r="1484" s="136" customFormat="1" x14ac:dyDescent="0.3"/>
    <row r="1485" s="136" customFormat="1" x14ac:dyDescent="0.3"/>
    <row r="1486" s="136" customFormat="1" x14ac:dyDescent="0.3"/>
    <row r="1487" s="136" customFormat="1" x14ac:dyDescent="0.3"/>
    <row r="1488" s="136" customFormat="1" x14ac:dyDescent="0.3"/>
    <row r="1489" s="136" customFormat="1" x14ac:dyDescent="0.3"/>
    <row r="1490" s="136" customFormat="1" x14ac:dyDescent="0.3"/>
    <row r="1491" s="136" customFormat="1" x14ac:dyDescent="0.3"/>
    <row r="1492" s="136" customFormat="1" x14ac:dyDescent="0.3"/>
    <row r="1493" s="136" customFormat="1" x14ac:dyDescent="0.3"/>
    <row r="1494" s="136" customFormat="1" x14ac:dyDescent="0.3"/>
    <row r="1495" s="136" customFormat="1" x14ac:dyDescent="0.3"/>
    <row r="1496" s="136" customFormat="1" x14ac:dyDescent="0.3"/>
    <row r="1497" s="136" customFormat="1" x14ac:dyDescent="0.3"/>
    <row r="1498" s="136" customFormat="1" x14ac:dyDescent="0.3"/>
    <row r="1499" s="136" customFormat="1" x14ac:dyDescent="0.3"/>
    <row r="1500" s="136" customFormat="1" x14ac:dyDescent="0.3"/>
    <row r="1501" s="136" customFormat="1" x14ac:dyDescent="0.3"/>
    <row r="1502" s="136" customFormat="1" x14ac:dyDescent="0.3"/>
    <row r="1503" s="136" customFormat="1" x14ac:dyDescent="0.3"/>
    <row r="1504" s="136" customFormat="1" x14ac:dyDescent="0.3"/>
    <row r="1505" s="136" customFormat="1" x14ac:dyDescent="0.3"/>
    <row r="1506" s="136" customFormat="1" x14ac:dyDescent="0.3"/>
    <row r="1507" s="136" customFormat="1" x14ac:dyDescent="0.3"/>
    <row r="1508" s="136" customFormat="1" x14ac:dyDescent="0.3"/>
    <row r="1509" s="136" customFormat="1" x14ac:dyDescent="0.3"/>
    <row r="1510" s="136" customFormat="1" x14ac:dyDescent="0.3"/>
    <row r="1511" s="136" customFormat="1" x14ac:dyDescent="0.3"/>
    <row r="1512" s="136" customFormat="1" x14ac:dyDescent="0.3"/>
    <row r="1513" s="136" customFormat="1" x14ac:dyDescent="0.3"/>
    <row r="1514" s="136" customFormat="1" x14ac:dyDescent="0.3"/>
    <row r="1515" s="136" customFormat="1" x14ac:dyDescent="0.3"/>
    <row r="1516" s="136" customFormat="1" x14ac:dyDescent="0.3"/>
    <row r="1517" s="136" customFormat="1" x14ac:dyDescent="0.3"/>
    <row r="1518" s="136" customFormat="1" x14ac:dyDescent="0.3"/>
    <row r="1519" s="136" customFormat="1" x14ac:dyDescent="0.3"/>
    <row r="1520" s="136" customFormat="1" x14ac:dyDescent="0.3"/>
    <row r="1521" s="136" customFormat="1" x14ac:dyDescent="0.3"/>
    <row r="1522" s="136" customFormat="1" x14ac:dyDescent="0.3"/>
    <row r="1523" s="136" customFormat="1" x14ac:dyDescent="0.3"/>
    <row r="1524" s="136" customFormat="1" x14ac:dyDescent="0.3"/>
    <row r="1525" s="136" customFormat="1" x14ac:dyDescent="0.3"/>
    <row r="1526" s="136" customFormat="1" x14ac:dyDescent="0.3"/>
    <row r="1527" s="136" customFormat="1" x14ac:dyDescent="0.3"/>
    <row r="1528" s="136" customFormat="1" x14ac:dyDescent="0.3"/>
    <row r="1529" s="136" customFormat="1" x14ac:dyDescent="0.3"/>
    <row r="1530" s="136" customFormat="1" x14ac:dyDescent="0.3"/>
    <row r="1531" s="136" customFormat="1" x14ac:dyDescent="0.3"/>
    <row r="1532" s="136" customFormat="1" x14ac:dyDescent="0.3"/>
    <row r="1533" s="136" customFormat="1" x14ac:dyDescent="0.3"/>
    <row r="1534" s="136" customFormat="1" x14ac:dyDescent="0.3"/>
    <row r="1535" s="136" customFormat="1" x14ac:dyDescent="0.3"/>
    <row r="1536" s="136" customFormat="1" x14ac:dyDescent="0.3"/>
    <row r="1537" s="136" customFormat="1" x14ac:dyDescent="0.3"/>
    <row r="1538" s="136" customFormat="1" x14ac:dyDescent="0.3"/>
    <row r="1539" s="136" customFormat="1" x14ac:dyDescent="0.3"/>
    <row r="1540" s="136" customFormat="1" x14ac:dyDescent="0.3"/>
    <row r="1541" s="136" customFormat="1" x14ac:dyDescent="0.3"/>
    <row r="1542" s="136" customFormat="1" x14ac:dyDescent="0.3"/>
    <row r="1543" s="136" customFormat="1" x14ac:dyDescent="0.3"/>
    <row r="1544" s="136" customFormat="1" x14ac:dyDescent="0.3"/>
    <row r="1545" s="136" customFormat="1" x14ac:dyDescent="0.3"/>
    <row r="1546" s="136" customFormat="1" x14ac:dyDescent="0.3"/>
    <row r="1547" s="136" customFormat="1" x14ac:dyDescent="0.3"/>
    <row r="1548" s="136" customFormat="1" x14ac:dyDescent="0.3"/>
    <row r="1549" s="136" customFormat="1" x14ac:dyDescent="0.3"/>
    <row r="1550" s="136" customFormat="1" x14ac:dyDescent="0.3"/>
    <row r="1551" s="136" customFormat="1" x14ac:dyDescent="0.3"/>
    <row r="1552" s="136" customFormat="1" x14ac:dyDescent="0.3"/>
    <row r="1553" s="136" customFormat="1" x14ac:dyDescent="0.3"/>
    <row r="1554" s="136" customFormat="1" x14ac:dyDescent="0.3"/>
    <row r="1555" s="136" customFormat="1" x14ac:dyDescent="0.3"/>
    <row r="1556" s="136" customFormat="1" x14ac:dyDescent="0.3"/>
    <row r="1557" s="136" customFormat="1" x14ac:dyDescent="0.3"/>
    <row r="1558" s="136" customFormat="1" x14ac:dyDescent="0.3"/>
    <row r="1559" s="136" customFormat="1" x14ac:dyDescent="0.3"/>
    <row r="1560" s="136" customFormat="1" x14ac:dyDescent="0.3"/>
    <row r="1561" s="136" customFormat="1" x14ac:dyDescent="0.3"/>
    <row r="1562" s="136" customFormat="1" x14ac:dyDescent="0.3"/>
    <row r="1563" s="136" customFormat="1" x14ac:dyDescent="0.3"/>
    <row r="1564" s="136" customFormat="1" x14ac:dyDescent="0.3"/>
    <row r="1565" s="136" customFormat="1" x14ac:dyDescent="0.3"/>
    <row r="1566" s="136" customFormat="1" x14ac:dyDescent="0.3"/>
    <row r="1567" s="136" customFormat="1" x14ac:dyDescent="0.3"/>
    <row r="1568" s="136" customFormat="1" x14ac:dyDescent="0.3"/>
    <row r="1569" s="136" customFormat="1" x14ac:dyDescent="0.3"/>
    <row r="1570" s="136" customFormat="1" x14ac:dyDescent="0.3"/>
    <row r="1571" s="136" customFormat="1" x14ac:dyDescent="0.3"/>
    <row r="1572" s="136" customFormat="1" x14ac:dyDescent="0.3"/>
    <row r="1573" s="136" customFormat="1" x14ac:dyDescent="0.3"/>
    <row r="1574" s="136" customFormat="1" x14ac:dyDescent="0.3"/>
    <row r="1575" s="136" customFormat="1" x14ac:dyDescent="0.3"/>
    <row r="1576" s="136" customFormat="1" x14ac:dyDescent="0.3"/>
    <row r="1577" s="136" customFormat="1" x14ac:dyDescent="0.3"/>
    <row r="1578" s="136" customFormat="1" x14ac:dyDescent="0.3"/>
    <row r="1579" s="136" customFormat="1" x14ac:dyDescent="0.3"/>
    <row r="1580" s="136" customFormat="1" x14ac:dyDescent="0.3"/>
    <row r="1581" s="136" customFormat="1" x14ac:dyDescent="0.3"/>
    <row r="1582" s="136" customFormat="1" x14ac:dyDescent="0.3"/>
    <row r="1583" s="136" customFormat="1" x14ac:dyDescent="0.3"/>
    <row r="1584" s="136" customFormat="1" x14ac:dyDescent="0.3"/>
    <row r="1585" s="136" customFormat="1" x14ac:dyDescent="0.3"/>
    <row r="1586" s="136" customFormat="1" x14ac:dyDescent="0.3"/>
    <row r="1587" s="136" customFormat="1" x14ac:dyDescent="0.3"/>
    <row r="1588" s="136" customFormat="1" x14ac:dyDescent="0.3"/>
    <row r="1589" s="136" customFormat="1" x14ac:dyDescent="0.3"/>
    <row r="1590" s="136" customFormat="1" x14ac:dyDescent="0.3"/>
    <row r="1591" s="136" customFormat="1" x14ac:dyDescent="0.3"/>
    <row r="1592" s="136" customFormat="1" x14ac:dyDescent="0.3"/>
    <row r="1593" s="136" customFormat="1" x14ac:dyDescent="0.3"/>
    <row r="1594" s="136" customFormat="1" x14ac:dyDescent="0.3"/>
    <row r="1595" s="136" customFormat="1" x14ac:dyDescent="0.3"/>
    <row r="1596" s="136" customFormat="1" x14ac:dyDescent="0.3"/>
    <row r="1597" s="136" customFormat="1" x14ac:dyDescent="0.3"/>
    <row r="1598" s="136" customFormat="1" x14ac:dyDescent="0.3"/>
    <row r="1599" s="136" customFormat="1" x14ac:dyDescent="0.3"/>
    <row r="1600" s="136" customFormat="1" x14ac:dyDescent="0.3"/>
    <row r="1601" s="136" customFormat="1" x14ac:dyDescent="0.3"/>
    <row r="1602" s="136" customFormat="1" x14ac:dyDescent="0.3"/>
    <row r="1603" s="136" customFormat="1" x14ac:dyDescent="0.3"/>
    <row r="1604" s="136" customFormat="1" x14ac:dyDescent="0.3"/>
    <row r="1605" s="136" customFormat="1" x14ac:dyDescent="0.3"/>
    <row r="1606" s="136" customFormat="1" x14ac:dyDescent="0.3"/>
    <row r="1607" s="136" customFormat="1" x14ac:dyDescent="0.3"/>
    <row r="1608" s="136" customFormat="1" x14ac:dyDescent="0.3"/>
    <row r="1609" s="136" customFormat="1" x14ac:dyDescent="0.3"/>
    <row r="1610" s="136" customFormat="1" x14ac:dyDescent="0.3"/>
    <row r="1611" s="136" customFormat="1" x14ac:dyDescent="0.3"/>
    <row r="1612" s="136" customFormat="1" x14ac:dyDescent="0.3"/>
    <row r="1613" s="136" customFormat="1" x14ac:dyDescent="0.3"/>
    <row r="1614" s="136" customFormat="1" x14ac:dyDescent="0.3"/>
    <row r="1615" s="136" customFormat="1" x14ac:dyDescent="0.3"/>
    <row r="1616" s="136" customFormat="1" x14ac:dyDescent="0.3"/>
    <row r="1617" s="136" customFormat="1" x14ac:dyDescent="0.3"/>
    <row r="1618" s="136" customFormat="1" x14ac:dyDescent="0.3"/>
    <row r="1619" s="136" customFormat="1" x14ac:dyDescent="0.3"/>
    <row r="1620" s="136" customFormat="1" x14ac:dyDescent="0.3"/>
    <row r="1621" s="136" customFormat="1" x14ac:dyDescent="0.3"/>
    <row r="1622" s="136" customFormat="1" x14ac:dyDescent="0.3"/>
    <row r="1623" s="136" customFormat="1" x14ac:dyDescent="0.3"/>
    <row r="1624" s="136" customFormat="1" x14ac:dyDescent="0.3"/>
    <row r="1625" s="136" customFormat="1" x14ac:dyDescent="0.3"/>
    <row r="1626" s="136" customFormat="1" x14ac:dyDescent="0.3"/>
    <row r="1627" s="136" customFormat="1" x14ac:dyDescent="0.3"/>
    <row r="1628" s="136" customFormat="1" x14ac:dyDescent="0.3"/>
    <row r="1629" s="136" customFormat="1" x14ac:dyDescent="0.3"/>
    <row r="1630" s="136" customFormat="1" x14ac:dyDescent="0.3"/>
    <row r="1631" s="136" customFormat="1" x14ac:dyDescent="0.3"/>
    <row r="1632" s="136" customFormat="1" x14ac:dyDescent="0.3"/>
    <row r="1633" s="136" customFormat="1" x14ac:dyDescent="0.3"/>
    <row r="1634" s="136" customFormat="1" x14ac:dyDescent="0.3"/>
    <row r="1635" s="136" customFormat="1" x14ac:dyDescent="0.3"/>
    <row r="1636" s="136" customFormat="1" x14ac:dyDescent="0.3"/>
    <row r="1637" s="136" customFormat="1" x14ac:dyDescent="0.3"/>
    <row r="1638" s="136" customFormat="1" x14ac:dyDescent="0.3"/>
    <row r="1639" s="136" customFormat="1" x14ac:dyDescent="0.3"/>
    <row r="1640" s="136" customFormat="1" x14ac:dyDescent="0.3"/>
    <row r="1641" s="136" customFormat="1" x14ac:dyDescent="0.3"/>
    <row r="1642" s="136" customFormat="1" x14ac:dyDescent="0.3"/>
    <row r="1643" s="136" customFormat="1" x14ac:dyDescent="0.3"/>
    <row r="1644" s="136" customFormat="1" x14ac:dyDescent="0.3"/>
    <row r="1645" s="136" customFormat="1" x14ac:dyDescent="0.3"/>
    <row r="1646" s="136" customFormat="1" x14ac:dyDescent="0.3"/>
    <row r="1647" s="136" customFormat="1" x14ac:dyDescent="0.3"/>
    <row r="1648" s="136" customFormat="1" x14ac:dyDescent="0.3"/>
    <row r="1649" s="136" customFormat="1" x14ac:dyDescent="0.3"/>
    <row r="1650" s="136" customFormat="1" x14ac:dyDescent="0.3"/>
    <row r="1651" s="136" customFormat="1" x14ac:dyDescent="0.3"/>
    <row r="1652" s="136" customFormat="1" x14ac:dyDescent="0.3"/>
    <row r="1653" s="136" customFormat="1" x14ac:dyDescent="0.3"/>
    <row r="1654" s="136" customFormat="1" x14ac:dyDescent="0.3"/>
    <row r="1655" s="136" customFormat="1" x14ac:dyDescent="0.3"/>
    <row r="1656" s="136" customFormat="1" x14ac:dyDescent="0.3"/>
    <row r="1657" s="136" customFormat="1" x14ac:dyDescent="0.3"/>
    <row r="1658" s="136" customFormat="1" x14ac:dyDescent="0.3"/>
    <row r="1659" s="136" customFormat="1" x14ac:dyDescent="0.3"/>
    <row r="1660" s="136" customFormat="1" x14ac:dyDescent="0.3"/>
    <row r="1661" s="136" customFormat="1" x14ac:dyDescent="0.3"/>
    <row r="1662" s="136" customFormat="1" x14ac:dyDescent="0.3"/>
    <row r="1663" s="136" customFormat="1" x14ac:dyDescent="0.3"/>
    <row r="1664" s="136" customFormat="1" x14ac:dyDescent="0.3"/>
    <row r="1665" s="136" customFormat="1" x14ac:dyDescent="0.3"/>
    <row r="1666" s="136" customFormat="1" x14ac:dyDescent="0.3"/>
    <row r="1667" s="136" customFormat="1" x14ac:dyDescent="0.3"/>
    <row r="1668" s="136" customFormat="1" x14ac:dyDescent="0.3"/>
    <row r="1669" s="136" customFormat="1" x14ac:dyDescent="0.3"/>
    <row r="1670" s="136" customFormat="1" x14ac:dyDescent="0.3"/>
    <row r="1671" s="136" customFormat="1" x14ac:dyDescent="0.3"/>
    <row r="1672" s="136" customFormat="1" x14ac:dyDescent="0.3"/>
    <row r="1673" s="136" customFormat="1" x14ac:dyDescent="0.3"/>
    <row r="1674" s="136" customFormat="1" x14ac:dyDescent="0.3"/>
    <row r="1675" s="136" customFormat="1" x14ac:dyDescent="0.3"/>
    <row r="1676" s="136" customFormat="1" x14ac:dyDescent="0.3"/>
    <row r="1677" s="136" customFormat="1" x14ac:dyDescent="0.3"/>
    <row r="1678" s="136" customFormat="1" x14ac:dyDescent="0.3"/>
    <row r="1679" s="136" customFormat="1" x14ac:dyDescent="0.3"/>
    <row r="1680" s="136" customFormat="1" x14ac:dyDescent="0.3"/>
    <row r="1681" s="136" customFormat="1" x14ac:dyDescent="0.3"/>
    <row r="1682" s="136" customFormat="1" x14ac:dyDescent="0.3"/>
    <row r="1683" s="136" customFormat="1" x14ac:dyDescent="0.3"/>
    <row r="1684" s="136" customFormat="1" x14ac:dyDescent="0.3"/>
    <row r="1685" s="136" customFormat="1" x14ac:dyDescent="0.3"/>
    <row r="1686" s="136" customFormat="1" x14ac:dyDescent="0.3"/>
    <row r="1687" s="136" customFormat="1" x14ac:dyDescent="0.3"/>
    <row r="1688" s="136" customFormat="1" x14ac:dyDescent="0.3"/>
    <row r="1689" s="136" customFormat="1" x14ac:dyDescent="0.3"/>
    <row r="1690" s="136" customFormat="1" x14ac:dyDescent="0.3"/>
    <row r="1691" s="136" customFormat="1" x14ac:dyDescent="0.3"/>
    <row r="1692" s="136" customFormat="1" x14ac:dyDescent="0.3"/>
    <row r="1693" s="136" customFormat="1" x14ac:dyDescent="0.3"/>
    <row r="1694" s="136" customFormat="1" x14ac:dyDescent="0.3"/>
    <row r="1695" s="136" customFormat="1" x14ac:dyDescent="0.3"/>
    <row r="1696" s="136" customFormat="1" x14ac:dyDescent="0.3"/>
    <row r="1697" s="136" customFormat="1" x14ac:dyDescent="0.3"/>
    <row r="1698" s="136" customFormat="1" x14ac:dyDescent="0.3"/>
    <row r="1699" s="136" customFormat="1" x14ac:dyDescent="0.3"/>
    <row r="1700" s="136" customFormat="1" x14ac:dyDescent="0.3"/>
    <row r="1701" s="136" customFormat="1" x14ac:dyDescent="0.3"/>
    <row r="1702" s="136" customFormat="1" x14ac:dyDescent="0.3"/>
    <row r="1703" s="136" customFormat="1" x14ac:dyDescent="0.3"/>
    <row r="1704" s="136" customFormat="1" x14ac:dyDescent="0.3"/>
    <row r="1705" s="136" customFormat="1" x14ac:dyDescent="0.3"/>
    <row r="1706" s="136" customFormat="1" x14ac:dyDescent="0.3"/>
    <row r="1707" s="136" customFormat="1" x14ac:dyDescent="0.3"/>
    <row r="1708" s="136" customFormat="1" x14ac:dyDescent="0.3"/>
    <row r="1709" s="136" customFormat="1" x14ac:dyDescent="0.3"/>
    <row r="1710" s="136" customFormat="1" x14ac:dyDescent="0.3"/>
    <row r="1711" s="136" customFormat="1" x14ac:dyDescent="0.3"/>
    <row r="1712" s="136" customFormat="1" x14ac:dyDescent="0.3"/>
    <row r="1713" s="136" customFormat="1" x14ac:dyDescent="0.3"/>
    <row r="1714" s="136" customFormat="1" x14ac:dyDescent="0.3"/>
    <row r="1715" s="136" customFormat="1" x14ac:dyDescent="0.3"/>
    <row r="1716" s="136" customFormat="1" x14ac:dyDescent="0.3"/>
    <row r="1717" s="136" customFormat="1" x14ac:dyDescent="0.3"/>
    <row r="1718" s="136" customFormat="1" x14ac:dyDescent="0.3"/>
    <row r="1719" s="136" customFormat="1" x14ac:dyDescent="0.3"/>
    <row r="1720" s="136" customFormat="1" x14ac:dyDescent="0.3"/>
    <row r="1721" s="136" customFormat="1" x14ac:dyDescent="0.3"/>
    <row r="1722" s="136" customFormat="1" x14ac:dyDescent="0.3"/>
    <row r="1723" s="136" customFormat="1" x14ac:dyDescent="0.3"/>
    <row r="1724" s="136" customFormat="1" x14ac:dyDescent="0.3"/>
    <row r="1725" s="136" customFormat="1" x14ac:dyDescent="0.3"/>
    <row r="1726" s="136" customFormat="1" x14ac:dyDescent="0.3"/>
    <row r="1727" s="136" customFormat="1" x14ac:dyDescent="0.3"/>
    <row r="1728" s="136" customFormat="1" x14ac:dyDescent="0.3"/>
    <row r="1729" s="136" customFormat="1" x14ac:dyDescent="0.3"/>
    <row r="1730" s="136" customFormat="1" x14ac:dyDescent="0.3"/>
    <row r="1731" s="136" customFormat="1" x14ac:dyDescent="0.3"/>
    <row r="1732" s="136" customFormat="1" x14ac:dyDescent="0.3"/>
    <row r="1733" s="136" customFormat="1" x14ac:dyDescent="0.3"/>
    <row r="1734" s="136" customFormat="1" x14ac:dyDescent="0.3"/>
    <row r="1735" s="136" customFormat="1" x14ac:dyDescent="0.3"/>
    <row r="1736" s="136" customFormat="1" x14ac:dyDescent="0.3"/>
    <row r="1737" s="136" customFormat="1" x14ac:dyDescent="0.3"/>
    <row r="1738" s="136" customFormat="1" x14ac:dyDescent="0.3"/>
    <row r="1739" s="136" customFormat="1" x14ac:dyDescent="0.3"/>
    <row r="1740" s="136" customFormat="1" x14ac:dyDescent="0.3"/>
    <row r="1741" s="136" customFormat="1" x14ac:dyDescent="0.3"/>
    <row r="1742" s="136" customFormat="1" x14ac:dyDescent="0.3"/>
    <row r="1743" s="136" customFormat="1" x14ac:dyDescent="0.3"/>
    <row r="1744" s="136" customFormat="1" x14ac:dyDescent="0.3"/>
    <row r="1745" s="136" customFormat="1" x14ac:dyDescent="0.3"/>
    <row r="1746" s="136" customFormat="1" x14ac:dyDescent="0.3"/>
    <row r="1747" s="136" customFormat="1" x14ac:dyDescent="0.3"/>
    <row r="1748" s="136" customFormat="1" x14ac:dyDescent="0.3"/>
    <row r="1749" s="136" customFormat="1" x14ac:dyDescent="0.3"/>
    <row r="1750" s="136" customFormat="1" x14ac:dyDescent="0.3"/>
    <row r="1751" s="136" customFormat="1" x14ac:dyDescent="0.3"/>
    <row r="1752" s="136" customFormat="1" x14ac:dyDescent="0.3"/>
    <row r="1753" s="136" customFormat="1" x14ac:dyDescent="0.3"/>
    <row r="1754" s="136" customFormat="1" x14ac:dyDescent="0.3"/>
    <row r="1755" s="136" customFormat="1" x14ac:dyDescent="0.3"/>
    <row r="1756" s="136" customFormat="1" x14ac:dyDescent="0.3"/>
    <row r="1757" s="136" customFormat="1" x14ac:dyDescent="0.3"/>
    <row r="1758" s="136" customFormat="1" x14ac:dyDescent="0.3"/>
    <row r="1759" s="136" customFormat="1" x14ac:dyDescent="0.3"/>
    <row r="1760" s="136" customFormat="1" x14ac:dyDescent="0.3"/>
    <row r="1761" s="136" customFormat="1" x14ac:dyDescent="0.3"/>
    <row r="1762" s="136" customFormat="1" x14ac:dyDescent="0.3"/>
    <row r="1763" s="136" customFormat="1" x14ac:dyDescent="0.3"/>
    <row r="1764" s="136" customFormat="1" x14ac:dyDescent="0.3"/>
    <row r="1765" s="136" customFormat="1" x14ac:dyDescent="0.3"/>
    <row r="1766" s="136" customFormat="1" x14ac:dyDescent="0.3"/>
    <row r="1767" s="136" customFormat="1" x14ac:dyDescent="0.3"/>
    <row r="1768" s="136" customFormat="1" x14ac:dyDescent="0.3"/>
    <row r="1769" s="136" customFormat="1" x14ac:dyDescent="0.3"/>
    <row r="1770" s="136" customFormat="1" x14ac:dyDescent="0.3"/>
    <row r="1771" s="136" customFormat="1" x14ac:dyDescent="0.3"/>
    <row r="1772" s="136" customFormat="1" x14ac:dyDescent="0.3"/>
    <row r="1773" s="136" customFormat="1" x14ac:dyDescent="0.3"/>
    <row r="1774" s="136" customFormat="1" x14ac:dyDescent="0.3"/>
    <row r="1775" s="136" customFormat="1" x14ac:dyDescent="0.3"/>
    <row r="1776" s="136" customFormat="1" x14ac:dyDescent="0.3"/>
    <row r="1777" s="136" customFormat="1" x14ac:dyDescent="0.3"/>
    <row r="1778" s="136" customFormat="1" x14ac:dyDescent="0.3"/>
    <row r="1779" s="136" customFormat="1" x14ac:dyDescent="0.3"/>
    <row r="1780" s="136" customFormat="1" x14ac:dyDescent="0.3"/>
    <row r="1781" s="136" customFormat="1" x14ac:dyDescent="0.3"/>
    <row r="1782" s="136" customFormat="1" x14ac:dyDescent="0.3"/>
    <row r="1783" s="136" customFormat="1" x14ac:dyDescent="0.3"/>
    <row r="1784" s="136" customFormat="1" x14ac:dyDescent="0.3"/>
    <row r="1785" s="136" customFormat="1" x14ac:dyDescent="0.3"/>
    <row r="1786" s="136" customFormat="1" x14ac:dyDescent="0.3"/>
    <row r="1787" s="136" customFormat="1" x14ac:dyDescent="0.3"/>
    <row r="1788" s="136" customFormat="1" x14ac:dyDescent="0.3"/>
    <row r="1789" s="136" customFormat="1" x14ac:dyDescent="0.3"/>
    <row r="1790" s="136" customFormat="1" x14ac:dyDescent="0.3"/>
    <row r="1791" s="136" customFormat="1" x14ac:dyDescent="0.3"/>
    <row r="1792" s="136" customFormat="1" x14ac:dyDescent="0.3"/>
    <row r="1793" s="136" customFormat="1" x14ac:dyDescent="0.3"/>
    <row r="1794" s="136" customFormat="1" x14ac:dyDescent="0.3"/>
    <row r="1795" s="136" customFormat="1" x14ac:dyDescent="0.3"/>
    <row r="1796" s="136" customFormat="1" x14ac:dyDescent="0.3"/>
    <row r="1797" s="136" customFormat="1" x14ac:dyDescent="0.3"/>
    <row r="1798" s="136" customFormat="1" x14ac:dyDescent="0.3"/>
    <row r="1799" s="136" customFormat="1" x14ac:dyDescent="0.3"/>
    <row r="1800" s="136" customFormat="1" x14ac:dyDescent="0.3"/>
    <row r="1801" s="136" customFormat="1" x14ac:dyDescent="0.3"/>
    <row r="1802" s="136" customFormat="1" x14ac:dyDescent="0.3"/>
    <row r="1803" s="136" customFormat="1" x14ac:dyDescent="0.3"/>
    <row r="1804" s="136" customFormat="1" x14ac:dyDescent="0.3"/>
    <row r="1805" s="136" customFormat="1" x14ac:dyDescent="0.3"/>
    <row r="1806" s="136" customFormat="1" x14ac:dyDescent="0.3"/>
    <row r="1807" s="136" customFormat="1" x14ac:dyDescent="0.3"/>
    <row r="1808" s="136" customFormat="1" x14ac:dyDescent="0.3"/>
    <row r="1809" s="136" customFormat="1" x14ac:dyDescent="0.3"/>
    <row r="1810" s="136" customFormat="1" x14ac:dyDescent="0.3"/>
    <row r="1811" s="136" customFormat="1" x14ac:dyDescent="0.3"/>
    <row r="1812" s="136" customFormat="1" x14ac:dyDescent="0.3"/>
    <row r="1813" s="136" customFormat="1" x14ac:dyDescent="0.3"/>
    <row r="1814" s="136" customFormat="1" x14ac:dyDescent="0.3"/>
    <row r="1815" s="136" customFormat="1" x14ac:dyDescent="0.3"/>
    <row r="1816" s="136" customFormat="1" x14ac:dyDescent="0.3"/>
    <row r="1817" s="136" customFormat="1" x14ac:dyDescent="0.3"/>
    <row r="1818" s="136" customFormat="1" x14ac:dyDescent="0.3"/>
    <row r="1819" s="136" customFormat="1" x14ac:dyDescent="0.3"/>
    <row r="1820" s="136" customFormat="1" x14ac:dyDescent="0.3"/>
    <row r="1821" s="136" customFormat="1" x14ac:dyDescent="0.3"/>
    <row r="1822" s="136" customFormat="1" x14ac:dyDescent="0.3"/>
    <row r="1823" s="136" customFormat="1" x14ac:dyDescent="0.3"/>
    <row r="1824" s="136" customFormat="1" x14ac:dyDescent="0.3"/>
    <row r="1825" s="136" customFormat="1" x14ac:dyDescent="0.3"/>
    <row r="1826" s="136" customFormat="1" x14ac:dyDescent="0.3"/>
    <row r="1827" s="136" customFormat="1" x14ac:dyDescent="0.3"/>
    <row r="1828" s="136" customFormat="1" x14ac:dyDescent="0.3"/>
    <row r="1829" s="136" customFormat="1" x14ac:dyDescent="0.3"/>
    <row r="1830" s="136" customFormat="1" x14ac:dyDescent="0.3"/>
    <row r="1831" s="136" customFormat="1" x14ac:dyDescent="0.3"/>
    <row r="1832" s="136" customFormat="1" x14ac:dyDescent="0.3"/>
    <row r="1833" s="136" customFormat="1" x14ac:dyDescent="0.3"/>
    <row r="1834" s="136" customFormat="1" x14ac:dyDescent="0.3"/>
    <row r="1835" s="136" customFormat="1" x14ac:dyDescent="0.3"/>
    <row r="1836" s="136" customFormat="1" x14ac:dyDescent="0.3"/>
    <row r="1837" s="136" customFormat="1" x14ac:dyDescent="0.3"/>
    <row r="1838" s="136" customFormat="1" x14ac:dyDescent="0.3"/>
    <row r="1839" s="136" customFormat="1" x14ac:dyDescent="0.3"/>
    <row r="1840" s="136" customFormat="1" x14ac:dyDescent="0.3"/>
    <row r="1841" s="136" customFormat="1" x14ac:dyDescent="0.3"/>
    <row r="1842" s="136" customFormat="1" x14ac:dyDescent="0.3"/>
    <row r="1843" s="136" customFormat="1" x14ac:dyDescent="0.3"/>
    <row r="1844" s="136" customFormat="1" x14ac:dyDescent="0.3"/>
    <row r="1845" s="136" customFormat="1" x14ac:dyDescent="0.3"/>
    <row r="1846" s="136" customFormat="1" x14ac:dyDescent="0.3"/>
    <row r="1847" s="136" customFormat="1" x14ac:dyDescent="0.3"/>
    <row r="1848" s="136" customFormat="1" x14ac:dyDescent="0.3"/>
    <row r="1849" s="136" customFormat="1" x14ac:dyDescent="0.3"/>
    <row r="1850" s="136" customFormat="1" x14ac:dyDescent="0.3"/>
    <row r="1851" s="136" customFormat="1" x14ac:dyDescent="0.3"/>
    <row r="1852" s="136" customFormat="1" x14ac:dyDescent="0.3"/>
    <row r="1853" s="136" customFormat="1" x14ac:dyDescent="0.3"/>
    <row r="1854" s="136" customFormat="1" x14ac:dyDescent="0.3"/>
    <row r="1855" s="136" customFormat="1" x14ac:dyDescent="0.3"/>
    <row r="1856" s="136" customFormat="1" x14ac:dyDescent="0.3"/>
    <row r="1857" s="136" customFormat="1" x14ac:dyDescent="0.3"/>
    <row r="1858" s="136" customFormat="1" x14ac:dyDescent="0.3"/>
    <row r="1859" s="136" customFormat="1" x14ac:dyDescent="0.3"/>
    <row r="1860" s="136" customFormat="1" x14ac:dyDescent="0.3"/>
    <row r="1861" s="136" customFormat="1" x14ac:dyDescent="0.3"/>
    <row r="1862" s="136" customFormat="1" x14ac:dyDescent="0.3"/>
    <row r="1863" s="136" customFormat="1" x14ac:dyDescent="0.3"/>
    <row r="1864" s="136" customFormat="1" x14ac:dyDescent="0.3"/>
    <row r="1865" s="136" customFormat="1" x14ac:dyDescent="0.3"/>
    <row r="1866" s="136" customFormat="1" x14ac:dyDescent="0.3"/>
    <row r="1867" s="136" customFormat="1" x14ac:dyDescent="0.3"/>
    <row r="1868" s="136" customFormat="1" x14ac:dyDescent="0.3"/>
    <row r="1869" s="136" customFormat="1" x14ac:dyDescent="0.3"/>
    <row r="1870" s="136" customFormat="1" x14ac:dyDescent="0.3"/>
    <row r="1871" s="136" customFormat="1" x14ac:dyDescent="0.3"/>
    <row r="1872" s="136" customFormat="1" x14ac:dyDescent="0.3"/>
    <row r="1873" s="136" customFormat="1" x14ac:dyDescent="0.3"/>
    <row r="1874" s="136" customFormat="1" x14ac:dyDescent="0.3"/>
    <row r="1875" s="136" customFormat="1" x14ac:dyDescent="0.3"/>
    <row r="1876" s="136" customFormat="1" x14ac:dyDescent="0.3"/>
    <row r="1877" s="136" customFormat="1" x14ac:dyDescent="0.3"/>
    <row r="1878" s="136" customFormat="1" x14ac:dyDescent="0.3"/>
    <row r="1879" s="136" customFormat="1" x14ac:dyDescent="0.3"/>
    <row r="1880" s="136" customFormat="1" x14ac:dyDescent="0.3"/>
    <row r="1881" s="136" customFormat="1" x14ac:dyDescent="0.3"/>
    <row r="1882" s="136" customFormat="1" x14ac:dyDescent="0.3"/>
    <row r="1883" s="136" customFormat="1" x14ac:dyDescent="0.3"/>
    <row r="1884" s="136" customFormat="1" x14ac:dyDescent="0.3"/>
    <row r="1885" s="136" customFormat="1" x14ac:dyDescent="0.3"/>
    <row r="1886" s="136" customFormat="1" x14ac:dyDescent="0.3"/>
    <row r="1887" s="136" customFormat="1" x14ac:dyDescent="0.3"/>
    <row r="1888" s="136" customFormat="1" x14ac:dyDescent="0.3"/>
    <row r="1889" s="136" customFormat="1" x14ac:dyDescent="0.3"/>
    <row r="1890" s="136" customFormat="1" x14ac:dyDescent="0.3"/>
    <row r="1891" s="136" customFormat="1" x14ac:dyDescent="0.3"/>
    <row r="1892" s="136" customFormat="1" x14ac:dyDescent="0.3"/>
    <row r="1893" s="136" customFormat="1" x14ac:dyDescent="0.3"/>
    <row r="1894" s="136" customFormat="1" x14ac:dyDescent="0.3"/>
    <row r="1895" s="136" customFormat="1" x14ac:dyDescent="0.3"/>
    <row r="1896" s="136" customFormat="1" x14ac:dyDescent="0.3"/>
    <row r="1897" s="136" customFormat="1" x14ac:dyDescent="0.3"/>
    <row r="1898" s="136" customFormat="1" x14ac:dyDescent="0.3"/>
    <row r="1899" s="136" customFormat="1" x14ac:dyDescent="0.3"/>
    <row r="1900" s="136" customFormat="1" x14ac:dyDescent="0.3"/>
    <row r="1901" s="136" customFormat="1" x14ac:dyDescent="0.3"/>
    <row r="1902" s="136" customFormat="1" x14ac:dyDescent="0.3"/>
    <row r="1903" s="136" customFormat="1" x14ac:dyDescent="0.3"/>
    <row r="1904" s="136" customFormat="1" x14ac:dyDescent="0.3"/>
    <row r="1905" s="136" customFormat="1" x14ac:dyDescent="0.3"/>
    <row r="1906" s="136" customFormat="1" x14ac:dyDescent="0.3"/>
    <row r="1907" s="136" customFormat="1" x14ac:dyDescent="0.3"/>
    <row r="1908" s="136" customFormat="1" x14ac:dyDescent="0.3"/>
    <row r="1909" s="136" customFormat="1" x14ac:dyDescent="0.3"/>
    <row r="1910" s="136" customFormat="1" x14ac:dyDescent="0.3"/>
    <row r="1911" s="136" customFormat="1" x14ac:dyDescent="0.3"/>
    <row r="1912" s="136" customFormat="1" x14ac:dyDescent="0.3"/>
    <row r="1913" s="136" customFormat="1" x14ac:dyDescent="0.3"/>
    <row r="1914" s="136" customFormat="1" x14ac:dyDescent="0.3"/>
    <row r="1915" s="136" customFormat="1" x14ac:dyDescent="0.3"/>
    <row r="1916" s="136" customFormat="1" x14ac:dyDescent="0.3"/>
    <row r="1917" s="136" customFormat="1" x14ac:dyDescent="0.3"/>
    <row r="1918" s="136" customFormat="1" x14ac:dyDescent="0.3"/>
    <row r="1919" s="136" customFormat="1" x14ac:dyDescent="0.3"/>
    <row r="1920" s="136" customFormat="1" x14ac:dyDescent="0.3"/>
    <row r="1921" s="136" customFormat="1" x14ac:dyDescent="0.3"/>
    <row r="1922" s="136" customFormat="1" x14ac:dyDescent="0.3"/>
    <row r="1923" s="136" customFormat="1" x14ac:dyDescent="0.3"/>
    <row r="1924" s="136" customFormat="1" x14ac:dyDescent="0.3"/>
    <row r="1925" s="136" customFormat="1" x14ac:dyDescent="0.3"/>
    <row r="1926" s="136" customFormat="1" x14ac:dyDescent="0.3"/>
    <row r="1927" s="136" customFormat="1" x14ac:dyDescent="0.3"/>
    <row r="1928" s="136" customFormat="1" x14ac:dyDescent="0.3"/>
    <row r="1929" s="136" customFormat="1" x14ac:dyDescent="0.3"/>
    <row r="1930" s="136" customFormat="1" x14ac:dyDescent="0.3"/>
    <row r="1931" s="136" customFormat="1" x14ac:dyDescent="0.3"/>
    <row r="1932" s="136" customFormat="1" x14ac:dyDescent="0.3"/>
    <row r="1933" s="136" customFormat="1" x14ac:dyDescent="0.3"/>
    <row r="1934" s="136" customFormat="1" x14ac:dyDescent="0.3"/>
    <row r="1935" s="136" customFormat="1" x14ac:dyDescent="0.3"/>
    <row r="1936" s="136" customFormat="1" x14ac:dyDescent="0.3"/>
    <row r="1937" s="136" customFormat="1" x14ac:dyDescent="0.3"/>
    <row r="1938" s="136" customFormat="1" x14ac:dyDescent="0.3"/>
    <row r="1939" s="136" customFormat="1" x14ac:dyDescent="0.3"/>
    <row r="1940" s="136" customFormat="1" x14ac:dyDescent="0.3"/>
    <row r="1941" s="136" customFormat="1" x14ac:dyDescent="0.3"/>
    <row r="1942" s="136" customFormat="1" x14ac:dyDescent="0.3"/>
    <row r="1943" s="136" customFormat="1" x14ac:dyDescent="0.3"/>
    <row r="1944" s="136" customFormat="1" x14ac:dyDescent="0.3"/>
    <row r="1945" s="136" customFormat="1" x14ac:dyDescent="0.3"/>
    <row r="1946" s="136" customFormat="1" x14ac:dyDescent="0.3"/>
    <row r="1947" s="136" customFormat="1" x14ac:dyDescent="0.3"/>
    <row r="1948" s="136" customFormat="1" x14ac:dyDescent="0.3"/>
    <row r="1949" s="136" customFormat="1" x14ac:dyDescent="0.3"/>
    <row r="1950" s="136" customFormat="1" x14ac:dyDescent="0.3"/>
    <row r="1951" s="136" customFormat="1" x14ac:dyDescent="0.3"/>
    <row r="1952" s="136" customFormat="1" x14ac:dyDescent="0.3"/>
    <row r="1953" s="136" customFormat="1" x14ac:dyDescent="0.3"/>
    <row r="1954" s="136" customFormat="1" x14ac:dyDescent="0.3"/>
    <row r="1955" s="136" customFormat="1" x14ac:dyDescent="0.3"/>
    <row r="1956" s="136" customFormat="1" x14ac:dyDescent="0.3"/>
    <row r="1957" s="136" customFormat="1" x14ac:dyDescent="0.3"/>
    <row r="1958" s="136" customFormat="1" x14ac:dyDescent="0.3"/>
    <row r="1959" s="136" customFormat="1" x14ac:dyDescent="0.3"/>
    <row r="1960" s="136" customFormat="1" x14ac:dyDescent="0.3"/>
    <row r="1961" s="136" customFormat="1" x14ac:dyDescent="0.3"/>
    <row r="1962" s="136" customFormat="1" x14ac:dyDescent="0.3"/>
    <row r="1963" s="136" customFormat="1" x14ac:dyDescent="0.3"/>
    <row r="1964" s="136" customFormat="1" x14ac:dyDescent="0.3"/>
    <row r="1965" s="136" customFormat="1" x14ac:dyDescent="0.3"/>
    <row r="1966" s="136" customFormat="1" x14ac:dyDescent="0.3"/>
    <row r="1967" s="136" customFormat="1" x14ac:dyDescent="0.3"/>
    <row r="1968" s="136" customFormat="1" x14ac:dyDescent="0.3"/>
    <row r="1969" s="136" customFormat="1" x14ac:dyDescent="0.3"/>
    <row r="1970" s="136" customFormat="1" x14ac:dyDescent="0.3"/>
    <row r="1971" s="136" customFormat="1" x14ac:dyDescent="0.3"/>
    <row r="1972" s="136" customFormat="1" x14ac:dyDescent="0.3"/>
    <row r="1973" s="136" customFormat="1" x14ac:dyDescent="0.3"/>
    <row r="1974" s="136" customFormat="1" x14ac:dyDescent="0.3"/>
    <row r="1975" s="136" customFormat="1" x14ac:dyDescent="0.3"/>
    <row r="1976" s="136" customFormat="1" x14ac:dyDescent="0.3"/>
    <row r="1977" s="136" customFormat="1" x14ac:dyDescent="0.3"/>
    <row r="1978" s="136" customFormat="1" x14ac:dyDescent="0.3"/>
    <row r="1979" s="136" customFormat="1" x14ac:dyDescent="0.3"/>
    <row r="1980" s="136" customFormat="1" x14ac:dyDescent="0.3"/>
    <row r="1981" s="136" customFormat="1" x14ac:dyDescent="0.3"/>
    <row r="1982" s="136" customFormat="1" x14ac:dyDescent="0.3"/>
    <row r="1983" s="136" customFormat="1" x14ac:dyDescent="0.3"/>
    <row r="1984" s="136" customFormat="1" x14ac:dyDescent="0.3"/>
    <row r="1985" s="136" customFormat="1" x14ac:dyDescent="0.3"/>
    <row r="1986" s="136" customFormat="1" x14ac:dyDescent="0.3"/>
    <row r="1987" s="136" customFormat="1" x14ac:dyDescent="0.3"/>
    <row r="1988" s="136" customFormat="1" x14ac:dyDescent="0.3"/>
    <row r="1989" s="136" customFormat="1" x14ac:dyDescent="0.3"/>
    <row r="1990" s="136" customFormat="1" x14ac:dyDescent="0.3"/>
    <row r="1991" s="136" customFormat="1" x14ac:dyDescent="0.3"/>
    <row r="1992" s="136" customFormat="1" x14ac:dyDescent="0.3"/>
    <row r="1993" s="136" customFormat="1" x14ac:dyDescent="0.3"/>
    <row r="1994" s="136" customFormat="1" x14ac:dyDescent="0.3"/>
    <row r="1995" s="136" customFormat="1" x14ac:dyDescent="0.3"/>
    <row r="1996" s="136" customFormat="1" x14ac:dyDescent="0.3"/>
    <row r="1997" s="136" customFormat="1" x14ac:dyDescent="0.3"/>
    <row r="1998" s="136" customFormat="1" x14ac:dyDescent="0.3"/>
    <row r="1999" s="136" customFormat="1" x14ac:dyDescent="0.3"/>
    <row r="2000" s="136" customFormat="1" x14ac:dyDescent="0.3"/>
    <row r="2001" s="136" customFormat="1" x14ac:dyDescent="0.3"/>
    <row r="2002" s="136" customFormat="1" x14ac:dyDescent="0.3"/>
    <row r="2003" s="136" customFormat="1" x14ac:dyDescent="0.3"/>
    <row r="2004" s="136" customFormat="1" x14ac:dyDescent="0.3"/>
    <row r="2005" s="136" customFormat="1" x14ac:dyDescent="0.3"/>
    <row r="2006" s="136" customFormat="1" x14ac:dyDescent="0.3"/>
    <row r="2007" s="136" customFormat="1" x14ac:dyDescent="0.3"/>
    <row r="2008" s="136" customFormat="1" x14ac:dyDescent="0.3"/>
    <row r="2009" s="136" customFormat="1" x14ac:dyDescent="0.3"/>
    <row r="2010" s="136" customFormat="1" x14ac:dyDescent="0.3"/>
    <row r="2011" s="136" customFormat="1" x14ac:dyDescent="0.3"/>
    <row r="2012" s="136" customFormat="1" x14ac:dyDescent="0.3"/>
    <row r="2013" s="136" customFormat="1" x14ac:dyDescent="0.3"/>
    <row r="2014" s="136" customFormat="1" x14ac:dyDescent="0.3"/>
    <row r="2015" s="136" customFormat="1" x14ac:dyDescent="0.3"/>
    <row r="2016" s="136" customFormat="1" x14ac:dyDescent="0.3"/>
    <row r="2017" s="136" customFormat="1" x14ac:dyDescent="0.3"/>
    <row r="2018" s="136" customFormat="1" x14ac:dyDescent="0.3"/>
    <row r="2019" s="136" customFormat="1" x14ac:dyDescent="0.3"/>
    <row r="2020" s="136" customFormat="1" x14ac:dyDescent="0.3"/>
    <row r="2021" s="136" customFormat="1" x14ac:dyDescent="0.3"/>
    <row r="2022" s="136" customFormat="1" x14ac:dyDescent="0.3"/>
    <row r="2023" s="136" customFormat="1" x14ac:dyDescent="0.3"/>
    <row r="2024" s="136" customFormat="1" x14ac:dyDescent="0.3"/>
    <row r="2025" s="136" customFormat="1" x14ac:dyDescent="0.3"/>
    <row r="2026" s="136" customFormat="1" x14ac:dyDescent="0.3"/>
    <row r="2027" s="136" customFormat="1" x14ac:dyDescent="0.3"/>
    <row r="2028" s="136" customFormat="1" x14ac:dyDescent="0.3"/>
    <row r="2029" s="136" customFormat="1" x14ac:dyDescent="0.3"/>
    <row r="2030" s="136" customFormat="1" x14ac:dyDescent="0.3"/>
    <row r="2031" s="136" customFormat="1" x14ac:dyDescent="0.3"/>
    <row r="2032" s="136" customFormat="1" x14ac:dyDescent="0.3"/>
    <row r="2033" s="136" customFormat="1" x14ac:dyDescent="0.3"/>
    <row r="2034" s="136" customFormat="1" x14ac:dyDescent="0.3"/>
    <row r="2035" s="136" customFormat="1" x14ac:dyDescent="0.3"/>
    <row r="2036" s="136" customFormat="1" x14ac:dyDescent="0.3"/>
    <row r="2037" s="136" customFormat="1" x14ac:dyDescent="0.3"/>
    <row r="2038" s="136" customFormat="1" x14ac:dyDescent="0.3"/>
    <row r="2039" s="136" customFormat="1" x14ac:dyDescent="0.3"/>
    <row r="2040" s="136" customFormat="1" x14ac:dyDescent="0.3"/>
    <row r="2041" s="136" customFormat="1" x14ac:dyDescent="0.3"/>
    <row r="2042" s="136" customFormat="1" x14ac:dyDescent="0.3"/>
    <row r="2043" s="136" customFormat="1" x14ac:dyDescent="0.3"/>
    <row r="2044" s="136" customFormat="1" x14ac:dyDescent="0.3"/>
    <row r="2045" s="136" customFormat="1" x14ac:dyDescent="0.3"/>
    <row r="2046" s="136" customFormat="1" x14ac:dyDescent="0.3"/>
    <row r="2047" s="136" customFormat="1" x14ac:dyDescent="0.3"/>
    <row r="2048" s="136" customFormat="1" x14ac:dyDescent="0.3"/>
    <row r="2049" s="136" customFormat="1" x14ac:dyDescent="0.3"/>
    <row r="2050" s="136" customFormat="1" x14ac:dyDescent="0.3"/>
    <row r="2051" s="136" customFormat="1" x14ac:dyDescent="0.3"/>
    <row r="2052" s="136" customFormat="1" x14ac:dyDescent="0.3"/>
    <row r="2053" s="136" customFormat="1" x14ac:dyDescent="0.3"/>
    <row r="2054" s="136" customFormat="1" x14ac:dyDescent="0.3"/>
    <row r="2055" s="136" customFormat="1" x14ac:dyDescent="0.3"/>
    <row r="2056" s="136" customFormat="1" x14ac:dyDescent="0.3"/>
    <row r="2057" s="136" customFormat="1" x14ac:dyDescent="0.3"/>
    <row r="2058" s="136" customFormat="1" x14ac:dyDescent="0.3"/>
    <row r="2059" s="136" customFormat="1" x14ac:dyDescent="0.3"/>
    <row r="2060" s="136" customFormat="1" x14ac:dyDescent="0.3"/>
    <row r="2061" s="136" customFormat="1" x14ac:dyDescent="0.3"/>
    <row r="2062" s="136" customFormat="1" x14ac:dyDescent="0.3"/>
    <row r="2063" s="136" customFormat="1" x14ac:dyDescent="0.3"/>
    <row r="2064" s="136" customFormat="1" x14ac:dyDescent="0.3"/>
    <row r="2065" s="136" customFormat="1" x14ac:dyDescent="0.3"/>
    <row r="2066" s="136" customFormat="1" x14ac:dyDescent="0.3"/>
    <row r="2067" s="136" customFormat="1" x14ac:dyDescent="0.3"/>
    <row r="2068" s="136" customFormat="1" x14ac:dyDescent="0.3"/>
    <row r="2069" s="136" customFormat="1" x14ac:dyDescent="0.3"/>
    <row r="2070" s="136" customFormat="1" x14ac:dyDescent="0.3"/>
    <row r="2071" s="136" customFormat="1" x14ac:dyDescent="0.3"/>
    <row r="2072" s="136" customFormat="1" x14ac:dyDescent="0.3"/>
    <row r="2073" s="136" customFormat="1" x14ac:dyDescent="0.3"/>
    <row r="2074" s="136" customFormat="1" x14ac:dyDescent="0.3"/>
    <row r="2075" s="136" customFormat="1" x14ac:dyDescent="0.3"/>
    <row r="2076" s="136" customFormat="1" x14ac:dyDescent="0.3"/>
    <row r="2077" s="136" customFormat="1" x14ac:dyDescent="0.3"/>
    <row r="2078" s="136" customFormat="1" x14ac:dyDescent="0.3"/>
    <row r="2079" s="136" customFormat="1" x14ac:dyDescent="0.3"/>
    <row r="2080" s="136" customFormat="1" x14ac:dyDescent="0.3"/>
    <row r="2081" s="136" customFormat="1" x14ac:dyDescent="0.3"/>
    <row r="2082" s="136" customFormat="1" x14ac:dyDescent="0.3"/>
    <row r="2083" s="136" customFormat="1" x14ac:dyDescent="0.3"/>
    <row r="2084" s="136" customFormat="1" x14ac:dyDescent="0.3"/>
    <row r="2085" s="136" customFormat="1" x14ac:dyDescent="0.3"/>
    <row r="2086" s="136" customFormat="1" x14ac:dyDescent="0.3"/>
    <row r="2087" s="136" customFormat="1" x14ac:dyDescent="0.3"/>
    <row r="2088" s="136" customFormat="1" x14ac:dyDescent="0.3"/>
    <row r="2089" s="136" customFormat="1" x14ac:dyDescent="0.3"/>
    <row r="2090" s="136" customFormat="1" x14ac:dyDescent="0.3"/>
    <row r="2091" s="136" customFormat="1" x14ac:dyDescent="0.3"/>
    <row r="2092" s="136" customFormat="1" x14ac:dyDescent="0.3"/>
    <row r="2093" s="136" customFormat="1" x14ac:dyDescent="0.3"/>
    <row r="2094" s="136" customFormat="1" x14ac:dyDescent="0.3"/>
    <row r="2095" s="136" customFormat="1" x14ac:dyDescent="0.3"/>
    <row r="2096" s="136" customFormat="1" x14ac:dyDescent="0.3"/>
    <row r="2097" s="136" customFormat="1" x14ac:dyDescent="0.3"/>
    <row r="2098" s="136" customFormat="1" x14ac:dyDescent="0.3"/>
    <row r="2099" s="136" customFormat="1" x14ac:dyDescent="0.3"/>
    <row r="2100" s="136" customFormat="1" x14ac:dyDescent="0.3"/>
    <row r="2101" s="136" customFormat="1" x14ac:dyDescent="0.3"/>
    <row r="2102" s="136" customFormat="1" x14ac:dyDescent="0.3"/>
    <row r="2103" s="136" customFormat="1" x14ac:dyDescent="0.3"/>
    <row r="2104" s="136" customFormat="1" x14ac:dyDescent="0.3"/>
    <row r="2105" s="136" customFormat="1" x14ac:dyDescent="0.3"/>
    <row r="2106" s="136" customFormat="1" x14ac:dyDescent="0.3"/>
    <row r="2107" s="136" customFormat="1" x14ac:dyDescent="0.3"/>
    <row r="2108" s="136" customFormat="1" x14ac:dyDescent="0.3"/>
    <row r="2109" s="136" customFormat="1" x14ac:dyDescent="0.3"/>
    <row r="2110" s="136" customFormat="1" x14ac:dyDescent="0.3"/>
    <row r="2111" s="136" customFormat="1" x14ac:dyDescent="0.3"/>
    <row r="2112" s="136" customFormat="1" x14ac:dyDescent="0.3"/>
    <row r="2113" s="136" customFormat="1" x14ac:dyDescent="0.3"/>
    <row r="2114" s="136" customFormat="1" x14ac:dyDescent="0.3"/>
    <row r="2115" s="136" customFormat="1" x14ac:dyDescent="0.3"/>
    <row r="2116" s="136" customFormat="1" x14ac:dyDescent="0.3"/>
    <row r="2117" s="136" customFormat="1" x14ac:dyDescent="0.3"/>
    <row r="2118" s="136" customFormat="1" x14ac:dyDescent="0.3"/>
    <row r="2119" s="136" customFormat="1" x14ac:dyDescent="0.3"/>
    <row r="2120" s="136" customFormat="1" x14ac:dyDescent="0.3"/>
    <row r="2121" s="136" customFormat="1" x14ac:dyDescent="0.3"/>
    <row r="2122" s="136" customFormat="1" x14ac:dyDescent="0.3"/>
    <row r="2123" s="136" customFormat="1" x14ac:dyDescent="0.3"/>
    <row r="2124" s="136" customFormat="1" x14ac:dyDescent="0.3"/>
    <row r="2125" s="136" customFormat="1" x14ac:dyDescent="0.3"/>
    <row r="2126" s="136" customFormat="1" x14ac:dyDescent="0.3"/>
    <row r="2127" s="136" customFormat="1" x14ac:dyDescent="0.3"/>
    <row r="2128" s="136" customFormat="1" x14ac:dyDescent="0.3"/>
    <row r="2129" s="136" customFormat="1" x14ac:dyDescent="0.3"/>
    <row r="2130" s="136" customFormat="1" x14ac:dyDescent="0.3"/>
    <row r="2131" s="136" customFormat="1" x14ac:dyDescent="0.3"/>
    <row r="2132" s="136" customFormat="1" x14ac:dyDescent="0.3"/>
    <row r="2133" s="136" customFormat="1" x14ac:dyDescent="0.3"/>
    <row r="2134" s="136" customFormat="1" x14ac:dyDescent="0.3"/>
    <row r="2135" s="136" customFormat="1" x14ac:dyDescent="0.3"/>
    <row r="2136" s="136" customFormat="1" x14ac:dyDescent="0.3"/>
    <row r="2137" s="136" customFormat="1" x14ac:dyDescent="0.3"/>
    <row r="2138" s="136" customFormat="1" x14ac:dyDescent="0.3"/>
    <row r="2139" s="136" customFormat="1" x14ac:dyDescent="0.3"/>
    <row r="2140" s="136" customFormat="1" x14ac:dyDescent="0.3"/>
    <row r="2141" s="136" customFormat="1" x14ac:dyDescent="0.3"/>
    <row r="2142" s="136" customFormat="1" x14ac:dyDescent="0.3"/>
    <row r="2143" s="136" customFormat="1" x14ac:dyDescent="0.3"/>
    <row r="2144" s="136" customFormat="1" x14ac:dyDescent="0.3"/>
    <row r="2145" s="136" customFormat="1" x14ac:dyDescent="0.3"/>
    <row r="2146" s="136" customFormat="1" x14ac:dyDescent="0.3"/>
    <row r="2147" s="136" customFormat="1" x14ac:dyDescent="0.3"/>
    <row r="2148" s="136" customFormat="1" x14ac:dyDescent="0.3"/>
    <row r="2149" s="136" customFormat="1" x14ac:dyDescent="0.3"/>
    <row r="2150" s="136" customFormat="1" x14ac:dyDescent="0.3"/>
    <row r="2151" s="136" customFormat="1" x14ac:dyDescent="0.3"/>
    <row r="2152" s="136" customFormat="1" x14ac:dyDescent="0.3"/>
    <row r="2153" s="136" customFormat="1" x14ac:dyDescent="0.3"/>
    <row r="2154" s="136" customFormat="1" x14ac:dyDescent="0.3"/>
    <row r="2155" s="136" customFormat="1" x14ac:dyDescent="0.3"/>
    <row r="2156" s="136" customFormat="1" x14ac:dyDescent="0.3"/>
    <row r="2157" s="136" customFormat="1" x14ac:dyDescent="0.3"/>
    <row r="2158" s="136" customFormat="1" x14ac:dyDescent="0.3"/>
    <row r="2159" s="136" customFormat="1" x14ac:dyDescent="0.3"/>
    <row r="2160" s="136" customFormat="1" x14ac:dyDescent="0.3"/>
    <row r="2161" s="136" customFormat="1" x14ac:dyDescent="0.3"/>
    <row r="2162" s="136" customFormat="1" x14ac:dyDescent="0.3"/>
    <row r="2163" s="136" customFormat="1" x14ac:dyDescent="0.3"/>
    <row r="2164" s="136" customFormat="1" x14ac:dyDescent="0.3"/>
    <row r="2165" s="136" customFormat="1" x14ac:dyDescent="0.3"/>
    <row r="2166" s="136" customFormat="1" x14ac:dyDescent="0.3"/>
    <row r="2167" s="136" customFormat="1" x14ac:dyDescent="0.3"/>
    <row r="2168" s="136" customFormat="1" x14ac:dyDescent="0.3"/>
    <row r="2169" s="136" customFormat="1" x14ac:dyDescent="0.3"/>
    <row r="2170" s="136" customFormat="1" x14ac:dyDescent="0.3"/>
    <row r="2171" s="136" customFormat="1" x14ac:dyDescent="0.3"/>
    <row r="2172" s="136" customFormat="1" x14ac:dyDescent="0.3"/>
    <row r="2173" s="136" customFormat="1" x14ac:dyDescent="0.3"/>
    <row r="2174" s="136" customFormat="1" x14ac:dyDescent="0.3"/>
    <row r="2175" s="136" customFormat="1" x14ac:dyDescent="0.3"/>
    <row r="2176" s="136" customFormat="1" x14ac:dyDescent="0.3"/>
    <row r="2177" s="136" customFormat="1" x14ac:dyDescent="0.3"/>
    <row r="2178" s="136" customFormat="1" x14ac:dyDescent="0.3"/>
    <row r="2179" s="136" customFormat="1" x14ac:dyDescent="0.3"/>
    <row r="2180" s="136" customFormat="1" x14ac:dyDescent="0.3"/>
    <row r="2181" s="136" customFormat="1" x14ac:dyDescent="0.3"/>
    <row r="2182" s="136" customFormat="1" x14ac:dyDescent="0.3"/>
    <row r="2183" s="136" customFormat="1" x14ac:dyDescent="0.3"/>
    <row r="2184" s="136" customFormat="1" x14ac:dyDescent="0.3"/>
    <row r="2185" s="136" customFormat="1" x14ac:dyDescent="0.3"/>
    <row r="2186" s="136" customFormat="1" x14ac:dyDescent="0.3"/>
    <row r="2187" s="136" customFormat="1" x14ac:dyDescent="0.3"/>
    <row r="2188" s="136" customFormat="1" x14ac:dyDescent="0.3"/>
    <row r="2189" s="136" customFormat="1" x14ac:dyDescent="0.3"/>
    <row r="2190" s="136" customFormat="1" x14ac:dyDescent="0.3"/>
    <row r="2191" s="136" customFormat="1" x14ac:dyDescent="0.3"/>
    <row r="2192" s="136" customFormat="1" x14ac:dyDescent="0.3"/>
    <row r="2193" s="136" customFormat="1" x14ac:dyDescent="0.3"/>
    <row r="2194" s="136" customFormat="1" x14ac:dyDescent="0.3"/>
    <row r="2195" s="136" customFormat="1" x14ac:dyDescent="0.3"/>
    <row r="2196" s="136" customFormat="1" x14ac:dyDescent="0.3"/>
    <row r="2197" s="136" customFormat="1" x14ac:dyDescent="0.3"/>
    <row r="2198" s="136" customFormat="1" x14ac:dyDescent="0.3"/>
    <row r="2199" s="136" customFormat="1" x14ac:dyDescent="0.3"/>
    <row r="2200" s="136" customFormat="1" x14ac:dyDescent="0.3"/>
    <row r="2201" s="136" customFormat="1" x14ac:dyDescent="0.3"/>
    <row r="2202" s="136" customFormat="1" x14ac:dyDescent="0.3"/>
    <row r="2203" s="136" customFormat="1" x14ac:dyDescent="0.3"/>
    <row r="2204" s="136" customFormat="1" x14ac:dyDescent="0.3"/>
    <row r="2205" s="136" customFormat="1" x14ac:dyDescent="0.3"/>
    <row r="2206" s="136" customFormat="1" x14ac:dyDescent="0.3"/>
    <row r="2207" s="136" customFormat="1" x14ac:dyDescent="0.3"/>
    <row r="2208" s="136" customFormat="1" x14ac:dyDescent="0.3"/>
    <row r="2209" s="136" customFormat="1" x14ac:dyDescent="0.3"/>
    <row r="2210" s="136" customFormat="1" x14ac:dyDescent="0.3"/>
    <row r="2211" s="136" customFormat="1" x14ac:dyDescent="0.3"/>
    <row r="2212" s="136" customFormat="1" x14ac:dyDescent="0.3"/>
    <row r="2213" s="136" customFormat="1" x14ac:dyDescent="0.3"/>
    <row r="2214" s="136" customFormat="1" x14ac:dyDescent="0.3"/>
    <row r="2215" s="136" customFormat="1" x14ac:dyDescent="0.3"/>
    <row r="2216" s="136" customFormat="1" x14ac:dyDescent="0.3"/>
    <row r="2217" s="136" customFormat="1" x14ac:dyDescent="0.3"/>
    <row r="2218" s="136" customFormat="1" x14ac:dyDescent="0.3"/>
    <row r="2219" s="136" customFormat="1" x14ac:dyDescent="0.3"/>
    <row r="2220" s="136" customFormat="1" x14ac:dyDescent="0.3"/>
    <row r="2221" s="136" customFormat="1" x14ac:dyDescent="0.3"/>
    <row r="2222" s="136" customFormat="1" x14ac:dyDescent="0.3"/>
    <row r="2223" s="136" customFormat="1" x14ac:dyDescent="0.3"/>
    <row r="2224" s="136" customFormat="1" x14ac:dyDescent="0.3"/>
    <row r="2225" s="136" customFormat="1" x14ac:dyDescent="0.3"/>
    <row r="2226" s="136" customFormat="1" x14ac:dyDescent="0.3"/>
    <row r="2227" s="136" customFormat="1" x14ac:dyDescent="0.3"/>
    <row r="2228" s="136" customFormat="1" x14ac:dyDescent="0.3"/>
    <row r="2229" s="136" customFormat="1" x14ac:dyDescent="0.3"/>
    <row r="2230" s="136" customFormat="1" x14ac:dyDescent="0.3"/>
    <row r="2231" s="136" customFormat="1" x14ac:dyDescent="0.3"/>
    <row r="2232" s="136" customFormat="1" x14ac:dyDescent="0.3"/>
    <row r="2233" s="136" customFormat="1" x14ac:dyDescent="0.3"/>
    <row r="2234" s="136" customFormat="1" x14ac:dyDescent="0.3"/>
    <row r="2235" s="136" customFormat="1" x14ac:dyDescent="0.3"/>
    <row r="2236" s="136" customFormat="1" x14ac:dyDescent="0.3"/>
    <row r="2237" s="136" customFormat="1" x14ac:dyDescent="0.3"/>
    <row r="2238" s="136" customFormat="1" x14ac:dyDescent="0.3"/>
    <row r="2239" s="136" customFormat="1" x14ac:dyDescent="0.3"/>
    <row r="2240" s="136" customFormat="1" x14ac:dyDescent="0.3"/>
    <row r="2241" s="136" customFormat="1" x14ac:dyDescent="0.3"/>
    <row r="2242" s="136" customFormat="1" x14ac:dyDescent="0.3"/>
    <row r="2243" s="136" customFormat="1" x14ac:dyDescent="0.3"/>
    <row r="2244" s="136" customFormat="1" x14ac:dyDescent="0.3"/>
    <row r="2245" s="136" customFormat="1" x14ac:dyDescent="0.3"/>
    <row r="2246" s="136" customFormat="1" x14ac:dyDescent="0.3"/>
    <row r="2247" s="136" customFormat="1" x14ac:dyDescent="0.3"/>
    <row r="2248" s="136" customFormat="1" x14ac:dyDescent="0.3"/>
    <row r="2249" s="136" customFormat="1" x14ac:dyDescent="0.3"/>
    <row r="2250" s="136" customFormat="1" x14ac:dyDescent="0.3"/>
    <row r="2251" s="136" customFormat="1" x14ac:dyDescent="0.3"/>
    <row r="2252" s="136" customFormat="1" x14ac:dyDescent="0.3"/>
    <row r="2253" s="136" customFormat="1" x14ac:dyDescent="0.3"/>
    <row r="2254" s="136" customFormat="1" x14ac:dyDescent="0.3"/>
    <row r="2255" s="136" customFormat="1" x14ac:dyDescent="0.3"/>
    <row r="2256" s="136" customFormat="1" x14ac:dyDescent="0.3"/>
    <row r="2257" s="136" customFormat="1" x14ac:dyDescent="0.3"/>
    <row r="2258" s="136" customFormat="1" x14ac:dyDescent="0.3"/>
    <row r="2259" s="136" customFormat="1" x14ac:dyDescent="0.3"/>
    <row r="2260" s="136" customFormat="1" x14ac:dyDescent="0.3"/>
    <row r="2261" s="136" customFormat="1" x14ac:dyDescent="0.3"/>
    <row r="2262" s="136" customFormat="1" x14ac:dyDescent="0.3"/>
    <row r="2263" s="136" customFormat="1" x14ac:dyDescent="0.3"/>
    <row r="2264" s="136" customFormat="1" x14ac:dyDescent="0.3"/>
    <row r="2265" s="136" customFormat="1" x14ac:dyDescent="0.3"/>
    <row r="2266" s="136" customFormat="1" x14ac:dyDescent="0.3"/>
    <row r="2267" s="136" customFormat="1" x14ac:dyDescent="0.3"/>
    <row r="2268" s="136" customFormat="1" x14ac:dyDescent="0.3"/>
    <row r="2269" s="136" customFormat="1" x14ac:dyDescent="0.3"/>
    <row r="2270" s="136" customFormat="1" x14ac:dyDescent="0.3"/>
    <row r="2271" s="136" customFormat="1" x14ac:dyDescent="0.3"/>
    <row r="2272" s="136" customFormat="1" x14ac:dyDescent="0.3"/>
    <row r="2273" s="136" customFormat="1" x14ac:dyDescent="0.3"/>
    <row r="2274" s="136" customFormat="1" x14ac:dyDescent="0.3"/>
    <row r="2275" s="136" customFormat="1" x14ac:dyDescent="0.3"/>
    <row r="2276" s="136" customFormat="1" x14ac:dyDescent="0.3"/>
    <row r="2277" s="136" customFormat="1" x14ac:dyDescent="0.3"/>
    <row r="2278" s="136" customFormat="1" x14ac:dyDescent="0.3"/>
    <row r="2279" s="136" customFormat="1" x14ac:dyDescent="0.3"/>
    <row r="2280" s="136" customFormat="1" x14ac:dyDescent="0.3"/>
    <row r="2281" s="136" customFormat="1" x14ac:dyDescent="0.3"/>
    <row r="2282" s="136" customFormat="1" x14ac:dyDescent="0.3"/>
    <row r="2283" s="136" customFormat="1" x14ac:dyDescent="0.3"/>
    <row r="2284" s="136" customFormat="1" x14ac:dyDescent="0.3"/>
    <row r="2285" s="136" customFormat="1" x14ac:dyDescent="0.3"/>
    <row r="2286" s="136" customFormat="1" x14ac:dyDescent="0.3"/>
    <row r="2287" s="136" customFormat="1" x14ac:dyDescent="0.3"/>
    <row r="2288" s="136" customFormat="1" x14ac:dyDescent="0.3"/>
    <row r="2289" s="136" customFormat="1" x14ac:dyDescent="0.3"/>
    <row r="2290" s="136" customFormat="1" x14ac:dyDescent="0.3"/>
    <row r="2291" s="136" customFormat="1" x14ac:dyDescent="0.3"/>
    <row r="2292" s="136" customFormat="1" x14ac:dyDescent="0.3"/>
    <row r="2293" s="136" customFormat="1" x14ac:dyDescent="0.3"/>
    <row r="2294" s="136" customFormat="1" x14ac:dyDescent="0.3"/>
    <row r="2295" s="136" customFormat="1" x14ac:dyDescent="0.3"/>
    <row r="2296" s="136" customFormat="1" x14ac:dyDescent="0.3"/>
    <row r="2297" s="136" customFormat="1" x14ac:dyDescent="0.3"/>
    <row r="2298" s="136" customFormat="1" x14ac:dyDescent="0.3"/>
    <row r="2299" s="136" customFormat="1" x14ac:dyDescent="0.3"/>
    <row r="2300" s="136" customFormat="1" x14ac:dyDescent="0.3"/>
    <row r="2301" s="136" customFormat="1" x14ac:dyDescent="0.3"/>
    <row r="2302" s="136" customFormat="1" x14ac:dyDescent="0.3"/>
    <row r="2303" s="136" customFormat="1" x14ac:dyDescent="0.3"/>
    <row r="2304" s="136" customFormat="1" x14ac:dyDescent="0.3"/>
    <row r="2305" s="136" customFormat="1" x14ac:dyDescent="0.3"/>
    <row r="2306" s="136" customFormat="1" x14ac:dyDescent="0.3"/>
    <row r="2307" s="136" customFormat="1" x14ac:dyDescent="0.3"/>
    <row r="2308" s="136" customFormat="1" x14ac:dyDescent="0.3"/>
    <row r="2309" s="136" customFormat="1" x14ac:dyDescent="0.3"/>
    <row r="2310" s="136" customFormat="1" x14ac:dyDescent="0.3"/>
    <row r="2311" s="136" customFormat="1" x14ac:dyDescent="0.3"/>
    <row r="2312" s="136" customFormat="1" x14ac:dyDescent="0.3"/>
    <row r="2313" s="136" customFormat="1" x14ac:dyDescent="0.3"/>
    <row r="2314" s="136" customFormat="1" x14ac:dyDescent="0.3"/>
    <row r="2315" s="136" customFormat="1" x14ac:dyDescent="0.3"/>
    <row r="2316" s="136" customFormat="1" x14ac:dyDescent="0.3"/>
    <row r="2317" s="136" customFormat="1" x14ac:dyDescent="0.3"/>
    <row r="2318" s="136" customFormat="1" x14ac:dyDescent="0.3"/>
    <row r="2319" s="136" customFormat="1" x14ac:dyDescent="0.3"/>
    <row r="2320" s="136" customFormat="1" x14ac:dyDescent="0.3"/>
    <row r="2321" s="136" customFormat="1" x14ac:dyDescent="0.3"/>
    <row r="2322" s="136" customFormat="1" x14ac:dyDescent="0.3"/>
    <row r="2323" s="136" customFormat="1" x14ac:dyDescent="0.3"/>
    <row r="2324" s="136" customFormat="1" x14ac:dyDescent="0.3"/>
    <row r="2325" s="136" customFormat="1" x14ac:dyDescent="0.3"/>
    <row r="2326" s="136" customFormat="1" x14ac:dyDescent="0.3"/>
    <row r="2327" s="136" customFormat="1" x14ac:dyDescent="0.3"/>
    <row r="2328" s="136" customFormat="1" x14ac:dyDescent="0.3"/>
    <row r="2329" s="136" customFormat="1" x14ac:dyDescent="0.3"/>
    <row r="2330" s="136" customFormat="1" x14ac:dyDescent="0.3"/>
    <row r="2331" s="136" customFormat="1" x14ac:dyDescent="0.3"/>
    <row r="2332" s="136" customFormat="1" x14ac:dyDescent="0.3"/>
    <row r="2333" s="136" customFormat="1" x14ac:dyDescent="0.3"/>
    <row r="2334" s="136" customFormat="1" x14ac:dyDescent="0.3"/>
    <row r="2335" s="136" customFormat="1" x14ac:dyDescent="0.3"/>
    <row r="2336" s="136" customFormat="1" x14ac:dyDescent="0.3"/>
    <row r="2337" s="136" customFormat="1" x14ac:dyDescent="0.3"/>
    <row r="2338" s="136" customFormat="1" x14ac:dyDescent="0.3"/>
    <row r="2339" s="136" customFormat="1" x14ac:dyDescent="0.3"/>
    <row r="2340" s="136" customFormat="1" x14ac:dyDescent="0.3"/>
    <row r="2341" s="136" customFormat="1" x14ac:dyDescent="0.3"/>
    <row r="2342" s="136" customFormat="1" x14ac:dyDescent="0.3"/>
    <row r="2343" s="136" customFormat="1" x14ac:dyDescent="0.3"/>
    <row r="2344" s="136" customFormat="1" x14ac:dyDescent="0.3"/>
    <row r="2345" s="136" customFormat="1" x14ac:dyDescent="0.3"/>
    <row r="2346" s="136" customFormat="1" x14ac:dyDescent="0.3"/>
    <row r="2347" s="136" customFormat="1" x14ac:dyDescent="0.3"/>
    <row r="2348" s="136" customFormat="1" x14ac:dyDescent="0.3"/>
    <row r="2349" s="136" customFormat="1" x14ac:dyDescent="0.3"/>
    <row r="2350" s="136" customFormat="1" x14ac:dyDescent="0.3"/>
    <row r="2351" s="136" customFormat="1" x14ac:dyDescent="0.3"/>
    <row r="2352" s="136" customFormat="1" x14ac:dyDescent="0.3"/>
    <row r="2353" s="136" customFormat="1" x14ac:dyDescent="0.3"/>
    <row r="2354" s="136" customFormat="1" x14ac:dyDescent="0.3"/>
    <row r="2355" s="136" customFormat="1" x14ac:dyDescent="0.3"/>
    <row r="2356" s="136" customFormat="1" x14ac:dyDescent="0.3"/>
    <row r="2357" s="136" customFormat="1" x14ac:dyDescent="0.3"/>
    <row r="2358" s="136" customFormat="1" x14ac:dyDescent="0.3"/>
    <row r="2359" s="136" customFormat="1" x14ac:dyDescent="0.3"/>
    <row r="2360" s="136" customFormat="1" x14ac:dyDescent="0.3"/>
    <row r="2361" s="136" customFormat="1" x14ac:dyDescent="0.3"/>
    <row r="2362" s="136" customFormat="1" x14ac:dyDescent="0.3"/>
    <row r="2363" s="136" customFormat="1" x14ac:dyDescent="0.3"/>
    <row r="2364" s="136" customFormat="1" x14ac:dyDescent="0.3"/>
    <row r="2365" s="136" customFormat="1" x14ac:dyDescent="0.3"/>
    <row r="2366" s="136" customFormat="1" x14ac:dyDescent="0.3"/>
    <row r="2367" s="136" customFormat="1" x14ac:dyDescent="0.3"/>
    <row r="2368" s="136" customFormat="1" x14ac:dyDescent="0.3"/>
    <row r="2369" s="136" customFormat="1" x14ac:dyDescent="0.3"/>
    <row r="2370" s="136" customFormat="1" x14ac:dyDescent="0.3"/>
    <row r="2371" s="136" customFormat="1" x14ac:dyDescent="0.3"/>
    <row r="2372" s="136" customFormat="1" x14ac:dyDescent="0.3"/>
    <row r="2373" s="136" customFormat="1" x14ac:dyDescent="0.3"/>
    <row r="2374" s="136" customFormat="1" x14ac:dyDescent="0.3"/>
    <row r="2375" s="136" customFormat="1" x14ac:dyDescent="0.3"/>
    <row r="2376" s="136" customFormat="1" x14ac:dyDescent="0.3"/>
    <row r="2377" s="136" customFormat="1" x14ac:dyDescent="0.3"/>
    <row r="2378" s="136" customFormat="1" x14ac:dyDescent="0.3"/>
    <row r="2379" s="136" customFormat="1" x14ac:dyDescent="0.3"/>
    <row r="2380" s="136" customFormat="1" x14ac:dyDescent="0.3"/>
    <row r="2381" s="136" customFormat="1" x14ac:dyDescent="0.3"/>
    <row r="2382" s="136" customFormat="1" x14ac:dyDescent="0.3"/>
    <row r="2383" s="136" customFormat="1" x14ac:dyDescent="0.3"/>
    <row r="2384" s="136" customFormat="1" x14ac:dyDescent="0.3"/>
    <row r="2385" s="136" customFormat="1" x14ac:dyDescent="0.3"/>
    <row r="2386" s="136" customFormat="1" x14ac:dyDescent="0.3"/>
    <row r="2387" s="136" customFormat="1" x14ac:dyDescent="0.3"/>
    <row r="2388" s="136" customFormat="1" x14ac:dyDescent="0.3"/>
    <row r="2389" s="136" customFormat="1" x14ac:dyDescent="0.3"/>
    <row r="2390" s="136" customFormat="1" x14ac:dyDescent="0.3"/>
    <row r="2391" s="136" customFormat="1" x14ac:dyDescent="0.3"/>
    <row r="2392" s="136" customFormat="1" x14ac:dyDescent="0.3"/>
    <row r="2393" s="136" customFormat="1" x14ac:dyDescent="0.3"/>
    <row r="2394" s="136" customFormat="1" x14ac:dyDescent="0.3"/>
    <row r="2395" s="136" customFormat="1" x14ac:dyDescent="0.3"/>
    <row r="2396" s="136" customFormat="1" x14ac:dyDescent="0.3"/>
    <row r="2397" s="136" customFormat="1" x14ac:dyDescent="0.3"/>
    <row r="2398" s="136" customFormat="1" x14ac:dyDescent="0.3"/>
    <row r="2399" s="136" customFormat="1" x14ac:dyDescent="0.3"/>
    <row r="2400" s="136" customFormat="1" x14ac:dyDescent="0.3"/>
    <row r="2401" s="136" customFormat="1" x14ac:dyDescent="0.3"/>
    <row r="2402" s="136" customFormat="1" x14ac:dyDescent="0.3"/>
    <row r="2403" s="136" customFormat="1" x14ac:dyDescent="0.3"/>
    <row r="2404" s="136" customFormat="1" x14ac:dyDescent="0.3"/>
    <row r="2405" s="136" customFormat="1" x14ac:dyDescent="0.3"/>
    <row r="2406" s="136" customFormat="1" x14ac:dyDescent="0.3"/>
    <row r="2407" s="136" customFormat="1" x14ac:dyDescent="0.3"/>
    <row r="2408" s="136" customFormat="1" x14ac:dyDescent="0.3"/>
    <row r="2409" s="136" customFormat="1" x14ac:dyDescent="0.3"/>
    <row r="2410" s="136" customFormat="1" x14ac:dyDescent="0.3"/>
    <row r="2411" s="136" customFormat="1" x14ac:dyDescent="0.3"/>
    <row r="2412" s="136" customFormat="1" x14ac:dyDescent="0.3"/>
    <row r="2413" s="136" customFormat="1" x14ac:dyDescent="0.3"/>
    <row r="2414" s="136" customFormat="1" x14ac:dyDescent="0.3"/>
    <row r="2415" s="136" customFormat="1" x14ac:dyDescent="0.3"/>
    <row r="2416" s="136" customFormat="1" x14ac:dyDescent="0.3"/>
    <row r="2417" s="136" customFormat="1" x14ac:dyDescent="0.3"/>
    <row r="2418" s="136" customFormat="1" x14ac:dyDescent="0.3"/>
    <row r="2419" s="136" customFormat="1" x14ac:dyDescent="0.3"/>
    <row r="2420" s="136" customFormat="1" x14ac:dyDescent="0.3"/>
    <row r="2421" s="136" customFormat="1" x14ac:dyDescent="0.3"/>
    <row r="2422" s="136" customFormat="1" x14ac:dyDescent="0.3"/>
    <row r="2423" s="136" customFormat="1" x14ac:dyDescent="0.3"/>
    <row r="2424" s="136" customFormat="1" x14ac:dyDescent="0.3"/>
    <row r="2425" s="136" customFormat="1" x14ac:dyDescent="0.3"/>
    <row r="2426" s="136" customFormat="1" x14ac:dyDescent="0.3"/>
    <row r="2427" s="136" customFormat="1" x14ac:dyDescent="0.3"/>
    <row r="2428" s="136" customFormat="1" x14ac:dyDescent="0.3"/>
    <row r="2429" s="136" customFormat="1" x14ac:dyDescent="0.3"/>
    <row r="2430" s="136" customFormat="1" x14ac:dyDescent="0.3"/>
    <row r="2431" s="136" customFormat="1" x14ac:dyDescent="0.3"/>
    <row r="2432" s="136" customFormat="1" x14ac:dyDescent="0.3"/>
    <row r="2433" s="136" customFormat="1" x14ac:dyDescent="0.3"/>
    <row r="2434" s="136" customFormat="1" x14ac:dyDescent="0.3"/>
    <row r="2435" s="136" customFormat="1" x14ac:dyDescent="0.3"/>
    <row r="2436" s="136" customFormat="1" x14ac:dyDescent="0.3"/>
    <row r="2437" s="136" customFormat="1" x14ac:dyDescent="0.3"/>
    <row r="2438" s="136" customFormat="1" x14ac:dyDescent="0.3"/>
    <row r="2439" s="136" customFormat="1" x14ac:dyDescent="0.3"/>
    <row r="2440" s="136" customFormat="1" x14ac:dyDescent="0.3"/>
    <row r="2441" s="136" customFormat="1" x14ac:dyDescent="0.3"/>
    <row r="2442" s="136" customFormat="1" x14ac:dyDescent="0.3"/>
    <row r="2443" s="136" customFormat="1" x14ac:dyDescent="0.3"/>
    <row r="2444" s="136" customFormat="1" x14ac:dyDescent="0.3"/>
    <row r="2445" s="136" customFormat="1" x14ac:dyDescent="0.3"/>
    <row r="2446" s="136" customFormat="1" x14ac:dyDescent="0.3"/>
    <row r="2447" s="136" customFormat="1" x14ac:dyDescent="0.3"/>
    <row r="2448" s="136" customFormat="1" x14ac:dyDescent="0.3"/>
    <row r="2449" s="136" customFormat="1" x14ac:dyDescent="0.3"/>
    <row r="2450" s="136" customFormat="1" x14ac:dyDescent="0.3"/>
    <row r="2451" s="136" customFormat="1" x14ac:dyDescent="0.3"/>
    <row r="2452" s="136" customFormat="1" x14ac:dyDescent="0.3"/>
    <row r="2453" s="136" customFormat="1" x14ac:dyDescent="0.3"/>
    <row r="2454" s="136" customFormat="1" x14ac:dyDescent="0.3"/>
    <row r="2455" s="136" customFormat="1" x14ac:dyDescent="0.3"/>
    <row r="2456" s="136" customFormat="1" x14ac:dyDescent="0.3"/>
    <row r="2457" s="136" customFormat="1" x14ac:dyDescent="0.3"/>
    <row r="2458" s="136" customFormat="1" x14ac:dyDescent="0.3"/>
    <row r="2459" s="136" customFormat="1" x14ac:dyDescent="0.3"/>
    <row r="2460" s="136" customFormat="1" x14ac:dyDescent="0.3"/>
    <row r="2461" s="136" customFormat="1" x14ac:dyDescent="0.3"/>
    <row r="2462" s="136" customFormat="1" x14ac:dyDescent="0.3"/>
    <row r="2463" s="136" customFormat="1" x14ac:dyDescent="0.3"/>
    <row r="2464" s="136" customFormat="1" x14ac:dyDescent="0.3"/>
    <row r="2465" s="136" customFormat="1" x14ac:dyDescent="0.3"/>
    <row r="2466" s="136" customFormat="1" x14ac:dyDescent="0.3"/>
    <row r="2467" s="136" customFormat="1" x14ac:dyDescent="0.3"/>
    <row r="2468" s="136" customFormat="1" x14ac:dyDescent="0.3"/>
    <row r="2469" s="136" customFormat="1" x14ac:dyDescent="0.3"/>
    <row r="2470" s="136" customFormat="1" x14ac:dyDescent="0.3"/>
    <row r="2471" s="136" customFormat="1" x14ac:dyDescent="0.3"/>
    <row r="2472" s="136" customFormat="1" x14ac:dyDescent="0.3"/>
    <row r="2473" s="136" customFormat="1" x14ac:dyDescent="0.3"/>
    <row r="2474" s="136" customFormat="1" x14ac:dyDescent="0.3"/>
    <row r="2475" s="136" customFormat="1" x14ac:dyDescent="0.3"/>
    <row r="2476" s="136" customFormat="1" x14ac:dyDescent="0.3"/>
    <row r="2477" s="136" customFormat="1" x14ac:dyDescent="0.3"/>
    <row r="2478" s="136" customFormat="1" x14ac:dyDescent="0.3"/>
    <row r="2479" s="136" customFormat="1" x14ac:dyDescent="0.3"/>
    <row r="2480" s="136" customFormat="1" x14ac:dyDescent="0.3"/>
    <row r="2481" s="136" customFormat="1" x14ac:dyDescent="0.3"/>
    <row r="2482" s="136" customFormat="1" x14ac:dyDescent="0.3"/>
    <row r="2483" s="136" customFormat="1" x14ac:dyDescent="0.3"/>
    <row r="2484" s="136" customFormat="1" x14ac:dyDescent="0.3"/>
    <row r="2485" s="136" customFormat="1" x14ac:dyDescent="0.3"/>
    <row r="2486" s="136" customFormat="1" x14ac:dyDescent="0.3"/>
    <row r="2487" s="136" customFormat="1" x14ac:dyDescent="0.3"/>
    <row r="2488" s="136" customFormat="1" x14ac:dyDescent="0.3"/>
    <row r="2489" s="136" customFormat="1" x14ac:dyDescent="0.3"/>
    <row r="2490" s="136" customFormat="1" x14ac:dyDescent="0.3"/>
    <row r="2491" s="136" customFormat="1" x14ac:dyDescent="0.3"/>
    <row r="2492" s="136" customFormat="1" x14ac:dyDescent="0.3"/>
    <row r="2493" s="136" customFormat="1" x14ac:dyDescent="0.3"/>
    <row r="2494" s="136" customFormat="1" x14ac:dyDescent="0.3"/>
    <row r="2495" s="136" customFormat="1" x14ac:dyDescent="0.3"/>
    <row r="2496" s="136" customFormat="1" x14ac:dyDescent="0.3"/>
    <row r="2497" s="136" customFormat="1" x14ac:dyDescent="0.3"/>
    <row r="2498" s="136" customFormat="1" x14ac:dyDescent="0.3"/>
    <row r="2499" s="136" customFormat="1" x14ac:dyDescent="0.3"/>
    <row r="2500" s="136" customFormat="1" x14ac:dyDescent="0.3"/>
    <row r="2501" s="136" customFormat="1" x14ac:dyDescent="0.3"/>
    <row r="2502" s="136" customFormat="1" x14ac:dyDescent="0.3"/>
    <row r="2503" s="136" customFormat="1" x14ac:dyDescent="0.3"/>
    <row r="2504" s="136" customFormat="1" x14ac:dyDescent="0.3"/>
    <row r="2505" s="136" customFormat="1" x14ac:dyDescent="0.3"/>
    <row r="2506" s="136" customFormat="1" x14ac:dyDescent="0.3"/>
    <row r="2507" s="136" customFormat="1" x14ac:dyDescent="0.3"/>
    <row r="2508" s="136" customFormat="1" x14ac:dyDescent="0.3"/>
    <row r="2509" s="136" customFormat="1" x14ac:dyDescent="0.3"/>
    <row r="2510" s="136" customFormat="1" x14ac:dyDescent="0.3"/>
    <row r="2511" s="136" customFormat="1" x14ac:dyDescent="0.3"/>
    <row r="2512" s="136" customFormat="1" x14ac:dyDescent="0.3"/>
    <row r="2513" s="136" customFormat="1" x14ac:dyDescent="0.3"/>
    <row r="2514" s="136" customFormat="1" x14ac:dyDescent="0.3"/>
    <row r="2515" s="136" customFormat="1" x14ac:dyDescent="0.3"/>
    <row r="2516" s="136" customFormat="1" x14ac:dyDescent="0.3"/>
    <row r="2517" s="136" customFormat="1" x14ac:dyDescent="0.3"/>
    <row r="2518" s="136" customFormat="1" x14ac:dyDescent="0.3"/>
    <row r="2519" s="136" customFormat="1" x14ac:dyDescent="0.3"/>
    <row r="2520" s="136" customFormat="1" x14ac:dyDescent="0.3"/>
    <row r="2521" s="136" customFormat="1" x14ac:dyDescent="0.3"/>
    <row r="2522" s="136" customFormat="1" x14ac:dyDescent="0.3"/>
    <row r="2523" s="136" customFormat="1" x14ac:dyDescent="0.3"/>
    <row r="2524" s="136" customFormat="1" x14ac:dyDescent="0.3"/>
    <row r="2525" s="136" customFormat="1" x14ac:dyDescent="0.3"/>
    <row r="2526" s="136" customFormat="1" x14ac:dyDescent="0.3"/>
    <row r="2527" s="136" customFormat="1" x14ac:dyDescent="0.3"/>
    <row r="2528" s="136" customFormat="1" x14ac:dyDescent="0.3"/>
    <row r="2529" s="136" customFormat="1" x14ac:dyDescent="0.3"/>
    <row r="2530" s="136" customFormat="1" x14ac:dyDescent="0.3"/>
    <row r="2531" s="136" customFormat="1" x14ac:dyDescent="0.3"/>
    <row r="2532" s="136" customFormat="1" x14ac:dyDescent="0.3"/>
    <row r="2533" s="136" customFormat="1" x14ac:dyDescent="0.3"/>
    <row r="2534" s="136" customFormat="1" x14ac:dyDescent="0.3"/>
    <row r="2535" s="136" customFormat="1" x14ac:dyDescent="0.3"/>
    <row r="2536" s="136" customFormat="1" x14ac:dyDescent="0.3"/>
    <row r="2537" s="136" customFormat="1" x14ac:dyDescent="0.3"/>
    <row r="2538" s="136" customFormat="1" x14ac:dyDescent="0.3"/>
    <row r="2539" s="136" customFormat="1" x14ac:dyDescent="0.3"/>
    <row r="2540" s="136" customFormat="1" x14ac:dyDescent="0.3"/>
    <row r="2541" s="136" customFormat="1" x14ac:dyDescent="0.3"/>
    <row r="2542" s="136" customFormat="1" x14ac:dyDescent="0.3"/>
    <row r="2543" s="136" customFormat="1" x14ac:dyDescent="0.3"/>
    <row r="2544" s="136" customFormat="1" x14ac:dyDescent="0.3"/>
    <row r="2545" s="136" customFormat="1" x14ac:dyDescent="0.3"/>
    <row r="2546" s="136" customFormat="1" x14ac:dyDescent="0.3"/>
    <row r="2547" s="136" customFormat="1" x14ac:dyDescent="0.3"/>
    <row r="2548" s="136" customFormat="1" x14ac:dyDescent="0.3"/>
    <row r="2549" s="136" customFormat="1" x14ac:dyDescent="0.3"/>
    <row r="2550" s="136" customFormat="1" x14ac:dyDescent="0.3"/>
    <row r="2551" s="136" customFormat="1" x14ac:dyDescent="0.3"/>
    <row r="2552" s="136" customFormat="1" x14ac:dyDescent="0.3"/>
    <row r="2553" s="136" customFormat="1" x14ac:dyDescent="0.3"/>
    <row r="2554" s="136" customFormat="1" x14ac:dyDescent="0.3"/>
    <row r="2555" s="136" customFormat="1" x14ac:dyDescent="0.3"/>
    <row r="2556" s="136" customFormat="1" x14ac:dyDescent="0.3"/>
    <row r="2557" s="136" customFormat="1" x14ac:dyDescent="0.3"/>
    <row r="2558" s="136" customFormat="1" x14ac:dyDescent="0.3"/>
    <row r="2559" s="136" customFormat="1" x14ac:dyDescent="0.3"/>
    <row r="2560" s="136" customFormat="1" x14ac:dyDescent="0.3"/>
    <row r="2561" s="136" customFormat="1" x14ac:dyDescent="0.3"/>
    <row r="2562" s="136" customFormat="1" x14ac:dyDescent="0.3"/>
    <row r="2563" s="136" customFormat="1" x14ac:dyDescent="0.3"/>
    <row r="2564" s="136" customFormat="1" x14ac:dyDescent="0.3"/>
    <row r="2565" s="136" customFormat="1" x14ac:dyDescent="0.3"/>
    <row r="2566" s="136" customFormat="1" x14ac:dyDescent="0.3"/>
    <row r="2567" s="136" customFormat="1" x14ac:dyDescent="0.3"/>
    <row r="2568" s="136" customFormat="1" x14ac:dyDescent="0.3"/>
    <row r="2569" s="136" customFormat="1" x14ac:dyDescent="0.3"/>
    <row r="2570" s="136" customFormat="1" x14ac:dyDescent="0.3"/>
    <row r="2571" s="136" customFormat="1" x14ac:dyDescent="0.3"/>
    <row r="2572" s="136" customFormat="1" x14ac:dyDescent="0.3"/>
    <row r="2573" s="136" customFormat="1" x14ac:dyDescent="0.3"/>
    <row r="2574" s="136" customFormat="1" x14ac:dyDescent="0.3"/>
    <row r="2575" s="136" customFormat="1" x14ac:dyDescent="0.3"/>
    <row r="2576" s="136" customFormat="1" x14ac:dyDescent="0.3"/>
    <row r="2577" s="136" customFormat="1" x14ac:dyDescent="0.3"/>
    <row r="2578" s="136" customFormat="1" x14ac:dyDescent="0.3"/>
    <row r="2579" s="136" customFormat="1" x14ac:dyDescent="0.3"/>
    <row r="2580" s="136" customFormat="1" x14ac:dyDescent="0.3"/>
    <row r="2581" s="136" customFormat="1" x14ac:dyDescent="0.3"/>
    <row r="2582" s="136" customFormat="1" x14ac:dyDescent="0.3"/>
    <row r="2583" s="136" customFormat="1" x14ac:dyDescent="0.3"/>
    <row r="2584" s="136" customFormat="1" x14ac:dyDescent="0.3"/>
    <row r="2585" s="136" customFormat="1" x14ac:dyDescent="0.3"/>
    <row r="2586" s="136" customFormat="1" x14ac:dyDescent="0.3"/>
    <row r="2587" s="136" customFormat="1" x14ac:dyDescent="0.3"/>
    <row r="2588" s="136" customFormat="1" x14ac:dyDescent="0.3"/>
    <row r="2589" s="136" customFormat="1" x14ac:dyDescent="0.3"/>
    <row r="2590" s="136" customFormat="1" x14ac:dyDescent="0.3"/>
    <row r="2591" s="136" customFormat="1" x14ac:dyDescent="0.3"/>
    <row r="2592" s="136" customFormat="1" x14ac:dyDescent="0.3"/>
    <row r="2593" s="136" customFormat="1" x14ac:dyDescent="0.3"/>
    <row r="2594" s="136" customFormat="1" x14ac:dyDescent="0.3"/>
    <row r="2595" s="136" customFormat="1" x14ac:dyDescent="0.3"/>
    <row r="2596" s="136" customFormat="1" x14ac:dyDescent="0.3"/>
    <row r="2597" s="136" customFormat="1" x14ac:dyDescent="0.3"/>
    <row r="2598" s="136" customFormat="1" x14ac:dyDescent="0.3"/>
    <row r="2599" s="136" customFormat="1" x14ac:dyDescent="0.3"/>
    <row r="2600" s="136" customFormat="1" x14ac:dyDescent="0.3"/>
    <row r="2601" s="136" customFormat="1" x14ac:dyDescent="0.3"/>
    <row r="2602" s="136" customFormat="1" x14ac:dyDescent="0.3"/>
    <row r="2603" s="136" customFormat="1" x14ac:dyDescent="0.3"/>
    <row r="2604" s="136" customFormat="1" x14ac:dyDescent="0.3"/>
    <row r="2605" s="136" customFormat="1" x14ac:dyDescent="0.3"/>
    <row r="2606" s="136" customFormat="1" x14ac:dyDescent="0.3"/>
    <row r="2607" s="136" customFormat="1" x14ac:dyDescent="0.3"/>
    <row r="2608" s="136" customFormat="1" x14ac:dyDescent="0.3"/>
    <row r="2609" s="136" customFormat="1" x14ac:dyDescent="0.3"/>
    <row r="2610" s="136" customFormat="1" x14ac:dyDescent="0.3"/>
    <row r="2611" s="136" customFormat="1" x14ac:dyDescent="0.3"/>
    <row r="2612" s="136" customFormat="1" x14ac:dyDescent="0.3"/>
    <row r="2613" s="136" customFormat="1" x14ac:dyDescent="0.3"/>
    <row r="2614" s="136" customFormat="1" x14ac:dyDescent="0.3"/>
    <row r="2615" s="136" customFormat="1" x14ac:dyDescent="0.3"/>
    <row r="2616" s="136" customFormat="1" x14ac:dyDescent="0.3"/>
    <row r="2617" s="136" customFormat="1" x14ac:dyDescent="0.3"/>
    <row r="2618" s="136" customFormat="1" x14ac:dyDescent="0.3"/>
    <row r="2619" s="136" customFormat="1" x14ac:dyDescent="0.3"/>
    <row r="2620" s="136" customFormat="1" x14ac:dyDescent="0.3"/>
    <row r="2621" s="136" customFormat="1" x14ac:dyDescent="0.3"/>
    <row r="2622" s="136" customFormat="1" x14ac:dyDescent="0.3"/>
    <row r="2623" s="136" customFormat="1" x14ac:dyDescent="0.3"/>
    <row r="2624" s="136" customFormat="1" x14ac:dyDescent="0.3"/>
    <row r="2625" s="136" customFormat="1" x14ac:dyDescent="0.3"/>
    <row r="2626" s="136" customFormat="1" x14ac:dyDescent="0.3"/>
    <row r="2627" s="136" customFormat="1" x14ac:dyDescent="0.3"/>
    <row r="2628" s="136" customFormat="1" x14ac:dyDescent="0.3"/>
    <row r="2629" s="136" customFormat="1" x14ac:dyDescent="0.3"/>
    <row r="2630" s="136" customFormat="1" x14ac:dyDescent="0.3"/>
    <row r="2631" s="136" customFormat="1" x14ac:dyDescent="0.3"/>
    <row r="2632" s="136" customFormat="1" x14ac:dyDescent="0.3"/>
    <row r="2633" s="136" customFormat="1" x14ac:dyDescent="0.3"/>
    <row r="2634" s="136" customFormat="1" x14ac:dyDescent="0.3"/>
    <row r="2635" s="136" customFormat="1" x14ac:dyDescent="0.3"/>
    <row r="2636" s="136" customFormat="1" x14ac:dyDescent="0.3"/>
    <row r="2637" s="136" customFormat="1" x14ac:dyDescent="0.3"/>
    <row r="2638" s="136" customFormat="1" x14ac:dyDescent="0.3"/>
    <row r="2639" s="136" customFormat="1" x14ac:dyDescent="0.3"/>
    <row r="2640" s="136" customFormat="1" x14ac:dyDescent="0.3"/>
    <row r="2641" s="136" customFormat="1" x14ac:dyDescent="0.3"/>
    <row r="2642" s="136" customFormat="1" x14ac:dyDescent="0.3"/>
    <row r="2643" s="136" customFormat="1" x14ac:dyDescent="0.3"/>
    <row r="2644" s="136" customFormat="1" x14ac:dyDescent="0.3"/>
    <row r="2645" s="136" customFormat="1" x14ac:dyDescent="0.3"/>
    <row r="2646" s="136" customFormat="1" x14ac:dyDescent="0.3"/>
    <row r="2647" s="136" customFormat="1" x14ac:dyDescent="0.3"/>
    <row r="2648" s="136" customFormat="1" x14ac:dyDescent="0.3"/>
    <row r="2649" s="136" customFormat="1" x14ac:dyDescent="0.3"/>
    <row r="2650" s="136" customFormat="1" x14ac:dyDescent="0.3"/>
    <row r="2651" s="136" customFormat="1" x14ac:dyDescent="0.3"/>
    <row r="2652" s="136" customFormat="1" x14ac:dyDescent="0.3"/>
    <row r="2653" s="136" customFormat="1" x14ac:dyDescent="0.3"/>
    <row r="2654" s="136" customFormat="1" x14ac:dyDescent="0.3"/>
    <row r="2655" s="136" customFormat="1" x14ac:dyDescent="0.3"/>
    <row r="2656" s="136" customFormat="1" x14ac:dyDescent="0.3"/>
    <row r="2657" s="136" customFormat="1" x14ac:dyDescent="0.3"/>
    <row r="2658" s="136" customFormat="1" x14ac:dyDescent="0.3"/>
    <row r="2659" s="136" customFormat="1" x14ac:dyDescent="0.3"/>
    <row r="2660" s="136" customFormat="1" x14ac:dyDescent="0.3"/>
    <row r="2661" s="136" customFormat="1" x14ac:dyDescent="0.3"/>
    <row r="2662" s="136" customFormat="1" x14ac:dyDescent="0.3"/>
    <row r="2663" s="136" customFormat="1" x14ac:dyDescent="0.3"/>
    <row r="2664" s="136" customFormat="1" x14ac:dyDescent="0.3"/>
    <row r="2665" s="136" customFormat="1" x14ac:dyDescent="0.3"/>
    <row r="2666" s="136" customFormat="1" x14ac:dyDescent="0.3"/>
    <row r="2667" s="136" customFormat="1" x14ac:dyDescent="0.3"/>
    <row r="2668" s="136" customFormat="1" x14ac:dyDescent="0.3"/>
    <row r="2669" s="136" customFormat="1" x14ac:dyDescent="0.3"/>
    <row r="2670" s="136" customFormat="1" x14ac:dyDescent="0.3"/>
    <row r="2671" s="136" customFormat="1" x14ac:dyDescent="0.3"/>
    <row r="2672" s="136" customFormat="1" x14ac:dyDescent="0.3"/>
    <row r="2673" s="136" customFormat="1" x14ac:dyDescent="0.3"/>
    <row r="2674" s="136" customFormat="1" x14ac:dyDescent="0.3"/>
    <row r="2675" s="136" customFormat="1" x14ac:dyDescent="0.3"/>
    <row r="2676" s="136" customFormat="1" x14ac:dyDescent="0.3"/>
    <row r="2677" s="136" customFormat="1" x14ac:dyDescent="0.3"/>
    <row r="2678" s="136" customFormat="1" x14ac:dyDescent="0.3"/>
    <row r="2679" s="136" customFormat="1" x14ac:dyDescent="0.3"/>
    <row r="2680" s="136" customFormat="1" x14ac:dyDescent="0.3"/>
    <row r="2681" s="136" customFormat="1" x14ac:dyDescent="0.3"/>
    <row r="2682" s="136" customFormat="1" x14ac:dyDescent="0.3"/>
    <row r="2683" s="136" customFormat="1" x14ac:dyDescent="0.3"/>
    <row r="2684" s="136" customFormat="1" x14ac:dyDescent="0.3"/>
    <row r="2685" s="136" customFormat="1" x14ac:dyDescent="0.3"/>
    <row r="2686" s="136" customFormat="1" x14ac:dyDescent="0.3"/>
    <row r="2687" s="136" customFormat="1" x14ac:dyDescent="0.3"/>
    <row r="2688" s="136" customFormat="1" x14ac:dyDescent="0.3"/>
    <row r="2689" s="136" customFormat="1" x14ac:dyDescent="0.3"/>
    <row r="2690" s="136" customFormat="1" x14ac:dyDescent="0.3"/>
    <row r="2691" s="136" customFormat="1" x14ac:dyDescent="0.3"/>
    <row r="2692" s="136" customFormat="1" x14ac:dyDescent="0.3"/>
    <row r="2693" s="136" customFormat="1" x14ac:dyDescent="0.3"/>
    <row r="2694" s="136" customFormat="1" x14ac:dyDescent="0.3"/>
    <row r="2695" s="136" customFormat="1" x14ac:dyDescent="0.3"/>
    <row r="2696" s="136" customFormat="1" x14ac:dyDescent="0.3"/>
    <row r="2697" s="136" customFormat="1" x14ac:dyDescent="0.3"/>
    <row r="2698" s="136" customFormat="1" x14ac:dyDescent="0.3"/>
    <row r="2699" s="136" customFormat="1" x14ac:dyDescent="0.3"/>
    <row r="2700" s="136" customFormat="1" x14ac:dyDescent="0.3"/>
    <row r="2701" s="136" customFormat="1" x14ac:dyDescent="0.3"/>
    <row r="2702" s="136" customFormat="1" x14ac:dyDescent="0.3"/>
    <row r="2703" s="136" customFormat="1" x14ac:dyDescent="0.3"/>
    <row r="2704" s="136" customFormat="1" x14ac:dyDescent="0.3"/>
    <row r="2705" s="136" customFormat="1" x14ac:dyDescent="0.3"/>
    <row r="2706" s="136" customFormat="1" x14ac:dyDescent="0.3"/>
    <row r="2707" s="136" customFormat="1" x14ac:dyDescent="0.3"/>
    <row r="2708" s="136" customFormat="1" x14ac:dyDescent="0.3"/>
    <row r="2709" s="136" customFormat="1" x14ac:dyDescent="0.3"/>
    <row r="2710" s="136" customFormat="1" x14ac:dyDescent="0.3"/>
    <row r="2711" s="136" customFormat="1" x14ac:dyDescent="0.3"/>
    <row r="2712" s="136" customFormat="1" x14ac:dyDescent="0.3"/>
    <row r="2713" s="136" customFormat="1" x14ac:dyDescent="0.3"/>
    <row r="2714" s="136" customFormat="1" x14ac:dyDescent="0.3"/>
    <row r="2715" s="136" customFormat="1" x14ac:dyDescent="0.3"/>
    <row r="2716" s="136" customFormat="1" x14ac:dyDescent="0.3"/>
    <row r="2717" s="136" customFormat="1" x14ac:dyDescent="0.3"/>
    <row r="2718" s="136" customFormat="1" x14ac:dyDescent="0.3"/>
    <row r="2719" s="136" customFormat="1" x14ac:dyDescent="0.3"/>
    <row r="2720" s="136" customFormat="1" x14ac:dyDescent="0.3"/>
    <row r="2721" s="136" customFormat="1" x14ac:dyDescent="0.3"/>
    <row r="2722" s="136" customFormat="1" x14ac:dyDescent="0.3"/>
    <row r="2723" s="136" customFormat="1" x14ac:dyDescent="0.3"/>
    <row r="2724" s="136" customFormat="1" x14ac:dyDescent="0.3"/>
    <row r="2725" s="136" customFormat="1" x14ac:dyDescent="0.3"/>
    <row r="2726" s="136" customFormat="1" x14ac:dyDescent="0.3"/>
    <row r="2727" s="136" customFormat="1" x14ac:dyDescent="0.3"/>
    <row r="2728" s="136" customFormat="1" x14ac:dyDescent="0.3"/>
    <row r="2729" s="136" customFormat="1" x14ac:dyDescent="0.3"/>
    <row r="2730" s="136" customFormat="1" x14ac:dyDescent="0.3"/>
    <row r="2731" s="136" customFormat="1" x14ac:dyDescent="0.3"/>
    <row r="2732" s="136" customFormat="1" x14ac:dyDescent="0.3"/>
    <row r="2733" s="136" customFormat="1" x14ac:dyDescent="0.3"/>
    <row r="2734" s="136" customFormat="1" x14ac:dyDescent="0.3"/>
    <row r="2735" s="136" customFormat="1" x14ac:dyDescent="0.3"/>
    <row r="2736" s="136" customFormat="1" x14ac:dyDescent="0.3"/>
    <row r="2737" s="136" customFormat="1" x14ac:dyDescent="0.3"/>
    <row r="2738" s="136" customFormat="1" x14ac:dyDescent="0.3"/>
    <row r="2739" s="136" customFormat="1" x14ac:dyDescent="0.3"/>
    <row r="2740" s="136" customFormat="1" x14ac:dyDescent="0.3"/>
    <row r="2741" s="136" customFormat="1" x14ac:dyDescent="0.3"/>
    <row r="2742" s="136" customFormat="1" x14ac:dyDescent="0.3"/>
    <row r="2743" s="136" customFormat="1" x14ac:dyDescent="0.3"/>
    <row r="2744" s="136" customFormat="1" x14ac:dyDescent="0.3"/>
    <row r="2745" s="136" customFormat="1" x14ac:dyDescent="0.3"/>
    <row r="2746" s="136" customFormat="1" x14ac:dyDescent="0.3"/>
    <row r="2747" s="136" customFormat="1" x14ac:dyDescent="0.3"/>
    <row r="2748" s="136" customFormat="1" x14ac:dyDescent="0.3"/>
    <row r="2749" s="136" customFormat="1" x14ac:dyDescent="0.3"/>
    <row r="2750" s="136" customFormat="1" x14ac:dyDescent="0.3"/>
    <row r="2751" s="136" customFormat="1" x14ac:dyDescent="0.3"/>
    <row r="2752" s="136" customFormat="1" x14ac:dyDescent="0.3"/>
    <row r="2753" s="136" customFormat="1" x14ac:dyDescent="0.3"/>
    <row r="2754" s="136" customFormat="1" x14ac:dyDescent="0.3"/>
    <row r="2755" s="136" customFormat="1" x14ac:dyDescent="0.3"/>
    <row r="2756" s="136" customFormat="1" x14ac:dyDescent="0.3"/>
    <row r="2757" s="136" customFormat="1" x14ac:dyDescent="0.3"/>
    <row r="2758" s="136" customFormat="1" x14ac:dyDescent="0.3"/>
    <row r="2759" s="136" customFormat="1" x14ac:dyDescent="0.3"/>
    <row r="2760" s="136" customFormat="1" x14ac:dyDescent="0.3"/>
    <row r="2761" s="136" customFormat="1" x14ac:dyDescent="0.3"/>
    <row r="2762" s="136" customFormat="1" x14ac:dyDescent="0.3"/>
    <row r="2763" s="136" customFormat="1" x14ac:dyDescent="0.3"/>
    <row r="2764" s="136" customFormat="1" x14ac:dyDescent="0.3"/>
    <row r="2765" s="136" customFormat="1" x14ac:dyDescent="0.3"/>
    <row r="2766" s="136" customFormat="1" x14ac:dyDescent="0.3"/>
    <row r="2767" s="136" customFormat="1" x14ac:dyDescent="0.3"/>
    <row r="2768" s="136" customFormat="1" x14ac:dyDescent="0.3"/>
    <row r="2769" s="136" customFormat="1" x14ac:dyDescent="0.3"/>
    <row r="2770" s="136" customFormat="1" x14ac:dyDescent="0.3"/>
    <row r="2771" s="136" customFormat="1" x14ac:dyDescent="0.3"/>
    <row r="2772" s="136" customFormat="1" x14ac:dyDescent="0.3"/>
    <row r="2773" s="136" customFormat="1" x14ac:dyDescent="0.3"/>
    <row r="2774" s="136" customFormat="1" x14ac:dyDescent="0.3"/>
    <row r="2775" s="136" customFormat="1" x14ac:dyDescent="0.3"/>
    <row r="2776" s="136" customFormat="1" x14ac:dyDescent="0.3"/>
    <row r="2777" s="136" customFormat="1" x14ac:dyDescent="0.3"/>
    <row r="2778" s="136" customFormat="1" x14ac:dyDescent="0.3"/>
    <row r="2779" s="136" customFormat="1" x14ac:dyDescent="0.3"/>
    <row r="2780" s="136" customFormat="1" x14ac:dyDescent="0.3"/>
    <row r="2781" s="136" customFormat="1" x14ac:dyDescent="0.3"/>
    <row r="2782" s="136" customFormat="1" x14ac:dyDescent="0.3"/>
    <row r="2783" s="136" customFormat="1" x14ac:dyDescent="0.3"/>
    <row r="2784" s="136" customFormat="1" x14ac:dyDescent="0.3"/>
    <row r="2785" s="136" customFormat="1" x14ac:dyDescent="0.3"/>
    <row r="2786" s="136" customFormat="1" x14ac:dyDescent="0.3"/>
    <row r="2787" s="136" customFormat="1" x14ac:dyDescent="0.3"/>
    <row r="2788" s="136" customFormat="1" x14ac:dyDescent="0.3"/>
    <row r="2789" s="136" customFormat="1" x14ac:dyDescent="0.3"/>
    <row r="2790" s="136" customFormat="1" x14ac:dyDescent="0.3"/>
    <row r="2791" s="136" customFormat="1" x14ac:dyDescent="0.3"/>
    <row r="2792" s="136" customFormat="1" x14ac:dyDescent="0.3"/>
    <row r="2793" s="136" customFormat="1" x14ac:dyDescent="0.3"/>
    <row r="2794" s="136" customFormat="1" x14ac:dyDescent="0.3"/>
    <row r="2795" s="136" customFormat="1" x14ac:dyDescent="0.3"/>
    <row r="2796" s="136" customFormat="1" x14ac:dyDescent="0.3"/>
    <row r="2797" s="136" customFormat="1" x14ac:dyDescent="0.3"/>
    <row r="2798" s="136" customFormat="1" x14ac:dyDescent="0.3"/>
    <row r="2799" s="136" customFormat="1" x14ac:dyDescent="0.3"/>
    <row r="2800" s="136" customFormat="1" x14ac:dyDescent="0.3"/>
    <row r="2801" s="136" customFormat="1" x14ac:dyDescent="0.3"/>
    <row r="2802" s="136" customFormat="1" x14ac:dyDescent="0.3"/>
    <row r="2803" s="136" customFormat="1" x14ac:dyDescent="0.3"/>
    <row r="2804" s="136" customFormat="1" x14ac:dyDescent="0.3"/>
    <row r="2805" s="136" customFormat="1" x14ac:dyDescent="0.3"/>
    <row r="2806" s="136" customFormat="1" x14ac:dyDescent="0.3"/>
    <row r="2807" s="136" customFormat="1" x14ac:dyDescent="0.3"/>
    <row r="2808" s="136" customFormat="1" x14ac:dyDescent="0.3"/>
    <row r="2809" s="136" customFormat="1" x14ac:dyDescent="0.3"/>
    <row r="2810" s="136" customFormat="1" x14ac:dyDescent="0.3"/>
    <row r="2811" s="136" customFormat="1" x14ac:dyDescent="0.3"/>
    <row r="2812" s="136" customFormat="1" x14ac:dyDescent="0.3"/>
    <row r="2813" s="136" customFormat="1" x14ac:dyDescent="0.3"/>
    <row r="2814" s="136" customFormat="1" x14ac:dyDescent="0.3"/>
    <row r="2815" s="136" customFormat="1" x14ac:dyDescent="0.3"/>
    <row r="2816" s="136" customFormat="1" x14ac:dyDescent="0.3"/>
    <row r="2817" s="136" customFormat="1" x14ac:dyDescent="0.3"/>
    <row r="2818" s="136" customFormat="1" x14ac:dyDescent="0.3"/>
    <row r="2819" s="136" customFormat="1" x14ac:dyDescent="0.3"/>
    <row r="2820" s="136" customFormat="1" x14ac:dyDescent="0.3"/>
    <row r="2821" s="136" customFormat="1" x14ac:dyDescent="0.3"/>
    <row r="2822" s="136" customFormat="1" x14ac:dyDescent="0.3"/>
    <row r="2823" s="136" customFormat="1" x14ac:dyDescent="0.3"/>
    <row r="2824" s="136" customFormat="1" x14ac:dyDescent="0.3"/>
    <row r="2825" s="136" customFormat="1" x14ac:dyDescent="0.3"/>
    <row r="2826" s="136" customFormat="1" x14ac:dyDescent="0.3"/>
    <row r="2827" s="136" customFormat="1" x14ac:dyDescent="0.3"/>
    <row r="2828" s="136" customFormat="1" x14ac:dyDescent="0.3"/>
    <row r="2829" s="136" customFormat="1" x14ac:dyDescent="0.3"/>
    <row r="2830" s="136" customFormat="1" x14ac:dyDescent="0.3"/>
    <row r="2831" s="136" customFormat="1" x14ac:dyDescent="0.3"/>
    <row r="2832" s="136" customFormat="1" x14ac:dyDescent="0.3"/>
    <row r="2833" s="136" customFormat="1" x14ac:dyDescent="0.3"/>
    <row r="2834" s="136" customFormat="1" x14ac:dyDescent="0.3"/>
    <row r="2835" s="136" customFormat="1" x14ac:dyDescent="0.3"/>
    <row r="2836" s="136" customFormat="1" x14ac:dyDescent="0.3"/>
    <row r="2837" s="136" customFormat="1" x14ac:dyDescent="0.3"/>
    <row r="2838" s="136" customFormat="1" x14ac:dyDescent="0.3"/>
    <row r="2839" s="136" customFormat="1" x14ac:dyDescent="0.3"/>
    <row r="2840" s="136" customFormat="1" x14ac:dyDescent="0.3"/>
    <row r="2841" s="136" customFormat="1" x14ac:dyDescent="0.3"/>
    <row r="2842" s="136" customFormat="1" x14ac:dyDescent="0.3"/>
    <row r="2843" s="136" customFormat="1" x14ac:dyDescent="0.3"/>
    <row r="2844" s="136" customFormat="1" x14ac:dyDescent="0.3"/>
    <row r="2845" s="136" customFormat="1" x14ac:dyDescent="0.3"/>
    <row r="2846" s="136" customFormat="1" x14ac:dyDescent="0.3"/>
    <row r="2847" s="136" customFormat="1" x14ac:dyDescent="0.3"/>
    <row r="2848" s="136" customFormat="1" x14ac:dyDescent="0.3"/>
    <row r="2849" s="136" customFormat="1" x14ac:dyDescent="0.3"/>
    <row r="2850" s="136" customFormat="1" x14ac:dyDescent="0.3"/>
    <row r="2851" s="136" customFormat="1" x14ac:dyDescent="0.3"/>
    <row r="2852" s="136" customFormat="1" x14ac:dyDescent="0.3"/>
    <row r="2853" s="136" customFormat="1" x14ac:dyDescent="0.3"/>
    <row r="2854" s="136" customFormat="1" x14ac:dyDescent="0.3"/>
    <row r="2855" s="136" customFormat="1" x14ac:dyDescent="0.3"/>
    <row r="2856" s="136" customFormat="1" x14ac:dyDescent="0.3"/>
    <row r="2857" s="136" customFormat="1" x14ac:dyDescent="0.3"/>
    <row r="2858" s="136" customFormat="1" x14ac:dyDescent="0.3"/>
    <row r="2859" s="136" customFormat="1" x14ac:dyDescent="0.3"/>
    <row r="2860" s="136" customFormat="1" x14ac:dyDescent="0.3"/>
    <row r="2861" s="136" customFormat="1" x14ac:dyDescent="0.3"/>
    <row r="2862" s="136" customFormat="1" x14ac:dyDescent="0.3"/>
    <row r="2863" s="136" customFormat="1" x14ac:dyDescent="0.3"/>
    <row r="2864" s="136" customFormat="1" x14ac:dyDescent="0.3"/>
    <row r="2865" s="136" customFormat="1" x14ac:dyDescent="0.3"/>
    <row r="2866" s="136" customFormat="1" x14ac:dyDescent="0.3"/>
    <row r="2867" s="136" customFormat="1" x14ac:dyDescent="0.3"/>
    <row r="2868" s="136" customFormat="1" x14ac:dyDescent="0.3"/>
    <row r="2869" s="136" customFormat="1" x14ac:dyDescent="0.3"/>
    <row r="2870" s="136" customFormat="1" x14ac:dyDescent="0.3"/>
    <row r="2871" s="136" customFormat="1" x14ac:dyDescent="0.3"/>
    <row r="2872" s="136" customFormat="1" x14ac:dyDescent="0.3"/>
    <row r="2873" s="136" customFormat="1" x14ac:dyDescent="0.3"/>
    <row r="2874" s="136" customFormat="1" x14ac:dyDescent="0.3"/>
    <row r="2875" s="136" customFormat="1" x14ac:dyDescent="0.3"/>
    <row r="2876" s="136" customFormat="1" x14ac:dyDescent="0.3"/>
    <row r="2877" s="136" customFormat="1" x14ac:dyDescent="0.3"/>
    <row r="2878" s="136" customFormat="1" x14ac:dyDescent="0.3"/>
    <row r="2879" s="136" customFormat="1" x14ac:dyDescent="0.3"/>
    <row r="2880" s="136" customFormat="1" x14ac:dyDescent="0.3"/>
    <row r="2881" s="136" customFormat="1" x14ac:dyDescent="0.3"/>
    <row r="2882" s="136" customFormat="1" x14ac:dyDescent="0.3"/>
    <row r="2883" s="136" customFormat="1" x14ac:dyDescent="0.3"/>
    <row r="2884" s="136" customFormat="1" x14ac:dyDescent="0.3"/>
    <row r="2885" s="136" customFormat="1" x14ac:dyDescent="0.3"/>
    <row r="2886" s="136" customFormat="1" x14ac:dyDescent="0.3"/>
    <row r="2887" s="136" customFormat="1" x14ac:dyDescent="0.3"/>
    <row r="2888" s="136" customFormat="1" x14ac:dyDescent="0.3"/>
    <row r="2889" s="136" customFormat="1" x14ac:dyDescent="0.3"/>
    <row r="2890" s="136" customFormat="1" x14ac:dyDescent="0.3"/>
    <row r="2891" s="136" customFormat="1" x14ac:dyDescent="0.3"/>
    <row r="2892" s="136" customFormat="1" x14ac:dyDescent="0.3"/>
    <row r="2893" s="136" customFormat="1" x14ac:dyDescent="0.3"/>
    <row r="2894" s="136" customFormat="1" x14ac:dyDescent="0.3"/>
    <row r="2895" s="136" customFormat="1" x14ac:dyDescent="0.3"/>
    <row r="2896" s="136" customFormat="1" x14ac:dyDescent="0.3"/>
    <row r="2897" s="136" customFormat="1" x14ac:dyDescent="0.3"/>
    <row r="2898" s="136" customFormat="1" x14ac:dyDescent="0.3"/>
    <row r="2899" s="136" customFormat="1" x14ac:dyDescent="0.3"/>
    <row r="2900" s="136" customFormat="1" x14ac:dyDescent="0.3"/>
    <row r="2901" s="136" customFormat="1" x14ac:dyDescent="0.3"/>
    <row r="2902" s="136" customFormat="1" x14ac:dyDescent="0.3"/>
    <row r="2903" s="136" customFormat="1" x14ac:dyDescent="0.3"/>
    <row r="2904" s="136" customFormat="1" x14ac:dyDescent="0.3"/>
    <row r="2905" s="136" customFormat="1" x14ac:dyDescent="0.3"/>
    <row r="2906" s="136" customFormat="1" x14ac:dyDescent="0.3"/>
    <row r="2907" s="136" customFormat="1" x14ac:dyDescent="0.3"/>
    <row r="2908" s="136" customFormat="1" x14ac:dyDescent="0.3"/>
    <row r="2909" s="136" customFormat="1" x14ac:dyDescent="0.3"/>
    <row r="2910" s="136" customFormat="1" x14ac:dyDescent="0.3"/>
    <row r="2911" s="136" customFormat="1" x14ac:dyDescent="0.3"/>
    <row r="2912" s="136" customFormat="1" x14ac:dyDescent="0.3"/>
    <row r="2913" s="136" customFormat="1" x14ac:dyDescent="0.3"/>
    <row r="2914" s="136" customFormat="1" x14ac:dyDescent="0.3"/>
    <row r="2915" s="136" customFormat="1" x14ac:dyDescent="0.3"/>
    <row r="2916" s="136" customFormat="1" x14ac:dyDescent="0.3"/>
    <row r="2917" s="136" customFormat="1" x14ac:dyDescent="0.3"/>
    <row r="2918" s="136" customFormat="1" x14ac:dyDescent="0.3"/>
    <row r="2919" s="136" customFormat="1" x14ac:dyDescent="0.3"/>
    <row r="2920" s="136" customFormat="1" x14ac:dyDescent="0.3"/>
    <row r="2921" s="136" customFormat="1" x14ac:dyDescent="0.3"/>
    <row r="2922" s="136" customFormat="1" x14ac:dyDescent="0.3"/>
    <row r="2923" s="136" customFormat="1" x14ac:dyDescent="0.3"/>
    <row r="2924" s="136" customFormat="1" x14ac:dyDescent="0.3"/>
    <row r="2925" s="136" customFormat="1" x14ac:dyDescent="0.3"/>
    <row r="2926" s="136" customFormat="1" x14ac:dyDescent="0.3"/>
    <row r="2927" s="136" customFormat="1" x14ac:dyDescent="0.3"/>
    <row r="2928" s="136" customFormat="1" x14ac:dyDescent="0.3"/>
    <row r="2929" s="136" customFormat="1" x14ac:dyDescent="0.3"/>
    <row r="2930" s="136" customFormat="1" x14ac:dyDescent="0.3"/>
    <row r="2931" s="136" customFormat="1" x14ac:dyDescent="0.3"/>
    <row r="2932" s="136" customFormat="1" x14ac:dyDescent="0.3"/>
    <row r="2933" s="136" customFormat="1" x14ac:dyDescent="0.3"/>
    <row r="2934" s="136" customFormat="1" x14ac:dyDescent="0.3"/>
    <row r="2935" s="136" customFormat="1" x14ac:dyDescent="0.3"/>
    <row r="2936" s="136" customFormat="1" x14ac:dyDescent="0.3"/>
    <row r="2937" s="136" customFormat="1" x14ac:dyDescent="0.3"/>
    <row r="2938" s="136" customFormat="1" x14ac:dyDescent="0.3"/>
    <row r="2939" s="136" customFormat="1" x14ac:dyDescent="0.3"/>
    <row r="2940" s="136" customFormat="1" x14ac:dyDescent="0.3"/>
    <row r="2941" s="136" customFormat="1" x14ac:dyDescent="0.3"/>
    <row r="2942" s="136" customFormat="1" x14ac:dyDescent="0.3"/>
    <row r="2943" s="136" customFormat="1" x14ac:dyDescent="0.3"/>
    <row r="2944" s="136" customFormat="1" x14ac:dyDescent="0.3"/>
    <row r="2945" s="136" customFormat="1" x14ac:dyDescent="0.3"/>
    <row r="2946" s="136" customFormat="1" x14ac:dyDescent="0.3"/>
    <row r="2947" s="136" customFormat="1" x14ac:dyDescent="0.3"/>
    <row r="2948" s="136" customFormat="1" x14ac:dyDescent="0.3"/>
    <row r="2949" s="136" customFormat="1" x14ac:dyDescent="0.3"/>
    <row r="2950" s="136" customFormat="1" x14ac:dyDescent="0.3"/>
    <row r="2951" s="136" customFormat="1" x14ac:dyDescent="0.3"/>
    <row r="2952" s="136" customFormat="1" x14ac:dyDescent="0.3"/>
    <row r="2953" s="136" customFormat="1" x14ac:dyDescent="0.3"/>
    <row r="2954" s="136" customFormat="1" x14ac:dyDescent="0.3"/>
    <row r="2955" s="136" customFormat="1" x14ac:dyDescent="0.3"/>
    <row r="2956" s="136" customFormat="1" x14ac:dyDescent="0.3"/>
    <row r="2957" s="136" customFormat="1" x14ac:dyDescent="0.3"/>
    <row r="2958" s="136" customFormat="1" x14ac:dyDescent="0.3"/>
    <row r="2959" s="136" customFormat="1" x14ac:dyDescent="0.3"/>
    <row r="2960" s="136" customFormat="1" x14ac:dyDescent="0.3"/>
    <row r="2961" s="136" customFormat="1" x14ac:dyDescent="0.3"/>
    <row r="2962" s="136" customFormat="1" x14ac:dyDescent="0.3"/>
    <row r="2963" s="136" customFormat="1" x14ac:dyDescent="0.3"/>
    <row r="2964" s="136" customFormat="1" x14ac:dyDescent="0.3"/>
    <row r="2965" s="136" customFormat="1" x14ac:dyDescent="0.3"/>
    <row r="2966" s="136" customFormat="1" x14ac:dyDescent="0.3"/>
    <row r="2967" s="136" customFormat="1" x14ac:dyDescent="0.3"/>
    <row r="2968" s="136" customFormat="1" x14ac:dyDescent="0.3"/>
    <row r="2969" s="136" customFormat="1" x14ac:dyDescent="0.3"/>
    <row r="2970" s="136" customFormat="1" x14ac:dyDescent="0.3"/>
    <row r="2971" s="136" customFormat="1" x14ac:dyDescent="0.3"/>
    <row r="2972" s="136" customFormat="1" x14ac:dyDescent="0.3"/>
    <row r="2973" s="136" customFormat="1" x14ac:dyDescent="0.3"/>
    <row r="2974" s="136" customFormat="1" x14ac:dyDescent="0.3"/>
    <row r="2975" s="136" customFormat="1" x14ac:dyDescent="0.3"/>
    <row r="2976" s="136" customFormat="1" x14ac:dyDescent="0.3"/>
    <row r="2977" s="136" customFormat="1" x14ac:dyDescent="0.3"/>
    <row r="2978" s="136" customFormat="1" x14ac:dyDescent="0.3"/>
    <row r="2979" s="136" customFormat="1" x14ac:dyDescent="0.3"/>
    <row r="2980" s="136" customFormat="1" x14ac:dyDescent="0.3"/>
    <row r="2981" s="136" customFormat="1" x14ac:dyDescent="0.3"/>
    <row r="2982" s="136" customFormat="1" x14ac:dyDescent="0.3"/>
    <row r="2983" s="136" customFormat="1" x14ac:dyDescent="0.3"/>
    <row r="2984" s="136" customFormat="1" x14ac:dyDescent="0.3"/>
    <row r="2985" s="136" customFormat="1" x14ac:dyDescent="0.3"/>
    <row r="2986" s="136" customFormat="1" x14ac:dyDescent="0.3"/>
    <row r="2987" s="136" customFormat="1" x14ac:dyDescent="0.3"/>
    <row r="2988" s="136" customFormat="1" x14ac:dyDescent="0.3"/>
    <row r="2989" s="136" customFormat="1" x14ac:dyDescent="0.3"/>
    <row r="2990" s="136" customFormat="1" x14ac:dyDescent="0.3"/>
    <row r="2991" s="136" customFormat="1" x14ac:dyDescent="0.3"/>
    <row r="2992" s="136" customFormat="1" x14ac:dyDescent="0.3"/>
    <row r="2993" s="136" customFormat="1" x14ac:dyDescent="0.3"/>
    <row r="2994" s="136" customFormat="1" x14ac:dyDescent="0.3"/>
    <row r="2995" s="136" customFormat="1" x14ac:dyDescent="0.3"/>
    <row r="2996" s="136" customFormat="1" x14ac:dyDescent="0.3"/>
    <row r="2997" s="136" customFormat="1" x14ac:dyDescent="0.3"/>
    <row r="2998" s="136" customFormat="1" x14ac:dyDescent="0.3"/>
    <row r="2999" s="136" customFormat="1" x14ac:dyDescent="0.3"/>
    <row r="3000" s="136" customFormat="1" x14ac:dyDescent="0.3"/>
    <row r="3001" s="136" customFormat="1" x14ac:dyDescent="0.3"/>
    <row r="3002" s="136" customFormat="1" x14ac:dyDescent="0.3"/>
    <row r="3003" s="136" customFormat="1" x14ac:dyDescent="0.3"/>
    <row r="3004" s="136" customFormat="1" x14ac:dyDescent="0.3"/>
    <row r="3005" s="136" customFormat="1" x14ac:dyDescent="0.3"/>
    <row r="3006" s="136" customFormat="1" x14ac:dyDescent="0.3"/>
    <row r="3007" s="136" customFormat="1" x14ac:dyDescent="0.3"/>
    <row r="3008" s="136" customFormat="1" x14ac:dyDescent="0.3"/>
    <row r="3009" s="136" customFormat="1" x14ac:dyDescent="0.3"/>
    <row r="3010" s="136" customFormat="1" x14ac:dyDescent="0.3"/>
    <row r="3011" s="136" customFormat="1" x14ac:dyDescent="0.3"/>
    <row r="3012" s="136" customFormat="1" x14ac:dyDescent="0.3"/>
    <row r="3013" s="136" customFormat="1" x14ac:dyDescent="0.3"/>
    <row r="3014" s="136" customFormat="1" x14ac:dyDescent="0.3"/>
    <row r="3015" s="136" customFormat="1" x14ac:dyDescent="0.3"/>
    <row r="3016" s="136" customFormat="1" x14ac:dyDescent="0.3"/>
    <row r="3017" s="136" customFormat="1" x14ac:dyDescent="0.3"/>
    <row r="3018" s="136" customFormat="1" x14ac:dyDescent="0.3"/>
    <row r="3019" s="136" customFormat="1" x14ac:dyDescent="0.3"/>
    <row r="3020" s="136" customFormat="1" x14ac:dyDescent="0.3"/>
    <row r="3021" s="136" customFormat="1" x14ac:dyDescent="0.3"/>
    <row r="3022" s="136" customFormat="1" x14ac:dyDescent="0.3"/>
    <row r="3023" s="136" customFormat="1" x14ac:dyDescent="0.3"/>
    <row r="3024" s="136" customFormat="1" x14ac:dyDescent="0.3"/>
    <row r="3025" s="136" customFormat="1" x14ac:dyDescent="0.3"/>
    <row r="3026" s="136" customFormat="1" x14ac:dyDescent="0.3"/>
    <row r="3027" s="136" customFormat="1" x14ac:dyDescent="0.3"/>
    <row r="3028" s="136" customFormat="1" x14ac:dyDescent="0.3"/>
    <row r="3029" s="136" customFormat="1" x14ac:dyDescent="0.3"/>
    <row r="3030" s="136" customFormat="1" x14ac:dyDescent="0.3"/>
    <row r="3031" s="136" customFormat="1" x14ac:dyDescent="0.3"/>
    <row r="3032" s="136" customFormat="1" x14ac:dyDescent="0.3"/>
    <row r="3033" s="136" customFormat="1" x14ac:dyDescent="0.3"/>
    <row r="3034" s="136" customFormat="1" x14ac:dyDescent="0.3"/>
    <row r="3035" s="136" customFormat="1" x14ac:dyDescent="0.3"/>
    <row r="3036" s="136" customFormat="1" x14ac:dyDescent="0.3"/>
    <row r="3037" s="136" customFormat="1" x14ac:dyDescent="0.3"/>
    <row r="3038" s="136" customFormat="1" x14ac:dyDescent="0.3"/>
    <row r="3039" s="136" customFormat="1" x14ac:dyDescent="0.3"/>
    <row r="3040" s="136" customFormat="1" x14ac:dyDescent="0.3"/>
    <row r="3041" s="136" customFormat="1" x14ac:dyDescent="0.3"/>
    <row r="3042" s="136" customFormat="1" x14ac:dyDescent="0.3"/>
    <row r="3043" s="136" customFormat="1" x14ac:dyDescent="0.3"/>
    <row r="3044" s="136" customFormat="1" x14ac:dyDescent="0.3"/>
    <row r="3045" s="136" customFormat="1" x14ac:dyDescent="0.3"/>
    <row r="3046" s="136" customFormat="1" x14ac:dyDescent="0.3"/>
    <row r="3047" s="136" customFormat="1" x14ac:dyDescent="0.3"/>
    <row r="3048" s="136" customFormat="1" x14ac:dyDescent="0.3"/>
    <row r="3049" s="136" customFormat="1" x14ac:dyDescent="0.3"/>
    <row r="3050" s="136" customFormat="1" x14ac:dyDescent="0.3"/>
    <row r="3051" s="136" customFormat="1" x14ac:dyDescent="0.3"/>
    <row r="3052" s="136" customFormat="1" x14ac:dyDescent="0.3"/>
    <row r="3053" s="136" customFormat="1" x14ac:dyDescent="0.3"/>
    <row r="3054" s="136" customFormat="1" x14ac:dyDescent="0.3"/>
    <row r="3055" s="136" customFormat="1" x14ac:dyDescent="0.3"/>
    <row r="3056" s="136" customFormat="1" x14ac:dyDescent="0.3"/>
    <row r="3057" s="136" customFormat="1" x14ac:dyDescent="0.3"/>
    <row r="3058" s="136" customFormat="1" x14ac:dyDescent="0.3"/>
    <row r="3059" s="136" customFormat="1" x14ac:dyDescent="0.3"/>
    <row r="3060" s="136" customFormat="1" x14ac:dyDescent="0.3"/>
    <row r="3061" s="136" customFormat="1" x14ac:dyDescent="0.3"/>
    <row r="3062" s="136" customFormat="1" x14ac:dyDescent="0.3"/>
    <row r="3063" s="136" customFormat="1" x14ac:dyDescent="0.3"/>
    <row r="3064" s="136" customFormat="1" x14ac:dyDescent="0.3"/>
    <row r="3065" s="136" customFormat="1" x14ac:dyDescent="0.3"/>
    <row r="3066" s="136" customFormat="1" x14ac:dyDescent="0.3"/>
    <row r="3067" s="136" customFormat="1" x14ac:dyDescent="0.3"/>
    <row r="3068" s="136" customFormat="1" x14ac:dyDescent="0.3"/>
    <row r="3069" s="136" customFormat="1" x14ac:dyDescent="0.3"/>
    <row r="3070" s="136" customFormat="1" x14ac:dyDescent="0.3"/>
    <row r="3071" s="136" customFormat="1" x14ac:dyDescent="0.3"/>
    <row r="3072" s="136" customFormat="1" x14ac:dyDescent="0.3"/>
    <row r="3073" s="136" customFormat="1" x14ac:dyDescent="0.3"/>
    <row r="3074" s="136" customFormat="1" x14ac:dyDescent="0.3"/>
    <row r="3075" s="136" customFormat="1" x14ac:dyDescent="0.3"/>
    <row r="3076" s="136" customFormat="1" x14ac:dyDescent="0.3"/>
    <row r="3077" s="136" customFormat="1" x14ac:dyDescent="0.3"/>
    <row r="3078" s="136" customFormat="1" x14ac:dyDescent="0.3"/>
    <row r="3079" s="136" customFormat="1" x14ac:dyDescent="0.3"/>
    <row r="3080" s="136" customFormat="1" x14ac:dyDescent="0.3"/>
    <row r="3081" s="136" customFormat="1" x14ac:dyDescent="0.3"/>
    <row r="3082" s="136" customFormat="1" x14ac:dyDescent="0.3"/>
    <row r="3083" s="136" customFormat="1" x14ac:dyDescent="0.3"/>
    <row r="3084" s="136" customFormat="1" x14ac:dyDescent="0.3"/>
    <row r="3085" s="136" customFormat="1" x14ac:dyDescent="0.3"/>
    <row r="3086" s="136" customFormat="1" x14ac:dyDescent="0.3"/>
    <row r="3087" s="136" customFormat="1" x14ac:dyDescent="0.3"/>
    <row r="3088" s="136" customFormat="1" x14ac:dyDescent="0.3"/>
    <row r="3089" s="136" customFormat="1" x14ac:dyDescent="0.3"/>
    <row r="3090" s="136" customFormat="1" x14ac:dyDescent="0.3"/>
    <row r="3091" s="136" customFormat="1" x14ac:dyDescent="0.3"/>
    <row r="3092" s="136" customFormat="1" x14ac:dyDescent="0.3"/>
    <row r="3093" s="136" customFormat="1" x14ac:dyDescent="0.3"/>
    <row r="3094" s="136" customFormat="1" x14ac:dyDescent="0.3"/>
    <row r="3095" s="136" customFormat="1" x14ac:dyDescent="0.3"/>
    <row r="3096" s="136" customFormat="1" x14ac:dyDescent="0.3"/>
    <row r="3097" s="136" customFormat="1" x14ac:dyDescent="0.3"/>
    <row r="3098" s="136" customFormat="1" x14ac:dyDescent="0.3"/>
    <row r="3099" s="136" customFormat="1" x14ac:dyDescent="0.3"/>
    <row r="3100" s="136" customFormat="1" x14ac:dyDescent="0.3"/>
    <row r="3101" s="136" customFormat="1" x14ac:dyDescent="0.3"/>
    <row r="3102" s="136" customFormat="1" x14ac:dyDescent="0.3"/>
    <row r="3103" s="136" customFormat="1" x14ac:dyDescent="0.3"/>
    <row r="3104" s="136" customFormat="1" x14ac:dyDescent="0.3"/>
    <row r="3105" s="136" customFormat="1" x14ac:dyDescent="0.3"/>
    <row r="3106" s="136" customFormat="1" x14ac:dyDescent="0.3"/>
    <row r="3107" s="136" customFormat="1" x14ac:dyDescent="0.3"/>
    <row r="3108" s="136" customFormat="1" x14ac:dyDescent="0.3"/>
    <row r="3109" s="136" customFormat="1" x14ac:dyDescent="0.3"/>
    <row r="3110" s="136" customFormat="1" x14ac:dyDescent="0.3"/>
    <row r="3111" s="136" customFormat="1" x14ac:dyDescent="0.3"/>
    <row r="3112" s="136" customFormat="1" x14ac:dyDescent="0.3"/>
    <row r="3113" s="136" customFormat="1" x14ac:dyDescent="0.3"/>
    <row r="3114" s="136" customFormat="1" x14ac:dyDescent="0.3"/>
    <row r="3115" s="136" customFormat="1" x14ac:dyDescent="0.3"/>
    <row r="3116" s="136" customFormat="1" x14ac:dyDescent="0.3"/>
    <row r="3117" s="136" customFormat="1" x14ac:dyDescent="0.3"/>
    <row r="3118" s="136" customFormat="1" x14ac:dyDescent="0.3"/>
    <row r="3119" s="136" customFormat="1" x14ac:dyDescent="0.3"/>
    <row r="3120" s="136" customFormat="1" x14ac:dyDescent="0.3"/>
    <row r="3121" s="136" customFormat="1" x14ac:dyDescent="0.3"/>
    <row r="3122" s="136" customFormat="1" x14ac:dyDescent="0.3"/>
    <row r="3123" s="136" customFormat="1" x14ac:dyDescent="0.3"/>
    <row r="3124" s="136" customFormat="1" x14ac:dyDescent="0.3"/>
    <row r="3125" s="136" customFormat="1" x14ac:dyDescent="0.3"/>
    <row r="3126" s="136" customFormat="1" x14ac:dyDescent="0.3"/>
    <row r="3127" s="136" customFormat="1" x14ac:dyDescent="0.3"/>
    <row r="3128" s="136" customFormat="1" x14ac:dyDescent="0.3"/>
    <row r="3129" s="136" customFormat="1" x14ac:dyDescent="0.3"/>
    <row r="3130" s="136" customFormat="1" x14ac:dyDescent="0.3"/>
    <row r="3131" s="136" customFormat="1" x14ac:dyDescent="0.3"/>
    <row r="3132" s="136" customFormat="1" x14ac:dyDescent="0.3"/>
    <row r="3133" s="136" customFormat="1" x14ac:dyDescent="0.3"/>
    <row r="3134" s="136" customFormat="1" x14ac:dyDescent="0.3"/>
    <row r="3135" s="136" customFormat="1" x14ac:dyDescent="0.3"/>
    <row r="3136" s="136" customFormat="1" x14ac:dyDescent="0.3"/>
    <row r="3137" s="136" customFormat="1" x14ac:dyDescent="0.3"/>
    <row r="3138" s="136" customFormat="1" x14ac:dyDescent="0.3"/>
    <row r="3139" s="136" customFormat="1" x14ac:dyDescent="0.3"/>
    <row r="3140" s="136" customFormat="1" x14ac:dyDescent="0.3"/>
    <row r="3141" s="136" customFormat="1" x14ac:dyDescent="0.3"/>
    <row r="3142" s="136" customFormat="1" x14ac:dyDescent="0.3"/>
    <row r="3143" s="136" customFormat="1" x14ac:dyDescent="0.3"/>
    <row r="3144" s="136" customFormat="1" x14ac:dyDescent="0.3"/>
    <row r="3145" s="136" customFormat="1" x14ac:dyDescent="0.3"/>
    <row r="3146" s="136" customFormat="1" x14ac:dyDescent="0.3"/>
    <row r="3147" s="136" customFormat="1" x14ac:dyDescent="0.3"/>
    <row r="3148" s="136" customFormat="1" x14ac:dyDescent="0.3"/>
    <row r="3149" s="136" customFormat="1" x14ac:dyDescent="0.3"/>
    <row r="3150" s="136" customFormat="1" x14ac:dyDescent="0.3"/>
    <row r="3151" s="136" customFormat="1" x14ac:dyDescent="0.3"/>
    <row r="3152" s="136" customFormat="1" x14ac:dyDescent="0.3"/>
    <row r="3153" s="136" customFormat="1" x14ac:dyDescent="0.3"/>
    <row r="3154" s="136" customFormat="1" x14ac:dyDescent="0.3"/>
    <row r="3155" s="136" customFormat="1" x14ac:dyDescent="0.3"/>
    <row r="3156" s="136" customFormat="1" x14ac:dyDescent="0.3"/>
    <row r="3157" s="136" customFormat="1" x14ac:dyDescent="0.3"/>
    <row r="3158" s="136" customFormat="1" x14ac:dyDescent="0.3"/>
    <row r="3159" s="136" customFormat="1" x14ac:dyDescent="0.3"/>
    <row r="3160" s="136" customFormat="1" x14ac:dyDescent="0.3"/>
    <row r="3161" s="136" customFormat="1" x14ac:dyDescent="0.3"/>
    <row r="3162" s="136" customFormat="1" x14ac:dyDescent="0.3"/>
    <row r="3163" s="136" customFormat="1" x14ac:dyDescent="0.3"/>
    <row r="3164" s="136" customFormat="1" x14ac:dyDescent="0.3"/>
    <row r="3165" s="136" customFormat="1" x14ac:dyDescent="0.3"/>
    <row r="3166" s="136" customFormat="1" x14ac:dyDescent="0.3"/>
    <row r="3167" s="136" customFormat="1" x14ac:dyDescent="0.3"/>
    <row r="3168" s="136" customFormat="1" x14ac:dyDescent="0.3"/>
    <row r="3169" s="136" customFormat="1" x14ac:dyDescent="0.3"/>
    <row r="3170" s="136" customFormat="1" x14ac:dyDescent="0.3"/>
    <row r="3171" s="136" customFormat="1" x14ac:dyDescent="0.3"/>
    <row r="3172" s="136" customFormat="1" x14ac:dyDescent="0.3"/>
    <row r="3173" s="136" customFormat="1" x14ac:dyDescent="0.3"/>
    <row r="3174" s="136" customFormat="1" x14ac:dyDescent="0.3"/>
    <row r="3175" s="136" customFormat="1" x14ac:dyDescent="0.3"/>
    <row r="3176" s="136" customFormat="1" x14ac:dyDescent="0.3"/>
    <row r="3177" s="136" customFormat="1" x14ac:dyDescent="0.3"/>
    <row r="3178" s="136" customFormat="1" x14ac:dyDescent="0.3"/>
    <row r="3179" s="136" customFormat="1" x14ac:dyDescent="0.3"/>
    <row r="3180" s="136" customFormat="1" x14ac:dyDescent="0.3"/>
    <row r="3181" s="136" customFormat="1" x14ac:dyDescent="0.3"/>
    <row r="3182" s="136" customFormat="1" x14ac:dyDescent="0.3"/>
    <row r="3183" s="136" customFormat="1" x14ac:dyDescent="0.3"/>
    <row r="3184" s="136" customFormat="1" x14ac:dyDescent="0.3"/>
    <row r="3185" s="136" customFormat="1" x14ac:dyDescent="0.3"/>
    <row r="3186" s="136" customFormat="1" x14ac:dyDescent="0.3"/>
    <row r="3187" s="136" customFormat="1" x14ac:dyDescent="0.3"/>
    <row r="3188" s="136" customFormat="1" x14ac:dyDescent="0.3"/>
    <row r="3189" s="136" customFormat="1" x14ac:dyDescent="0.3"/>
    <row r="3190" s="136" customFormat="1" x14ac:dyDescent="0.3"/>
    <row r="3191" s="136" customFormat="1" x14ac:dyDescent="0.3"/>
    <row r="3192" s="136" customFormat="1" x14ac:dyDescent="0.3"/>
    <row r="3193" s="136" customFormat="1" x14ac:dyDescent="0.3"/>
    <row r="3194" s="136" customFormat="1" x14ac:dyDescent="0.3"/>
    <row r="3195" s="136" customFormat="1" x14ac:dyDescent="0.3"/>
    <row r="3196" s="136" customFormat="1" x14ac:dyDescent="0.3"/>
    <row r="3197" s="136" customFormat="1" x14ac:dyDescent="0.3"/>
    <row r="3198" s="136" customFormat="1" x14ac:dyDescent="0.3"/>
    <row r="3199" s="136" customFormat="1" x14ac:dyDescent="0.3"/>
    <row r="3200" s="136" customFormat="1" x14ac:dyDescent="0.3"/>
    <row r="3201" s="136" customFormat="1" x14ac:dyDescent="0.3"/>
    <row r="3202" s="136" customFormat="1" x14ac:dyDescent="0.3"/>
    <row r="3203" s="136" customFormat="1" x14ac:dyDescent="0.3"/>
    <row r="3204" s="136" customFormat="1" x14ac:dyDescent="0.3"/>
    <row r="3205" s="136" customFormat="1" x14ac:dyDescent="0.3"/>
    <row r="3206" s="136" customFormat="1" x14ac:dyDescent="0.3"/>
    <row r="3207" s="136" customFormat="1" x14ac:dyDescent="0.3"/>
    <row r="3208" s="136" customFormat="1" x14ac:dyDescent="0.3"/>
    <row r="3209" s="136" customFormat="1" x14ac:dyDescent="0.3"/>
    <row r="3210" s="136" customFormat="1" x14ac:dyDescent="0.3"/>
    <row r="3211" s="136" customFormat="1" x14ac:dyDescent="0.3"/>
    <row r="3212" s="136" customFormat="1" x14ac:dyDescent="0.3"/>
    <row r="3213" s="136" customFormat="1" x14ac:dyDescent="0.3"/>
    <row r="3214" s="136" customFormat="1" x14ac:dyDescent="0.3"/>
    <row r="3215" s="136" customFormat="1" x14ac:dyDescent="0.3"/>
    <row r="3216" s="136" customFormat="1" x14ac:dyDescent="0.3"/>
    <row r="3217" s="136" customFormat="1" x14ac:dyDescent="0.3"/>
    <row r="3218" s="136" customFormat="1" x14ac:dyDescent="0.3"/>
    <row r="3219" s="136" customFormat="1" x14ac:dyDescent="0.3"/>
    <row r="3220" s="136" customFormat="1" x14ac:dyDescent="0.3"/>
    <row r="3221" s="136" customFormat="1" x14ac:dyDescent="0.3"/>
    <row r="3222" s="136" customFormat="1" x14ac:dyDescent="0.3"/>
    <row r="3223" s="136" customFormat="1" x14ac:dyDescent="0.3"/>
    <row r="3224" s="136" customFormat="1" x14ac:dyDescent="0.3"/>
    <row r="3225" s="136" customFormat="1" x14ac:dyDescent="0.3"/>
    <row r="3226" s="136" customFormat="1" x14ac:dyDescent="0.3"/>
    <row r="3227" s="136" customFormat="1" x14ac:dyDescent="0.3"/>
    <row r="3228" s="136" customFormat="1" x14ac:dyDescent="0.3"/>
    <row r="3229" s="136" customFormat="1" x14ac:dyDescent="0.3"/>
    <row r="3230" s="136" customFormat="1" x14ac:dyDescent="0.3"/>
    <row r="3231" s="136" customFormat="1" x14ac:dyDescent="0.3"/>
    <row r="3232" s="136" customFormat="1" x14ac:dyDescent="0.3"/>
    <row r="3233" s="136" customFormat="1" x14ac:dyDescent="0.3"/>
    <row r="3234" s="136" customFormat="1" x14ac:dyDescent="0.3"/>
    <row r="3235" s="136" customFormat="1" x14ac:dyDescent="0.3"/>
    <row r="3236" s="136" customFormat="1" x14ac:dyDescent="0.3"/>
    <row r="3237" s="136" customFormat="1" x14ac:dyDescent="0.3"/>
    <row r="3238" s="136" customFormat="1" x14ac:dyDescent="0.3"/>
    <row r="3239" s="136" customFormat="1" x14ac:dyDescent="0.3"/>
    <row r="3240" s="136" customFormat="1" x14ac:dyDescent="0.3"/>
    <row r="3241" s="136" customFormat="1" x14ac:dyDescent="0.3"/>
    <row r="3242" s="136" customFormat="1" x14ac:dyDescent="0.3"/>
    <row r="3243" s="136" customFormat="1" x14ac:dyDescent="0.3"/>
    <row r="3244" s="136" customFormat="1" x14ac:dyDescent="0.3"/>
    <row r="3245" s="136" customFormat="1" x14ac:dyDescent="0.3"/>
    <row r="3246" s="136" customFormat="1" x14ac:dyDescent="0.3"/>
    <row r="3247" s="136" customFormat="1" x14ac:dyDescent="0.3"/>
    <row r="3248" s="136" customFormat="1" x14ac:dyDescent="0.3"/>
    <row r="3249" s="136" customFormat="1" x14ac:dyDescent="0.3"/>
    <row r="3250" s="136" customFormat="1" x14ac:dyDescent="0.3"/>
    <row r="3251" s="136" customFormat="1" x14ac:dyDescent="0.3"/>
    <row r="3252" s="136" customFormat="1" x14ac:dyDescent="0.3"/>
    <row r="3253" s="136" customFormat="1" x14ac:dyDescent="0.3"/>
    <row r="3254" s="136" customFormat="1" x14ac:dyDescent="0.3"/>
    <row r="3255" s="136" customFormat="1" x14ac:dyDescent="0.3"/>
    <row r="3256" s="136" customFormat="1" x14ac:dyDescent="0.3"/>
    <row r="3257" s="136" customFormat="1" x14ac:dyDescent="0.3"/>
    <row r="3258" s="136" customFormat="1" x14ac:dyDescent="0.3"/>
    <row r="3259" s="136" customFormat="1" x14ac:dyDescent="0.3"/>
    <row r="3260" s="136" customFormat="1" x14ac:dyDescent="0.3"/>
    <row r="3261" s="136" customFormat="1" x14ac:dyDescent="0.3"/>
    <row r="3262" s="136" customFormat="1" x14ac:dyDescent="0.3"/>
    <row r="3263" s="136" customFormat="1" x14ac:dyDescent="0.3"/>
    <row r="3264" s="136" customFormat="1" x14ac:dyDescent="0.3"/>
    <row r="3265" s="136" customFormat="1" x14ac:dyDescent="0.3"/>
    <row r="3266" s="136" customFormat="1" x14ac:dyDescent="0.3"/>
    <row r="3267" s="136" customFormat="1" x14ac:dyDescent="0.3"/>
    <row r="3268" s="136" customFormat="1" x14ac:dyDescent="0.3"/>
    <row r="3269" s="136" customFormat="1" x14ac:dyDescent="0.3"/>
    <row r="3270" s="136" customFormat="1" x14ac:dyDescent="0.3"/>
    <row r="3271" s="136" customFormat="1" x14ac:dyDescent="0.3"/>
    <row r="3272" s="136" customFormat="1" x14ac:dyDescent="0.3"/>
    <row r="3273" s="136" customFormat="1" x14ac:dyDescent="0.3"/>
    <row r="3274" s="136" customFormat="1" x14ac:dyDescent="0.3"/>
    <row r="3275" s="136" customFormat="1" x14ac:dyDescent="0.3"/>
    <row r="3276" s="136" customFormat="1" x14ac:dyDescent="0.3"/>
    <row r="3277" s="136" customFormat="1" x14ac:dyDescent="0.3"/>
    <row r="3278" s="136" customFormat="1" x14ac:dyDescent="0.3"/>
    <row r="3279" s="136" customFormat="1" x14ac:dyDescent="0.3"/>
    <row r="3280" s="136" customFormat="1" x14ac:dyDescent="0.3"/>
    <row r="3281" s="136" customFormat="1" x14ac:dyDescent="0.3"/>
    <row r="3282" s="136" customFormat="1" x14ac:dyDescent="0.3"/>
    <row r="3283" s="136" customFormat="1" x14ac:dyDescent="0.3"/>
    <row r="3284" s="136" customFormat="1" x14ac:dyDescent="0.3"/>
    <row r="3285" s="136" customFormat="1" x14ac:dyDescent="0.3"/>
    <row r="3286" s="136" customFormat="1" x14ac:dyDescent="0.3"/>
    <row r="3287" s="136" customFormat="1" x14ac:dyDescent="0.3"/>
    <row r="3288" s="136" customFormat="1" x14ac:dyDescent="0.3"/>
    <row r="3289" s="136" customFormat="1" x14ac:dyDescent="0.3"/>
    <row r="3290" s="136" customFormat="1" x14ac:dyDescent="0.3"/>
    <row r="3291" s="136" customFormat="1" x14ac:dyDescent="0.3"/>
    <row r="3292" s="136" customFormat="1" x14ac:dyDescent="0.3"/>
    <row r="3293" s="136" customFormat="1" x14ac:dyDescent="0.3"/>
    <row r="3294" s="136" customFormat="1" x14ac:dyDescent="0.3"/>
    <row r="3295" s="136" customFormat="1" x14ac:dyDescent="0.3"/>
    <row r="3296" s="136" customFormat="1" x14ac:dyDescent="0.3"/>
    <row r="3297" s="136" customFormat="1" x14ac:dyDescent="0.3"/>
    <row r="3298" s="136" customFormat="1" x14ac:dyDescent="0.3"/>
    <row r="3299" s="136" customFormat="1" x14ac:dyDescent="0.3"/>
    <row r="3300" s="136" customFormat="1" x14ac:dyDescent="0.3"/>
    <row r="3301" s="136" customFormat="1" x14ac:dyDescent="0.3"/>
    <row r="3302" s="136" customFormat="1" x14ac:dyDescent="0.3"/>
    <row r="3303" s="136" customFormat="1" x14ac:dyDescent="0.3"/>
    <row r="3304" s="136" customFormat="1" x14ac:dyDescent="0.3"/>
    <row r="3305" s="136" customFormat="1" x14ac:dyDescent="0.3"/>
    <row r="3306" s="136" customFormat="1" x14ac:dyDescent="0.3"/>
    <row r="3307" s="136" customFormat="1" x14ac:dyDescent="0.3"/>
    <row r="3308" s="136" customFormat="1" x14ac:dyDescent="0.3"/>
    <row r="3309" s="136" customFormat="1" x14ac:dyDescent="0.3"/>
    <row r="3310" s="136" customFormat="1" x14ac:dyDescent="0.3"/>
    <row r="3311" s="136" customFormat="1" x14ac:dyDescent="0.3"/>
    <row r="3312" s="136" customFormat="1" x14ac:dyDescent="0.3"/>
    <row r="3313" s="136" customFormat="1" x14ac:dyDescent="0.3"/>
    <row r="3314" s="136" customFormat="1" x14ac:dyDescent="0.3"/>
    <row r="3315" s="136" customFormat="1" x14ac:dyDescent="0.3"/>
    <row r="3316" s="136" customFormat="1" x14ac:dyDescent="0.3"/>
    <row r="3317" s="136" customFormat="1" x14ac:dyDescent="0.3"/>
    <row r="3318" s="136" customFormat="1" x14ac:dyDescent="0.3"/>
    <row r="3319" s="136" customFormat="1" x14ac:dyDescent="0.3"/>
    <row r="3320" s="136" customFormat="1" x14ac:dyDescent="0.3"/>
    <row r="3321" s="136" customFormat="1" x14ac:dyDescent="0.3"/>
    <row r="3322" s="136" customFormat="1" x14ac:dyDescent="0.3"/>
    <row r="3323" s="136" customFormat="1" x14ac:dyDescent="0.3"/>
    <row r="3324" s="136" customFormat="1" x14ac:dyDescent="0.3"/>
    <row r="3325" s="136" customFormat="1" x14ac:dyDescent="0.3"/>
    <row r="3326" s="136" customFormat="1" x14ac:dyDescent="0.3"/>
    <row r="3327" s="136" customFormat="1" x14ac:dyDescent="0.3"/>
    <row r="3328" s="136" customFormat="1" x14ac:dyDescent="0.3"/>
    <row r="3329" s="136" customFormat="1" x14ac:dyDescent="0.3"/>
    <row r="3330" s="136" customFormat="1" x14ac:dyDescent="0.3"/>
    <row r="3331" s="136" customFormat="1" x14ac:dyDescent="0.3"/>
    <row r="3332" s="136" customFormat="1" x14ac:dyDescent="0.3"/>
    <row r="3333" s="136" customFormat="1" x14ac:dyDescent="0.3"/>
    <row r="3334" s="136" customFormat="1" x14ac:dyDescent="0.3"/>
    <row r="3335" s="136" customFormat="1" x14ac:dyDescent="0.3"/>
    <row r="3336" s="136" customFormat="1" x14ac:dyDescent="0.3"/>
    <row r="3337" s="136" customFormat="1" x14ac:dyDescent="0.3"/>
    <row r="3338" s="136" customFormat="1" x14ac:dyDescent="0.3"/>
    <row r="3339" s="136" customFormat="1" x14ac:dyDescent="0.3"/>
    <row r="3340" s="136" customFormat="1" x14ac:dyDescent="0.3"/>
    <row r="3341" s="136" customFormat="1" x14ac:dyDescent="0.3"/>
    <row r="3342" s="136" customFormat="1" x14ac:dyDescent="0.3"/>
    <row r="3343" s="136" customFormat="1" x14ac:dyDescent="0.3"/>
    <row r="3344" s="136" customFormat="1" x14ac:dyDescent="0.3"/>
    <row r="3345" s="136" customFormat="1" x14ac:dyDescent="0.3"/>
    <row r="3346" s="136" customFormat="1" x14ac:dyDescent="0.3"/>
    <row r="3347" s="136" customFormat="1" x14ac:dyDescent="0.3"/>
    <row r="3348" s="136" customFormat="1" x14ac:dyDescent="0.3"/>
    <row r="3349" s="136" customFormat="1" x14ac:dyDescent="0.3"/>
    <row r="3350" s="136" customFormat="1" x14ac:dyDescent="0.3"/>
    <row r="3351" s="136" customFormat="1" x14ac:dyDescent="0.3"/>
    <row r="3352" s="136" customFormat="1" x14ac:dyDescent="0.3"/>
    <row r="3353" s="136" customFormat="1" x14ac:dyDescent="0.3"/>
    <row r="3354" s="136" customFormat="1" x14ac:dyDescent="0.3"/>
    <row r="3355" s="136" customFormat="1" x14ac:dyDescent="0.3"/>
    <row r="3356" s="136" customFormat="1" x14ac:dyDescent="0.3"/>
    <row r="3357" s="136" customFormat="1" x14ac:dyDescent="0.3"/>
    <row r="3358" s="136" customFormat="1" x14ac:dyDescent="0.3"/>
    <row r="3359" s="136" customFormat="1" x14ac:dyDescent="0.3"/>
    <row r="3360" s="136" customFormat="1" x14ac:dyDescent="0.3"/>
    <row r="3361" s="136" customFormat="1" x14ac:dyDescent="0.3"/>
    <row r="3362" s="136" customFormat="1" x14ac:dyDescent="0.3"/>
    <row r="3363" s="136" customFormat="1" x14ac:dyDescent="0.3"/>
    <row r="3364" s="136" customFormat="1" x14ac:dyDescent="0.3"/>
    <row r="3365" s="136" customFormat="1" x14ac:dyDescent="0.3"/>
    <row r="3366" s="136" customFormat="1" x14ac:dyDescent="0.3"/>
    <row r="3367" s="136" customFormat="1" x14ac:dyDescent="0.3"/>
    <row r="3368" s="136" customFormat="1" x14ac:dyDescent="0.3"/>
    <row r="3369" s="136" customFormat="1" x14ac:dyDescent="0.3"/>
    <row r="3370" s="136" customFormat="1" x14ac:dyDescent="0.3"/>
    <row r="3371" s="136" customFormat="1" x14ac:dyDescent="0.3"/>
    <row r="3372" s="136" customFormat="1" x14ac:dyDescent="0.3"/>
    <row r="3373" s="136" customFormat="1" x14ac:dyDescent="0.3"/>
    <row r="3374" s="136" customFormat="1" x14ac:dyDescent="0.3"/>
    <row r="3375" s="136" customFormat="1" x14ac:dyDescent="0.3"/>
    <row r="3376" s="136" customFormat="1" x14ac:dyDescent="0.3"/>
    <row r="3377" s="136" customFormat="1" x14ac:dyDescent="0.3"/>
    <row r="3378" s="136" customFormat="1" x14ac:dyDescent="0.3"/>
    <row r="3379" s="136" customFormat="1" x14ac:dyDescent="0.3"/>
    <row r="3380" s="136" customFormat="1" x14ac:dyDescent="0.3"/>
    <row r="3381" s="136" customFormat="1" x14ac:dyDescent="0.3"/>
    <row r="3382" s="136" customFormat="1" x14ac:dyDescent="0.3"/>
    <row r="3383" s="136" customFormat="1" x14ac:dyDescent="0.3"/>
    <row r="3384" s="136" customFormat="1" x14ac:dyDescent="0.3"/>
    <row r="3385" s="136" customFormat="1" x14ac:dyDescent="0.3"/>
    <row r="3386" s="136" customFormat="1" x14ac:dyDescent="0.3"/>
    <row r="3387" s="136" customFormat="1" x14ac:dyDescent="0.3"/>
    <row r="3388" s="136" customFormat="1" x14ac:dyDescent="0.3"/>
    <row r="3389" s="136" customFormat="1" x14ac:dyDescent="0.3"/>
    <row r="3390" s="136" customFormat="1" x14ac:dyDescent="0.3"/>
    <row r="3391" s="136" customFormat="1" x14ac:dyDescent="0.3"/>
    <row r="3392" s="136" customFormat="1" x14ac:dyDescent="0.3"/>
    <row r="3393" s="136" customFormat="1" x14ac:dyDescent="0.3"/>
    <row r="3394" s="136" customFormat="1" x14ac:dyDescent="0.3"/>
    <row r="3395" s="136" customFormat="1" x14ac:dyDescent="0.3"/>
    <row r="3396" s="136" customFormat="1" x14ac:dyDescent="0.3"/>
    <row r="3397" s="136" customFormat="1" x14ac:dyDescent="0.3"/>
    <row r="3398" s="136" customFormat="1" x14ac:dyDescent="0.3"/>
    <row r="3399" s="136" customFormat="1" x14ac:dyDescent="0.3"/>
    <row r="3400" s="136" customFormat="1" x14ac:dyDescent="0.3"/>
    <row r="3401" s="136" customFormat="1" x14ac:dyDescent="0.3"/>
    <row r="3402" s="136" customFormat="1" x14ac:dyDescent="0.3"/>
    <row r="3403" s="136" customFormat="1" x14ac:dyDescent="0.3"/>
    <row r="3404" s="136" customFormat="1" x14ac:dyDescent="0.3"/>
    <row r="3405" s="136" customFormat="1" x14ac:dyDescent="0.3"/>
    <row r="3406" s="136" customFormat="1" x14ac:dyDescent="0.3"/>
    <row r="3407" s="136" customFormat="1" x14ac:dyDescent="0.3"/>
    <row r="3408" s="136" customFormat="1" x14ac:dyDescent="0.3"/>
    <row r="3409" s="136" customFormat="1" x14ac:dyDescent="0.3"/>
    <row r="3410" s="136" customFormat="1" x14ac:dyDescent="0.3"/>
    <row r="3411" s="136" customFormat="1" x14ac:dyDescent="0.3"/>
    <row r="3412" s="136" customFormat="1" x14ac:dyDescent="0.3"/>
    <row r="3413" s="136" customFormat="1" x14ac:dyDescent="0.3"/>
    <row r="3414" s="136" customFormat="1" x14ac:dyDescent="0.3"/>
    <row r="3415" s="136" customFormat="1" x14ac:dyDescent="0.3"/>
    <row r="3416" s="136" customFormat="1" x14ac:dyDescent="0.3"/>
    <row r="3417" s="136" customFormat="1" x14ac:dyDescent="0.3"/>
    <row r="3418" s="136" customFormat="1" x14ac:dyDescent="0.3"/>
    <row r="3419" s="136" customFormat="1" x14ac:dyDescent="0.3"/>
    <row r="3420" s="136" customFormat="1" x14ac:dyDescent="0.3"/>
    <row r="3421" s="136" customFormat="1" x14ac:dyDescent="0.3"/>
    <row r="3422" s="136" customFormat="1" x14ac:dyDescent="0.3"/>
    <row r="3423" s="136" customFormat="1" x14ac:dyDescent="0.3"/>
    <row r="3424" s="136" customFormat="1" x14ac:dyDescent="0.3"/>
    <row r="3425" s="136" customFormat="1" x14ac:dyDescent="0.3"/>
    <row r="3426" s="136" customFormat="1" x14ac:dyDescent="0.3"/>
    <row r="3427" s="136" customFormat="1" x14ac:dyDescent="0.3"/>
    <row r="3428" s="136" customFormat="1" x14ac:dyDescent="0.3"/>
    <row r="3429" s="136" customFormat="1" x14ac:dyDescent="0.3"/>
    <row r="3430" s="136" customFormat="1" x14ac:dyDescent="0.3"/>
    <row r="3431" s="136" customFormat="1" x14ac:dyDescent="0.3"/>
    <row r="3432" s="136" customFormat="1" x14ac:dyDescent="0.3"/>
    <row r="3433" s="136" customFormat="1" x14ac:dyDescent="0.3"/>
    <row r="3434" s="136" customFormat="1" x14ac:dyDescent="0.3"/>
    <row r="3435" s="136" customFormat="1" x14ac:dyDescent="0.3"/>
    <row r="3436" s="136" customFormat="1" x14ac:dyDescent="0.3"/>
    <row r="3437" s="136" customFormat="1" x14ac:dyDescent="0.3"/>
    <row r="3438" s="136" customFormat="1" x14ac:dyDescent="0.3"/>
    <row r="3439" s="136" customFormat="1" x14ac:dyDescent="0.3"/>
    <row r="3440" s="136" customFormat="1" x14ac:dyDescent="0.3"/>
    <row r="3441" s="136" customFormat="1" x14ac:dyDescent="0.3"/>
    <row r="3442" s="136" customFormat="1" x14ac:dyDescent="0.3"/>
    <row r="3443" s="136" customFormat="1" x14ac:dyDescent="0.3"/>
    <row r="3444" s="136" customFormat="1" x14ac:dyDescent="0.3"/>
    <row r="3445" s="136" customFormat="1" x14ac:dyDescent="0.3"/>
    <row r="3446" s="136" customFormat="1" x14ac:dyDescent="0.3"/>
    <row r="3447" s="136" customFormat="1" x14ac:dyDescent="0.3"/>
    <row r="3448" s="136" customFormat="1" x14ac:dyDescent="0.3"/>
    <row r="3449" s="136" customFormat="1" x14ac:dyDescent="0.3"/>
    <row r="3450" s="136" customFormat="1" x14ac:dyDescent="0.3"/>
    <row r="3451" s="136" customFormat="1" x14ac:dyDescent="0.3"/>
    <row r="3452" s="136" customFormat="1" x14ac:dyDescent="0.3"/>
    <row r="3453" s="136" customFormat="1" x14ac:dyDescent="0.3"/>
    <row r="3454" s="136" customFormat="1" x14ac:dyDescent="0.3"/>
    <row r="3455" s="136" customFormat="1" x14ac:dyDescent="0.3"/>
    <row r="3456" s="136" customFormat="1" x14ac:dyDescent="0.3"/>
    <row r="3457" s="136" customFormat="1" x14ac:dyDescent="0.3"/>
    <row r="3458" s="136" customFormat="1" x14ac:dyDescent="0.3"/>
    <row r="3459" s="136" customFormat="1" x14ac:dyDescent="0.3"/>
    <row r="3460" s="136" customFormat="1" x14ac:dyDescent="0.3"/>
    <row r="3461" s="136" customFormat="1" x14ac:dyDescent="0.3"/>
    <row r="3462" s="136" customFormat="1" x14ac:dyDescent="0.3"/>
    <row r="3463" s="136" customFormat="1" x14ac:dyDescent="0.3"/>
    <row r="3464" s="136" customFormat="1" x14ac:dyDescent="0.3"/>
    <row r="3465" s="136" customFormat="1" x14ac:dyDescent="0.3"/>
    <row r="3466" s="136" customFormat="1" x14ac:dyDescent="0.3"/>
    <row r="3467" s="136" customFormat="1" x14ac:dyDescent="0.3"/>
    <row r="3468" s="136" customFormat="1" x14ac:dyDescent="0.3"/>
    <row r="3469" s="136" customFormat="1" x14ac:dyDescent="0.3"/>
    <row r="3470" s="136" customFormat="1" x14ac:dyDescent="0.3"/>
    <row r="3471" s="136" customFormat="1" x14ac:dyDescent="0.3"/>
    <row r="3472" s="136" customFormat="1" x14ac:dyDescent="0.3"/>
    <row r="3473" s="136" customFormat="1" x14ac:dyDescent="0.3"/>
    <row r="3474" s="136" customFormat="1" x14ac:dyDescent="0.3"/>
    <row r="3475" s="136" customFormat="1" x14ac:dyDescent="0.3"/>
    <row r="3476" s="136" customFormat="1" x14ac:dyDescent="0.3"/>
    <row r="3477" s="136" customFormat="1" x14ac:dyDescent="0.3"/>
    <row r="3478" s="136" customFormat="1" x14ac:dyDescent="0.3"/>
    <row r="3479" s="136" customFormat="1" x14ac:dyDescent="0.3"/>
    <row r="3480" s="136" customFormat="1" x14ac:dyDescent="0.3"/>
    <row r="3481" s="136" customFormat="1" x14ac:dyDescent="0.3"/>
    <row r="3482" s="136" customFormat="1" x14ac:dyDescent="0.3"/>
    <row r="3483" s="136" customFormat="1" x14ac:dyDescent="0.3"/>
    <row r="3484" s="136" customFormat="1" x14ac:dyDescent="0.3"/>
    <row r="3485" s="136" customFormat="1" x14ac:dyDescent="0.3"/>
    <row r="3486" s="136" customFormat="1" x14ac:dyDescent="0.3"/>
    <row r="3487" s="136" customFormat="1" x14ac:dyDescent="0.3"/>
    <row r="3488" s="136" customFormat="1" x14ac:dyDescent="0.3"/>
    <row r="3489" s="136" customFormat="1" x14ac:dyDescent="0.3"/>
    <row r="3490" s="136" customFormat="1" x14ac:dyDescent="0.3"/>
    <row r="3491" s="136" customFormat="1" x14ac:dyDescent="0.3"/>
    <row r="3492" s="136" customFormat="1" x14ac:dyDescent="0.3"/>
    <row r="3493" s="136" customFormat="1" x14ac:dyDescent="0.3"/>
    <row r="3494" s="136" customFormat="1" x14ac:dyDescent="0.3"/>
    <row r="3495" s="136" customFormat="1" x14ac:dyDescent="0.3"/>
    <row r="3496" s="136" customFormat="1" x14ac:dyDescent="0.3"/>
    <row r="3497" s="136" customFormat="1" x14ac:dyDescent="0.3"/>
    <row r="3498" s="136" customFormat="1" x14ac:dyDescent="0.3"/>
    <row r="3499" s="136" customFormat="1" x14ac:dyDescent="0.3"/>
    <row r="3500" s="136" customFormat="1" x14ac:dyDescent="0.3"/>
    <row r="3501" s="136" customFormat="1" x14ac:dyDescent="0.3"/>
    <row r="3502" s="136" customFormat="1" x14ac:dyDescent="0.3"/>
    <row r="3503" s="136" customFormat="1" x14ac:dyDescent="0.3"/>
    <row r="3504" s="136" customFormat="1" x14ac:dyDescent="0.3"/>
    <row r="3505" s="136" customFormat="1" x14ac:dyDescent="0.3"/>
    <row r="3506" s="136" customFormat="1" x14ac:dyDescent="0.3"/>
    <row r="3507" s="136" customFormat="1" x14ac:dyDescent="0.3"/>
    <row r="3508" s="136" customFormat="1" x14ac:dyDescent="0.3"/>
    <row r="3509" s="136" customFormat="1" x14ac:dyDescent="0.3"/>
    <row r="3510" s="136" customFormat="1" x14ac:dyDescent="0.3"/>
    <row r="3511" s="136" customFormat="1" x14ac:dyDescent="0.3"/>
    <row r="3512" s="136" customFormat="1" x14ac:dyDescent="0.3"/>
    <row r="3513" s="136" customFormat="1" x14ac:dyDescent="0.3"/>
    <row r="3514" s="136" customFormat="1" x14ac:dyDescent="0.3"/>
    <row r="3515" s="136" customFormat="1" x14ac:dyDescent="0.3"/>
    <row r="3516" s="136" customFormat="1" x14ac:dyDescent="0.3"/>
    <row r="3517" s="136" customFormat="1" x14ac:dyDescent="0.3"/>
    <row r="3518" s="136" customFormat="1" x14ac:dyDescent="0.3"/>
    <row r="3519" s="136" customFormat="1" x14ac:dyDescent="0.3"/>
    <row r="3520" s="136" customFormat="1" x14ac:dyDescent="0.3"/>
    <row r="3521" s="136" customFormat="1" x14ac:dyDescent="0.3"/>
    <row r="3522" s="136" customFormat="1" x14ac:dyDescent="0.3"/>
    <row r="3523" s="136" customFormat="1" x14ac:dyDescent="0.3"/>
    <row r="3524" s="136" customFormat="1" x14ac:dyDescent="0.3"/>
    <row r="3525" s="136" customFormat="1" x14ac:dyDescent="0.3"/>
    <row r="3526" s="136" customFormat="1" x14ac:dyDescent="0.3"/>
    <row r="3527" s="136" customFormat="1" x14ac:dyDescent="0.3"/>
    <row r="3528" s="136" customFormat="1" x14ac:dyDescent="0.3"/>
    <row r="3529" s="136" customFormat="1" x14ac:dyDescent="0.3"/>
    <row r="3530" s="136" customFormat="1" x14ac:dyDescent="0.3"/>
    <row r="3531" s="136" customFormat="1" x14ac:dyDescent="0.3"/>
    <row r="3532" s="136" customFormat="1" x14ac:dyDescent="0.3"/>
    <row r="3533" s="136" customFormat="1" x14ac:dyDescent="0.3"/>
    <row r="3534" s="136" customFormat="1" x14ac:dyDescent="0.3"/>
    <row r="3535" s="136" customFormat="1" x14ac:dyDescent="0.3"/>
    <row r="3536" s="136" customFormat="1" x14ac:dyDescent="0.3"/>
    <row r="3537" s="136" customFormat="1" x14ac:dyDescent="0.3"/>
    <row r="3538" s="136" customFormat="1" x14ac:dyDescent="0.3"/>
    <row r="3539" s="136" customFormat="1" x14ac:dyDescent="0.3"/>
    <row r="3540" s="136" customFormat="1" x14ac:dyDescent="0.3"/>
    <row r="3541" s="136" customFormat="1" x14ac:dyDescent="0.3"/>
    <row r="3542" s="136" customFormat="1" x14ac:dyDescent="0.3"/>
    <row r="3543" s="136" customFormat="1" x14ac:dyDescent="0.3"/>
    <row r="3544" s="136" customFormat="1" x14ac:dyDescent="0.3"/>
    <row r="3545" s="136" customFormat="1" x14ac:dyDescent="0.3"/>
    <row r="3546" s="136" customFormat="1" x14ac:dyDescent="0.3"/>
    <row r="3547" s="136" customFormat="1" x14ac:dyDescent="0.3"/>
    <row r="3548" s="136" customFormat="1" x14ac:dyDescent="0.3"/>
    <row r="3549" s="136" customFormat="1" x14ac:dyDescent="0.3"/>
    <row r="3550" s="136" customFormat="1" x14ac:dyDescent="0.3"/>
    <row r="3551" s="136" customFormat="1" x14ac:dyDescent="0.3"/>
    <row r="3552" s="136" customFormat="1" x14ac:dyDescent="0.3"/>
    <row r="3553" s="136" customFormat="1" x14ac:dyDescent="0.3"/>
    <row r="3554" s="136" customFormat="1" x14ac:dyDescent="0.3"/>
    <row r="3555" s="136" customFormat="1" x14ac:dyDescent="0.3"/>
    <row r="3556" s="136" customFormat="1" x14ac:dyDescent="0.3"/>
    <row r="3557" s="136" customFormat="1" x14ac:dyDescent="0.3"/>
    <row r="3558" s="136" customFormat="1" x14ac:dyDescent="0.3"/>
    <row r="3559" s="136" customFormat="1" x14ac:dyDescent="0.3"/>
    <row r="3560" s="136" customFormat="1" x14ac:dyDescent="0.3"/>
    <row r="3561" s="136" customFormat="1" x14ac:dyDescent="0.3"/>
    <row r="3562" s="136" customFormat="1" x14ac:dyDescent="0.3"/>
    <row r="3563" s="136" customFormat="1" x14ac:dyDescent="0.3"/>
    <row r="3564" s="136" customFormat="1" x14ac:dyDescent="0.3"/>
    <row r="3565" s="136" customFormat="1" x14ac:dyDescent="0.3"/>
    <row r="3566" s="136" customFormat="1" x14ac:dyDescent="0.3"/>
    <row r="3567" s="136" customFormat="1" x14ac:dyDescent="0.3"/>
    <row r="3568" s="136" customFormat="1" x14ac:dyDescent="0.3"/>
    <row r="3569" s="136" customFormat="1" x14ac:dyDescent="0.3"/>
    <row r="3570" s="136" customFormat="1" x14ac:dyDescent="0.3"/>
    <row r="3571" s="136" customFormat="1" x14ac:dyDescent="0.3"/>
    <row r="3572" s="136" customFormat="1" x14ac:dyDescent="0.3"/>
    <row r="3573" s="136" customFormat="1" x14ac:dyDescent="0.3"/>
    <row r="3574" s="136" customFormat="1" x14ac:dyDescent="0.3"/>
    <row r="3575" s="136" customFormat="1" x14ac:dyDescent="0.3"/>
    <row r="3576" s="136" customFormat="1" x14ac:dyDescent="0.3"/>
    <row r="3577" s="136" customFormat="1" x14ac:dyDescent="0.3"/>
    <row r="3578" s="136" customFormat="1" x14ac:dyDescent="0.3"/>
    <row r="3579" s="136" customFormat="1" x14ac:dyDescent="0.3"/>
    <row r="3580" s="136" customFormat="1" x14ac:dyDescent="0.3"/>
    <row r="3581" s="136" customFormat="1" x14ac:dyDescent="0.3"/>
    <row r="3582" s="136" customFormat="1" x14ac:dyDescent="0.3"/>
    <row r="3583" s="136" customFormat="1" x14ac:dyDescent="0.3"/>
    <row r="3584" s="136" customFormat="1" x14ac:dyDescent="0.3"/>
    <row r="3585" s="136" customFormat="1" x14ac:dyDescent="0.3"/>
    <row r="3586" s="136" customFormat="1" x14ac:dyDescent="0.3"/>
    <row r="3587" s="136" customFormat="1" x14ac:dyDescent="0.3"/>
    <row r="3588" s="136" customFormat="1" x14ac:dyDescent="0.3"/>
    <row r="3589" s="136" customFormat="1" x14ac:dyDescent="0.3"/>
    <row r="3590" s="136" customFormat="1" x14ac:dyDescent="0.3"/>
    <row r="3591" s="136" customFormat="1" x14ac:dyDescent="0.3"/>
    <row r="3592" s="136" customFormat="1" x14ac:dyDescent="0.3"/>
    <row r="3593" s="136" customFormat="1" x14ac:dyDescent="0.3"/>
    <row r="3594" s="136" customFormat="1" x14ac:dyDescent="0.3"/>
    <row r="3595" s="136" customFormat="1" x14ac:dyDescent="0.3"/>
    <row r="3596" s="136" customFormat="1" x14ac:dyDescent="0.3"/>
    <row r="3597" s="136" customFormat="1" x14ac:dyDescent="0.3"/>
    <row r="3598" s="136" customFormat="1" x14ac:dyDescent="0.3"/>
    <row r="3599" s="136" customFormat="1" x14ac:dyDescent="0.3"/>
    <row r="3600" s="136" customFormat="1" x14ac:dyDescent="0.3"/>
    <row r="3601" s="136" customFormat="1" x14ac:dyDescent="0.3"/>
    <row r="3602" s="136" customFormat="1" x14ac:dyDescent="0.3"/>
    <row r="3603" s="136" customFormat="1" x14ac:dyDescent="0.3"/>
    <row r="3604" s="136" customFormat="1" x14ac:dyDescent="0.3"/>
    <row r="3605" s="136" customFormat="1" x14ac:dyDescent="0.3"/>
    <row r="3606" s="136" customFormat="1" x14ac:dyDescent="0.3"/>
    <row r="3607" s="136" customFormat="1" x14ac:dyDescent="0.3"/>
    <row r="3608" s="136" customFormat="1" x14ac:dyDescent="0.3"/>
    <row r="3609" s="136" customFormat="1" x14ac:dyDescent="0.3"/>
    <row r="3610" s="136" customFormat="1" x14ac:dyDescent="0.3"/>
    <row r="3611" s="136" customFormat="1" x14ac:dyDescent="0.3"/>
    <row r="3612" s="136" customFormat="1" x14ac:dyDescent="0.3"/>
    <row r="3613" s="136" customFormat="1" x14ac:dyDescent="0.3"/>
    <row r="3614" s="136" customFormat="1" x14ac:dyDescent="0.3"/>
    <row r="3615" s="136" customFormat="1" x14ac:dyDescent="0.3"/>
    <row r="3616" s="136" customFormat="1" x14ac:dyDescent="0.3"/>
    <row r="3617" s="136" customFormat="1" x14ac:dyDescent="0.3"/>
    <row r="3618" s="136" customFormat="1" x14ac:dyDescent="0.3"/>
    <row r="3619" s="136" customFormat="1" x14ac:dyDescent="0.3"/>
    <row r="3620" s="136" customFormat="1" x14ac:dyDescent="0.3"/>
    <row r="3621" s="136" customFormat="1" x14ac:dyDescent="0.3"/>
    <row r="3622" s="136" customFormat="1" x14ac:dyDescent="0.3"/>
    <row r="3623" s="136" customFormat="1" x14ac:dyDescent="0.3"/>
    <row r="3624" s="136" customFormat="1" x14ac:dyDescent="0.3"/>
    <row r="3625" s="136" customFormat="1" x14ac:dyDescent="0.3"/>
    <row r="3626" s="136" customFormat="1" x14ac:dyDescent="0.3"/>
    <row r="3627" s="136" customFormat="1" x14ac:dyDescent="0.3"/>
    <row r="3628" s="136" customFormat="1" x14ac:dyDescent="0.3"/>
    <row r="3629" s="136" customFormat="1" x14ac:dyDescent="0.3"/>
    <row r="3630" s="136" customFormat="1" x14ac:dyDescent="0.3"/>
    <row r="3631" s="136" customFormat="1" x14ac:dyDescent="0.3"/>
    <row r="3632" s="136" customFormat="1" x14ac:dyDescent="0.3"/>
    <row r="3633" s="136" customFormat="1" x14ac:dyDescent="0.3"/>
    <row r="3634" s="136" customFormat="1" x14ac:dyDescent="0.3"/>
    <row r="3635" s="136" customFormat="1" x14ac:dyDescent="0.3"/>
    <row r="3636" s="136" customFormat="1" x14ac:dyDescent="0.3"/>
    <row r="3637" s="136" customFormat="1" x14ac:dyDescent="0.3"/>
    <row r="3638" s="136" customFormat="1" x14ac:dyDescent="0.3"/>
    <row r="3639" s="136" customFormat="1" x14ac:dyDescent="0.3"/>
    <row r="3640" s="136" customFormat="1" x14ac:dyDescent="0.3"/>
    <row r="3641" s="136" customFormat="1" x14ac:dyDescent="0.3"/>
    <row r="3642" s="136" customFormat="1" x14ac:dyDescent="0.3"/>
    <row r="3643" s="136" customFormat="1" x14ac:dyDescent="0.3"/>
    <row r="3644" s="136" customFormat="1" x14ac:dyDescent="0.3"/>
    <row r="3645" s="136" customFormat="1" x14ac:dyDescent="0.3"/>
    <row r="3646" s="136" customFormat="1" x14ac:dyDescent="0.3"/>
    <row r="3647" s="136" customFormat="1" x14ac:dyDescent="0.3"/>
    <row r="3648" s="136" customFormat="1" x14ac:dyDescent="0.3"/>
    <row r="3649" s="136" customFormat="1" x14ac:dyDescent="0.3"/>
    <row r="3650" s="136" customFormat="1" x14ac:dyDescent="0.3"/>
    <row r="3651" s="136" customFormat="1" x14ac:dyDescent="0.3"/>
    <row r="3652" s="136" customFormat="1" x14ac:dyDescent="0.3"/>
    <row r="3653" s="136" customFormat="1" x14ac:dyDescent="0.3"/>
    <row r="3654" s="136" customFormat="1" x14ac:dyDescent="0.3"/>
    <row r="3655" s="136" customFormat="1" x14ac:dyDescent="0.3"/>
    <row r="3656" s="136" customFormat="1" x14ac:dyDescent="0.3"/>
    <row r="3657" s="136" customFormat="1" x14ac:dyDescent="0.3"/>
    <row r="3658" s="136" customFormat="1" x14ac:dyDescent="0.3"/>
    <row r="3659" s="136" customFormat="1" x14ac:dyDescent="0.3"/>
    <row r="3660" s="136" customFormat="1" x14ac:dyDescent="0.3"/>
    <row r="3661" s="136" customFormat="1" x14ac:dyDescent="0.3"/>
    <row r="3662" s="136" customFormat="1" x14ac:dyDescent="0.3"/>
    <row r="3663" s="136" customFormat="1" x14ac:dyDescent="0.3"/>
    <row r="3664" s="136" customFormat="1" x14ac:dyDescent="0.3"/>
    <row r="3665" s="136" customFormat="1" x14ac:dyDescent="0.3"/>
    <row r="3666" s="136" customFormat="1" x14ac:dyDescent="0.3"/>
    <row r="3667" s="136" customFormat="1" x14ac:dyDescent="0.3"/>
    <row r="3668" s="136" customFormat="1" x14ac:dyDescent="0.3"/>
    <row r="3669" s="136" customFormat="1" x14ac:dyDescent="0.3"/>
    <row r="3670" s="136" customFormat="1" x14ac:dyDescent="0.3"/>
    <row r="3671" s="136" customFormat="1" x14ac:dyDescent="0.3"/>
    <row r="3672" s="136" customFormat="1" x14ac:dyDescent="0.3"/>
    <row r="3673" s="136" customFormat="1" x14ac:dyDescent="0.3"/>
    <row r="3674" s="136" customFormat="1" x14ac:dyDescent="0.3"/>
    <row r="3675" s="136" customFormat="1" x14ac:dyDescent="0.3"/>
    <row r="3676" s="136" customFormat="1" x14ac:dyDescent="0.3"/>
    <row r="3677" s="136" customFormat="1" x14ac:dyDescent="0.3"/>
    <row r="3678" s="136" customFormat="1" x14ac:dyDescent="0.3"/>
    <row r="3679" s="136" customFormat="1" x14ac:dyDescent="0.3"/>
    <row r="3680" s="136" customFormat="1" x14ac:dyDescent="0.3"/>
    <row r="3681" s="136" customFormat="1" x14ac:dyDescent="0.3"/>
    <row r="3682" s="136" customFormat="1" x14ac:dyDescent="0.3"/>
    <row r="3683" s="136" customFormat="1" x14ac:dyDescent="0.3"/>
    <row r="3684" s="136" customFormat="1" x14ac:dyDescent="0.3"/>
    <row r="3685" s="136" customFormat="1" x14ac:dyDescent="0.3"/>
    <row r="3686" s="136" customFormat="1" x14ac:dyDescent="0.3"/>
    <row r="3687" s="136" customFormat="1" x14ac:dyDescent="0.3"/>
    <row r="3688" s="136" customFormat="1" x14ac:dyDescent="0.3"/>
    <row r="3689" s="136" customFormat="1" x14ac:dyDescent="0.3"/>
    <row r="3690" s="136" customFormat="1" x14ac:dyDescent="0.3"/>
    <row r="3691" s="136" customFormat="1" x14ac:dyDescent="0.3"/>
    <row r="3692" s="136" customFormat="1" x14ac:dyDescent="0.3"/>
    <row r="3693" s="136" customFormat="1" x14ac:dyDescent="0.3"/>
    <row r="3694" s="136" customFormat="1" x14ac:dyDescent="0.3"/>
    <row r="3695" s="136" customFormat="1" x14ac:dyDescent="0.3"/>
    <row r="3696" s="136" customFormat="1" x14ac:dyDescent="0.3"/>
    <row r="3697" s="136" customFormat="1" x14ac:dyDescent="0.3"/>
    <row r="3698" s="136" customFormat="1" x14ac:dyDescent="0.3"/>
    <row r="3699" s="136" customFormat="1" x14ac:dyDescent="0.3"/>
    <row r="3700" s="136" customFormat="1" x14ac:dyDescent="0.3"/>
    <row r="3701" s="136" customFormat="1" x14ac:dyDescent="0.3"/>
    <row r="3702" s="136" customFormat="1" x14ac:dyDescent="0.3"/>
    <row r="3703" s="136" customFormat="1" x14ac:dyDescent="0.3"/>
    <row r="3704" s="136" customFormat="1" x14ac:dyDescent="0.3"/>
    <row r="3705" s="136" customFormat="1" x14ac:dyDescent="0.3"/>
    <row r="3706" s="136" customFormat="1" x14ac:dyDescent="0.3"/>
    <row r="3707" s="136" customFormat="1" x14ac:dyDescent="0.3"/>
    <row r="3708" s="136" customFormat="1" x14ac:dyDescent="0.3"/>
    <row r="3709" s="136" customFormat="1" x14ac:dyDescent="0.3"/>
    <row r="3710" s="136" customFormat="1" x14ac:dyDescent="0.3"/>
    <row r="3711" s="136" customFormat="1" x14ac:dyDescent="0.3"/>
    <row r="3712" s="136" customFormat="1" x14ac:dyDescent="0.3"/>
    <row r="3713" s="136" customFormat="1" x14ac:dyDescent="0.3"/>
    <row r="3714" s="136" customFormat="1" x14ac:dyDescent="0.3"/>
    <row r="3715" s="136" customFormat="1" x14ac:dyDescent="0.3"/>
    <row r="3716" s="136" customFormat="1" x14ac:dyDescent="0.3"/>
    <row r="3717" s="136" customFormat="1" x14ac:dyDescent="0.3"/>
    <row r="3718" s="136" customFormat="1" x14ac:dyDescent="0.3"/>
    <row r="3719" s="136" customFormat="1" x14ac:dyDescent="0.3"/>
    <row r="3720" s="136" customFormat="1" x14ac:dyDescent="0.3"/>
    <row r="3721" s="136" customFormat="1" x14ac:dyDescent="0.3"/>
    <row r="3722" s="136" customFormat="1" x14ac:dyDescent="0.3"/>
    <row r="3723" s="136" customFormat="1" x14ac:dyDescent="0.3"/>
    <row r="3724" s="136" customFormat="1" x14ac:dyDescent="0.3"/>
    <row r="3725" s="136" customFormat="1" x14ac:dyDescent="0.3"/>
    <row r="3726" s="136" customFormat="1" x14ac:dyDescent="0.3"/>
    <row r="3727" s="136" customFormat="1" x14ac:dyDescent="0.3"/>
    <row r="3728" s="136" customFormat="1" x14ac:dyDescent="0.3"/>
    <row r="3729" s="136" customFormat="1" x14ac:dyDescent="0.3"/>
    <row r="3730" s="136" customFormat="1" x14ac:dyDescent="0.3"/>
    <row r="3731" s="136" customFormat="1" x14ac:dyDescent="0.3"/>
    <row r="3732" s="136" customFormat="1" x14ac:dyDescent="0.3"/>
    <row r="3733" s="136" customFormat="1" x14ac:dyDescent="0.3"/>
    <row r="3734" s="136" customFormat="1" x14ac:dyDescent="0.3"/>
    <row r="3735" s="136" customFormat="1" x14ac:dyDescent="0.3"/>
    <row r="3736" s="136" customFormat="1" x14ac:dyDescent="0.3"/>
    <row r="3737" s="136" customFormat="1" x14ac:dyDescent="0.3"/>
    <row r="3738" s="136" customFormat="1" x14ac:dyDescent="0.3"/>
    <row r="3739" s="136" customFormat="1" x14ac:dyDescent="0.3"/>
    <row r="3740" s="136" customFormat="1" x14ac:dyDescent="0.3"/>
    <row r="3741" s="136" customFormat="1" x14ac:dyDescent="0.3"/>
    <row r="3742" s="136" customFormat="1" x14ac:dyDescent="0.3"/>
    <row r="3743" s="136" customFormat="1" x14ac:dyDescent="0.3"/>
    <row r="3744" s="136" customFormat="1" x14ac:dyDescent="0.3"/>
    <row r="3745" s="136" customFormat="1" x14ac:dyDescent="0.3"/>
    <row r="3746" s="136" customFormat="1" x14ac:dyDescent="0.3"/>
    <row r="3747" s="136" customFormat="1" x14ac:dyDescent="0.3"/>
    <row r="3748" s="136" customFormat="1" x14ac:dyDescent="0.3"/>
    <row r="3749" s="136" customFormat="1" x14ac:dyDescent="0.3"/>
    <row r="3750" s="136" customFormat="1" x14ac:dyDescent="0.3"/>
    <row r="3751" s="136" customFormat="1" x14ac:dyDescent="0.3"/>
    <row r="3752" s="136" customFormat="1" x14ac:dyDescent="0.3"/>
    <row r="3753" s="136" customFormat="1" x14ac:dyDescent="0.3"/>
    <row r="3754" s="136" customFormat="1" x14ac:dyDescent="0.3"/>
    <row r="3755" s="136" customFormat="1" x14ac:dyDescent="0.3"/>
    <row r="3756" s="136" customFormat="1" x14ac:dyDescent="0.3"/>
    <row r="3757" s="136" customFormat="1" x14ac:dyDescent="0.3"/>
    <row r="3758" s="136" customFormat="1" x14ac:dyDescent="0.3"/>
    <row r="3759" s="136" customFormat="1" x14ac:dyDescent="0.3"/>
    <row r="3760" s="136" customFormat="1" x14ac:dyDescent="0.3"/>
    <row r="3761" s="136" customFormat="1" x14ac:dyDescent="0.3"/>
    <row r="3762" s="136" customFormat="1" x14ac:dyDescent="0.3"/>
    <row r="3763" s="136" customFormat="1" x14ac:dyDescent="0.3"/>
    <row r="3764" s="136" customFormat="1" x14ac:dyDescent="0.3"/>
    <row r="3765" s="136" customFormat="1" x14ac:dyDescent="0.3"/>
    <row r="3766" s="136" customFormat="1" x14ac:dyDescent="0.3"/>
    <row r="3767" s="136" customFormat="1" x14ac:dyDescent="0.3"/>
    <row r="3768" s="136" customFormat="1" x14ac:dyDescent="0.3"/>
    <row r="3769" s="136" customFormat="1" x14ac:dyDescent="0.3"/>
    <row r="3770" s="136" customFormat="1" x14ac:dyDescent="0.3"/>
    <row r="3771" s="136" customFormat="1" x14ac:dyDescent="0.3"/>
    <row r="3772" s="136" customFormat="1" x14ac:dyDescent="0.3"/>
    <row r="3773" s="136" customFormat="1" x14ac:dyDescent="0.3"/>
    <row r="3774" s="136" customFormat="1" x14ac:dyDescent="0.3"/>
    <row r="3775" s="136" customFormat="1" x14ac:dyDescent="0.3"/>
    <row r="3776" s="136" customFormat="1" x14ac:dyDescent="0.3"/>
    <row r="3777" s="136" customFormat="1" x14ac:dyDescent="0.3"/>
    <row r="3778" s="136" customFormat="1" x14ac:dyDescent="0.3"/>
    <row r="3779" s="136" customFormat="1" x14ac:dyDescent="0.3"/>
    <row r="3780" s="136" customFormat="1" x14ac:dyDescent="0.3"/>
    <row r="3781" s="136" customFormat="1" x14ac:dyDescent="0.3"/>
    <row r="3782" s="136" customFormat="1" x14ac:dyDescent="0.3"/>
    <row r="3783" s="136" customFormat="1" x14ac:dyDescent="0.3"/>
    <row r="3784" s="136" customFormat="1" x14ac:dyDescent="0.3"/>
    <row r="3785" s="136" customFormat="1" x14ac:dyDescent="0.3"/>
    <row r="3786" s="136" customFormat="1" x14ac:dyDescent="0.3"/>
    <row r="3787" s="136" customFormat="1" x14ac:dyDescent="0.3"/>
    <row r="3788" s="136" customFormat="1" x14ac:dyDescent="0.3"/>
    <row r="3789" s="136" customFormat="1" x14ac:dyDescent="0.3"/>
    <row r="3790" s="136" customFormat="1" x14ac:dyDescent="0.3"/>
    <row r="3791" s="136" customFormat="1" x14ac:dyDescent="0.3"/>
    <row r="3792" s="136" customFormat="1" x14ac:dyDescent="0.3"/>
    <row r="3793" s="136" customFormat="1" x14ac:dyDescent="0.3"/>
    <row r="3794" s="136" customFormat="1" x14ac:dyDescent="0.3"/>
    <row r="3795" s="136" customFormat="1" x14ac:dyDescent="0.3"/>
    <row r="3796" s="136" customFormat="1" x14ac:dyDescent="0.3"/>
    <row r="3797" s="136" customFormat="1" x14ac:dyDescent="0.3"/>
    <row r="3798" s="136" customFormat="1" x14ac:dyDescent="0.3"/>
    <row r="3799" s="136" customFormat="1" x14ac:dyDescent="0.3"/>
    <row r="3800" s="136" customFormat="1" x14ac:dyDescent="0.3"/>
    <row r="3801" s="136" customFormat="1" x14ac:dyDescent="0.3"/>
    <row r="3802" s="136" customFormat="1" x14ac:dyDescent="0.3"/>
    <row r="3803" s="136" customFormat="1" x14ac:dyDescent="0.3"/>
    <row r="3804" s="136" customFormat="1" x14ac:dyDescent="0.3"/>
    <row r="3805" s="136" customFormat="1" x14ac:dyDescent="0.3"/>
    <row r="3806" s="136" customFormat="1" x14ac:dyDescent="0.3"/>
    <row r="3807" s="136" customFormat="1" x14ac:dyDescent="0.3"/>
    <row r="3808" s="136" customFormat="1" x14ac:dyDescent="0.3"/>
    <row r="3809" s="136" customFormat="1" x14ac:dyDescent="0.3"/>
    <row r="3810" s="136" customFormat="1" x14ac:dyDescent="0.3"/>
    <row r="3811" s="136" customFormat="1" x14ac:dyDescent="0.3"/>
    <row r="3812" s="136" customFormat="1" x14ac:dyDescent="0.3"/>
    <row r="3813" s="136" customFormat="1" x14ac:dyDescent="0.3"/>
    <row r="3814" s="136" customFormat="1" x14ac:dyDescent="0.3"/>
    <row r="3815" s="136" customFormat="1" x14ac:dyDescent="0.3"/>
    <row r="3816" s="136" customFormat="1" x14ac:dyDescent="0.3"/>
    <row r="3817" s="136" customFormat="1" x14ac:dyDescent="0.3"/>
    <row r="3818" s="136" customFormat="1" x14ac:dyDescent="0.3"/>
    <row r="3819" s="136" customFormat="1" x14ac:dyDescent="0.3"/>
    <row r="3820" s="136" customFormat="1" x14ac:dyDescent="0.3"/>
    <row r="3821" s="136" customFormat="1" x14ac:dyDescent="0.3"/>
    <row r="3822" s="136" customFormat="1" x14ac:dyDescent="0.3"/>
    <row r="3823" s="136" customFormat="1" x14ac:dyDescent="0.3"/>
    <row r="3824" s="136" customFormat="1" x14ac:dyDescent="0.3"/>
    <row r="3825" s="136" customFormat="1" x14ac:dyDescent="0.3"/>
    <row r="3826" s="136" customFormat="1" x14ac:dyDescent="0.3"/>
    <row r="3827" s="136" customFormat="1" x14ac:dyDescent="0.3"/>
    <row r="3828" s="136" customFormat="1" x14ac:dyDescent="0.3"/>
    <row r="3829" s="136" customFormat="1" x14ac:dyDescent="0.3"/>
    <row r="3830" s="136" customFormat="1" x14ac:dyDescent="0.3"/>
    <row r="3831" s="136" customFormat="1" x14ac:dyDescent="0.3"/>
    <row r="3832" s="136" customFormat="1" x14ac:dyDescent="0.3"/>
    <row r="3833" s="136" customFormat="1" x14ac:dyDescent="0.3"/>
    <row r="3834" s="136" customFormat="1" x14ac:dyDescent="0.3"/>
    <row r="3835" s="136" customFormat="1" x14ac:dyDescent="0.3"/>
    <row r="3836" s="136" customFormat="1" x14ac:dyDescent="0.3"/>
    <row r="3837" s="136" customFormat="1" x14ac:dyDescent="0.3"/>
    <row r="3838" s="136" customFormat="1" x14ac:dyDescent="0.3"/>
    <row r="3839" s="136" customFormat="1" x14ac:dyDescent="0.3"/>
    <row r="3840" s="136" customFormat="1" x14ac:dyDescent="0.3"/>
    <row r="3841" s="136" customFormat="1" x14ac:dyDescent="0.3"/>
    <row r="3842" s="136" customFormat="1" x14ac:dyDescent="0.3"/>
    <row r="3843" s="136" customFormat="1" x14ac:dyDescent="0.3"/>
    <row r="3844" s="136" customFormat="1" x14ac:dyDescent="0.3"/>
    <row r="3845" s="136" customFormat="1" x14ac:dyDescent="0.3"/>
    <row r="3846" s="136" customFormat="1" x14ac:dyDescent="0.3"/>
    <row r="3847" s="136" customFormat="1" x14ac:dyDescent="0.3"/>
    <row r="3848" s="136" customFormat="1" x14ac:dyDescent="0.3"/>
    <row r="3849" s="136" customFormat="1" x14ac:dyDescent="0.3"/>
    <row r="3850" s="136" customFormat="1" x14ac:dyDescent="0.3"/>
    <row r="3851" s="136" customFormat="1" x14ac:dyDescent="0.3"/>
    <row r="3852" s="136" customFormat="1" x14ac:dyDescent="0.3"/>
    <row r="3853" s="136" customFormat="1" x14ac:dyDescent="0.3"/>
    <row r="3854" s="136" customFormat="1" x14ac:dyDescent="0.3"/>
    <row r="3855" s="136" customFormat="1" x14ac:dyDescent="0.3"/>
    <row r="3856" s="136" customFormat="1" x14ac:dyDescent="0.3"/>
    <row r="3857" s="136" customFormat="1" x14ac:dyDescent="0.3"/>
    <row r="3858" s="136" customFormat="1" x14ac:dyDescent="0.3"/>
    <row r="3859" s="136" customFormat="1" x14ac:dyDescent="0.3"/>
    <row r="3860" s="136" customFormat="1" x14ac:dyDescent="0.3"/>
    <row r="3861" s="136" customFormat="1" x14ac:dyDescent="0.3"/>
    <row r="3862" s="136" customFormat="1" x14ac:dyDescent="0.3"/>
    <row r="3863" s="136" customFormat="1" x14ac:dyDescent="0.3"/>
    <row r="3864" s="136" customFormat="1" x14ac:dyDescent="0.3"/>
    <row r="3865" s="136" customFormat="1" x14ac:dyDescent="0.3"/>
    <row r="3866" s="136" customFormat="1" x14ac:dyDescent="0.3"/>
    <row r="3867" s="136" customFormat="1" x14ac:dyDescent="0.3"/>
    <row r="3868" s="136" customFormat="1" x14ac:dyDescent="0.3"/>
    <row r="3869" s="136" customFormat="1" x14ac:dyDescent="0.3"/>
    <row r="3870" s="136" customFormat="1" x14ac:dyDescent="0.3"/>
    <row r="3871" s="136" customFormat="1" x14ac:dyDescent="0.3"/>
    <row r="3872" s="136" customFormat="1" x14ac:dyDescent="0.3"/>
    <row r="3873" s="136" customFormat="1" x14ac:dyDescent="0.3"/>
    <row r="3874" s="136" customFormat="1" x14ac:dyDescent="0.3"/>
    <row r="3875" s="136" customFormat="1" x14ac:dyDescent="0.3"/>
    <row r="3876" s="136" customFormat="1" x14ac:dyDescent="0.3"/>
    <row r="3877" s="136" customFormat="1" x14ac:dyDescent="0.3"/>
    <row r="3878" s="136" customFormat="1" x14ac:dyDescent="0.3"/>
    <row r="3879" s="136" customFormat="1" x14ac:dyDescent="0.3"/>
    <row r="3880" s="136" customFormat="1" x14ac:dyDescent="0.3"/>
    <row r="3881" s="136" customFormat="1" x14ac:dyDescent="0.3"/>
    <row r="3882" s="136" customFormat="1" x14ac:dyDescent="0.3"/>
    <row r="3883" s="136" customFormat="1" x14ac:dyDescent="0.3"/>
    <row r="3884" s="136" customFormat="1" x14ac:dyDescent="0.3"/>
    <row r="3885" s="136" customFormat="1" x14ac:dyDescent="0.3"/>
    <row r="3886" s="136" customFormat="1" x14ac:dyDescent="0.3"/>
    <row r="3887" s="136" customFormat="1" x14ac:dyDescent="0.3"/>
    <row r="3888" s="136" customFormat="1" x14ac:dyDescent="0.3"/>
    <row r="3889" s="136" customFormat="1" x14ac:dyDescent="0.3"/>
    <row r="3890" s="136" customFormat="1" x14ac:dyDescent="0.3"/>
    <row r="3891" s="136" customFormat="1" x14ac:dyDescent="0.3"/>
    <row r="3892" s="136" customFormat="1" x14ac:dyDescent="0.3"/>
    <row r="3893" s="136" customFormat="1" x14ac:dyDescent="0.3"/>
    <row r="3894" s="136" customFormat="1" x14ac:dyDescent="0.3"/>
    <row r="3895" s="136" customFormat="1" x14ac:dyDescent="0.3"/>
    <row r="3896" s="136" customFormat="1" x14ac:dyDescent="0.3"/>
    <row r="3897" s="136" customFormat="1" x14ac:dyDescent="0.3"/>
    <row r="3898" s="136" customFormat="1" x14ac:dyDescent="0.3"/>
    <row r="3899" s="136" customFormat="1" x14ac:dyDescent="0.3"/>
    <row r="3900" s="136" customFormat="1" x14ac:dyDescent="0.3"/>
    <row r="3901" s="136" customFormat="1" x14ac:dyDescent="0.3"/>
    <row r="3902" s="136" customFormat="1" x14ac:dyDescent="0.3"/>
    <row r="3903" s="136" customFormat="1" x14ac:dyDescent="0.3"/>
    <row r="3904" s="136" customFormat="1" x14ac:dyDescent="0.3"/>
    <row r="3905" s="136" customFormat="1" x14ac:dyDescent="0.3"/>
    <row r="3906" s="136" customFormat="1" x14ac:dyDescent="0.3"/>
    <row r="3907" s="136" customFormat="1" x14ac:dyDescent="0.3"/>
    <row r="3908" s="136" customFormat="1" x14ac:dyDescent="0.3"/>
    <row r="3909" s="136" customFormat="1" x14ac:dyDescent="0.3"/>
    <row r="3910" s="136" customFormat="1" x14ac:dyDescent="0.3"/>
    <row r="3911" s="136" customFormat="1" x14ac:dyDescent="0.3"/>
    <row r="3912" s="136" customFormat="1" x14ac:dyDescent="0.3"/>
    <row r="3913" s="136" customFormat="1" x14ac:dyDescent="0.3"/>
    <row r="3914" s="136" customFormat="1" x14ac:dyDescent="0.3"/>
    <row r="3915" s="136" customFormat="1" x14ac:dyDescent="0.3"/>
    <row r="3916" s="136" customFormat="1" x14ac:dyDescent="0.3"/>
    <row r="3917" s="136" customFormat="1" x14ac:dyDescent="0.3"/>
    <row r="3918" s="136" customFormat="1" x14ac:dyDescent="0.3"/>
    <row r="3919" s="136" customFormat="1" x14ac:dyDescent="0.3"/>
    <row r="3920" s="136" customFormat="1" x14ac:dyDescent="0.3"/>
    <row r="3921" s="136" customFormat="1" x14ac:dyDescent="0.3"/>
    <row r="3922" s="136" customFormat="1" x14ac:dyDescent="0.3"/>
    <row r="3923" s="136" customFormat="1" x14ac:dyDescent="0.3"/>
    <row r="3924" s="136" customFormat="1" x14ac:dyDescent="0.3"/>
    <row r="3925" s="136" customFormat="1" x14ac:dyDescent="0.3"/>
    <row r="3926" s="136" customFormat="1" x14ac:dyDescent="0.3"/>
    <row r="3927" s="136" customFormat="1" x14ac:dyDescent="0.3"/>
    <row r="3928" s="136" customFormat="1" x14ac:dyDescent="0.3"/>
    <row r="3929" s="136" customFormat="1" x14ac:dyDescent="0.3"/>
    <row r="3930" s="136" customFormat="1" x14ac:dyDescent="0.3"/>
    <row r="3931" s="136" customFormat="1" x14ac:dyDescent="0.3"/>
    <row r="3932" s="136" customFormat="1" x14ac:dyDescent="0.3"/>
    <row r="3933" s="136" customFormat="1" x14ac:dyDescent="0.3"/>
    <row r="3934" s="136" customFormat="1" x14ac:dyDescent="0.3"/>
    <row r="3935" s="136" customFormat="1" x14ac:dyDescent="0.3"/>
    <row r="3936" s="136" customFormat="1" x14ac:dyDescent="0.3"/>
    <row r="3937" s="136" customFormat="1" x14ac:dyDescent="0.3"/>
    <row r="3938" s="136" customFormat="1" x14ac:dyDescent="0.3"/>
    <row r="3939" s="136" customFormat="1" x14ac:dyDescent="0.3"/>
    <row r="3940" s="136" customFormat="1" x14ac:dyDescent="0.3"/>
    <row r="3941" s="136" customFormat="1" x14ac:dyDescent="0.3"/>
    <row r="3942" s="136" customFormat="1" x14ac:dyDescent="0.3"/>
    <row r="3943" s="136" customFormat="1" x14ac:dyDescent="0.3"/>
    <row r="3944" s="136" customFormat="1" x14ac:dyDescent="0.3"/>
    <row r="3945" s="136" customFormat="1" x14ac:dyDescent="0.3"/>
    <row r="3946" s="136" customFormat="1" x14ac:dyDescent="0.3"/>
    <row r="3947" s="136" customFormat="1" x14ac:dyDescent="0.3"/>
    <row r="3948" s="136" customFormat="1" x14ac:dyDescent="0.3"/>
    <row r="3949" s="136" customFormat="1" x14ac:dyDescent="0.3"/>
    <row r="3950" s="136" customFormat="1" x14ac:dyDescent="0.3"/>
    <row r="3951" s="136" customFormat="1" x14ac:dyDescent="0.3"/>
    <row r="3952" s="136" customFormat="1" x14ac:dyDescent="0.3"/>
    <row r="3953" s="136" customFormat="1" x14ac:dyDescent="0.3"/>
    <row r="3954" s="136" customFormat="1" x14ac:dyDescent="0.3"/>
    <row r="3955" s="136" customFormat="1" x14ac:dyDescent="0.3"/>
    <row r="3956" s="136" customFormat="1" x14ac:dyDescent="0.3"/>
    <row r="3957" s="136" customFormat="1" x14ac:dyDescent="0.3"/>
    <row r="3958" s="136" customFormat="1" x14ac:dyDescent="0.3"/>
    <row r="3959" s="136" customFormat="1" x14ac:dyDescent="0.3"/>
    <row r="3960" s="136" customFormat="1" x14ac:dyDescent="0.3"/>
    <row r="3961" s="136" customFormat="1" x14ac:dyDescent="0.3"/>
    <row r="3962" s="136" customFormat="1" x14ac:dyDescent="0.3"/>
    <row r="3963" s="136" customFormat="1" x14ac:dyDescent="0.3"/>
    <row r="3964" s="136" customFormat="1" x14ac:dyDescent="0.3"/>
    <row r="3965" s="136" customFormat="1" x14ac:dyDescent="0.3"/>
    <row r="3966" s="136" customFormat="1" x14ac:dyDescent="0.3"/>
    <row r="3967" s="136" customFormat="1" x14ac:dyDescent="0.3"/>
    <row r="3968" s="136" customFormat="1" x14ac:dyDescent="0.3"/>
    <row r="3969" s="136" customFormat="1" x14ac:dyDescent="0.3"/>
    <row r="3970" s="136" customFormat="1" x14ac:dyDescent="0.3"/>
    <row r="3971" s="136" customFormat="1" x14ac:dyDescent="0.3"/>
    <row r="3972" s="136" customFormat="1" x14ac:dyDescent="0.3"/>
    <row r="3973" s="136" customFormat="1" x14ac:dyDescent="0.3"/>
    <row r="3974" s="136" customFormat="1" x14ac:dyDescent="0.3"/>
    <row r="3975" s="136" customFormat="1" x14ac:dyDescent="0.3"/>
    <row r="3976" s="136" customFormat="1" x14ac:dyDescent="0.3"/>
    <row r="3977" s="136" customFormat="1" x14ac:dyDescent="0.3"/>
    <row r="3978" s="136" customFormat="1" x14ac:dyDescent="0.3"/>
    <row r="3979" s="136" customFormat="1" x14ac:dyDescent="0.3"/>
    <row r="3980" s="136" customFormat="1" x14ac:dyDescent="0.3"/>
    <row r="3981" s="136" customFormat="1" x14ac:dyDescent="0.3"/>
    <row r="3982" s="136" customFormat="1" x14ac:dyDescent="0.3"/>
    <row r="3983" s="136" customFormat="1" x14ac:dyDescent="0.3"/>
    <row r="3984" s="136" customFormat="1" x14ac:dyDescent="0.3"/>
    <row r="3985" s="136" customFormat="1" x14ac:dyDescent="0.3"/>
    <row r="3986" s="136" customFormat="1" x14ac:dyDescent="0.3"/>
    <row r="3987" s="136" customFormat="1" x14ac:dyDescent="0.3"/>
    <row r="3988" s="136" customFormat="1" x14ac:dyDescent="0.3"/>
    <row r="3989" s="136" customFormat="1" x14ac:dyDescent="0.3"/>
    <row r="3990" s="136" customFormat="1" x14ac:dyDescent="0.3"/>
    <row r="3991" s="136" customFormat="1" x14ac:dyDescent="0.3"/>
    <row r="3992" s="136" customFormat="1" x14ac:dyDescent="0.3"/>
    <row r="3993" s="136" customFormat="1" x14ac:dyDescent="0.3"/>
    <row r="3994" s="136" customFormat="1" x14ac:dyDescent="0.3"/>
    <row r="3995" s="136" customFormat="1" x14ac:dyDescent="0.3"/>
    <row r="3996" s="136" customFormat="1" x14ac:dyDescent="0.3"/>
    <row r="3997" s="136" customFormat="1" x14ac:dyDescent="0.3"/>
    <row r="3998" s="136" customFormat="1" x14ac:dyDescent="0.3"/>
    <row r="3999" s="136" customFormat="1" x14ac:dyDescent="0.3"/>
    <row r="4000" s="136" customFormat="1" x14ac:dyDescent="0.3"/>
    <row r="4001" s="136" customFormat="1" x14ac:dyDescent="0.3"/>
    <row r="4002" s="136" customFormat="1" x14ac:dyDescent="0.3"/>
    <row r="4003" s="136" customFormat="1" x14ac:dyDescent="0.3"/>
    <row r="4004" s="136" customFormat="1" x14ac:dyDescent="0.3"/>
    <row r="4005" s="136" customFormat="1" x14ac:dyDescent="0.3"/>
    <row r="4006" s="136" customFormat="1" x14ac:dyDescent="0.3"/>
    <row r="4007" s="136" customFormat="1" x14ac:dyDescent="0.3"/>
    <row r="4008" s="136" customFormat="1" x14ac:dyDescent="0.3"/>
    <row r="4009" s="136" customFormat="1" x14ac:dyDescent="0.3"/>
    <row r="4010" s="136" customFormat="1" x14ac:dyDescent="0.3"/>
    <row r="4011" s="136" customFormat="1" x14ac:dyDescent="0.3"/>
    <row r="4012" s="136" customFormat="1" x14ac:dyDescent="0.3"/>
    <row r="4013" s="136" customFormat="1" x14ac:dyDescent="0.3"/>
    <row r="4014" s="136" customFormat="1" x14ac:dyDescent="0.3"/>
    <row r="4015" s="136" customFormat="1" x14ac:dyDescent="0.3"/>
    <row r="4016" s="136" customFormat="1" x14ac:dyDescent="0.3"/>
    <row r="4017" s="136" customFormat="1" x14ac:dyDescent="0.3"/>
    <row r="4018" s="136" customFormat="1" x14ac:dyDescent="0.3"/>
    <row r="4019" s="136" customFormat="1" x14ac:dyDescent="0.3"/>
    <row r="4020" s="136" customFormat="1" x14ac:dyDescent="0.3"/>
    <row r="4021" s="136" customFormat="1" x14ac:dyDescent="0.3"/>
    <row r="4022" s="136" customFormat="1" x14ac:dyDescent="0.3"/>
    <row r="4023" s="136" customFormat="1" x14ac:dyDescent="0.3"/>
    <row r="4024" s="136" customFormat="1" x14ac:dyDescent="0.3"/>
    <row r="4025" s="136" customFormat="1" x14ac:dyDescent="0.3"/>
    <row r="4026" s="136" customFormat="1" x14ac:dyDescent="0.3"/>
    <row r="4027" s="136" customFormat="1" x14ac:dyDescent="0.3"/>
    <row r="4028" s="136" customFormat="1" x14ac:dyDescent="0.3"/>
    <row r="4029" s="136" customFormat="1" x14ac:dyDescent="0.3"/>
    <row r="4030" s="136" customFormat="1" x14ac:dyDescent="0.3"/>
    <row r="4031" s="136" customFormat="1" x14ac:dyDescent="0.3"/>
    <row r="4032" s="136" customFormat="1" x14ac:dyDescent="0.3"/>
    <row r="4033" s="136" customFormat="1" x14ac:dyDescent="0.3"/>
    <row r="4034" s="136" customFormat="1" x14ac:dyDescent="0.3"/>
    <row r="4035" s="136" customFormat="1" x14ac:dyDescent="0.3"/>
    <row r="4036" s="136" customFormat="1" x14ac:dyDescent="0.3"/>
    <row r="4037" s="136" customFormat="1" x14ac:dyDescent="0.3"/>
    <row r="4038" s="136" customFormat="1" x14ac:dyDescent="0.3"/>
    <row r="4039" s="136" customFormat="1" x14ac:dyDescent="0.3"/>
    <row r="4040" s="136" customFormat="1" x14ac:dyDescent="0.3"/>
    <row r="4041" s="136" customFormat="1" x14ac:dyDescent="0.3"/>
    <row r="4042" s="136" customFormat="1" x14ac:dyDescent="0.3"/>
    <row r="4043" s="136" customFormat="1" x14ac:dyDescent="0.3"/>
    <row r="4044" s="136" customFormat="1" x14ac:dyDescent="0.3"/>
    <row r="4045" s="136" customFormat="1" x14ac:dyDescent="0.3"/>
    <row r="4046" s="136" customFormat="1" x14ac:dyDescent="0.3"/>
    <row r="4047" s="136" customFormat="1" x14ac:dyDescent="0.3"/>
    <row r="4048" s="136" customFormat="1" x14ac:dyDescent="0.3"/>
    <row r="4049" s="136" customFormat="1" x14ac:dyDescent="0.3"/>
    <row r="4050" s="136" customFormat="1" x14ac:dyDescent="0.3"/>
    <row r="4051" s="136" customFormat="1" x14ac:dyDescent="0.3"/>
    <row r="4052" s="136" customFormat="1" x14ac:dyDescent="0.3"/>
    <row r="4053" s="136" customFormat="1" x14ac:dyDescent="0.3"/>
    <row r="4054" s="136" customFormat="1" x14ac:dyDescent="0.3"/>
    <row r="4055" s="136" customFormat="1" x14ac:dyDescent="0.3"/>
    <row r="4056" s="136" customFormat="1" x14ac:dyDescent="0.3"/>
    <row r="4057" s="136" customFormat="1" x14ac:dyDescent="0.3"/>
    <row r="4058" s="136" customFormat="1" x14ac:dyDescent="0.3"/>
    <row r="4059" s="136" customFormat="1" x14ac:dyDescent="0.3"/>
    <row r="4060" s="136" customFormat="1" x14ac:dyDescent="0.3"/>
    <row r="4061" s="136" customFormat="1" x14ac:dyDescent="0.3"/>
    <row r="4062" s="136" customFormat="1" x14ac:dyDescent="0.3"/>
    <row r="4063" s="136" customFormat="1" x14ac:dyDescent="0.3"/>
    <row r="4064" s="136" customFormat="1" x14ac:dyDescent="0.3"/>
    <row r="4065" s="136" customFormat="1" x14ac:dyDescent="0.3"/>
    <row r="4066" s="136" customFormat="1" x14ac:dyDescent="0.3"/>
    <row r="4067" s="136" customFormat="1" x14ac:dyDescent="0.3"/>
    <row r="4068" s="136" customFormat="1" x14ac:dyDescent="0.3"/>
    <row r="4069" s="136" customFormat="1" x14ac:dyDescent="0.3"/>
    <row r="4070" s="136" customFormat="1" x14ac:dyDescent="0.3"/>
    <row r="4071" s="136" customFormat="1" x14ac:dyDescent="0.3"/>
    <row r="4072" s="136" customFormat="1" x14ac:dyDescent="0.3"/>
    <row r="4073" s="136" customFormat="1" x14ac:dyDescent="0.3"/>
    <row r="4074" s="136" customFormat="1" x14ac:dyDescent="0.3"/>
    <row r="4075" s="136" customFormat="1" x14ac:dyDescent="0.3"/>
    <row r="4076" s="136" customFormat="1" x14ac:dyDescent="0.3"/>
    <row r="4077" s="136" customFormat="1" x14ac:dyDescent="0.3"/>
    <row r="4078" s="136" customFormat="1" x14ac:dyDescent="0.3"/>
    <row r="4079" s="136" customFormat="1" x14ac:dyDescent="0.3"/>
    <row r="4080" s="136" customFormat="1" x14ac:dyDescent="0.3"/>
    <row r="4081" s="136" customFormat="1" x14ac:dyDescent="0.3"/>
    <row r="4082" s="136" customFormat="1" x14ac:dyDescent="0.3"/>
    <row r="4083" s="136" customFormat="1" x14ac:dyDescent="0.3"/>
    <row r="4084" s="136" customFormat="1" x14ac:dyDescent="0.3"/>
    <row r="4085" s="136" customFormat="1" x14ac:dyDescent="0.3"/>
    <row r="4086" s="136" customFormat="1" x14ac:dyDescent="0.3"/>
    <row r="4087" s="136" customFormat="1" x14ac:dyDescent="0.3"/>
    <row r="4088" s="136" customFormat="1" x14ac:dyDescent="0.3"/>
    <row r="4089" s="136" customFormat="1" x14ac:dyDescent="0.3"/>
    <row r="4090" s="136" customFormat="1" x14ac:dyDescent="0.3"/>
    <row r="4091" s="136" customFormat="1" x14ac:dyDescent="0.3"/>
    <row r="4092" s="136" customFormat="1" x14ac:dyDescent="0.3"/>
    <row r="4093" s="136" customFormat="1" x14ac:dyDescent="0.3"/>
    <row r="4094" s="136" customFormat="1" x14ac:dyDescent="0.3"/>
    <row r="4095" s="136" customFormat="1" x14ac:dyDescent="0.3"/>
    <row r="4096" s="136" customFormat="1" x14ac:dyDescent="0.3"/>
    <row r="4097" s="136" customFormat="1" x14ac:dyDescent="0.3"/>
    <row r="4098" s="136" customFormat="1" x14ac:dyDescent="0.3"/>
    <row r="4099" s="136" customFormat="1" x14ac:dyDescent="0.3"/>
    <row r="4100" s="136" customFormat="1" x14ac:dyDescent="0.3"/>
    <row r="4101" s="136" customFormat="1" x14ac:dyDescent="0.3"/>
    <row r="4102" s="136" customFormat="1" x14ac:dyDescent="0.3"/>
    <row r="4103" s="136" customFormat="1" x14ac:dyDescent="0.3"/>
    <row r="4104" s="136" customFormat="1" x14ac:dyDescent="0.3"/>
    <row r="4105" s="136" customFormat="1" x14ac:dyDescent="0.3"/>
    <row r="4106" s="136" customFormat="1" x14ac:dyDescent="0.3"/>
    <row r="4107" s="136" customFormat="1" x14ac:dyDescent="0.3"/>
    <row r="4108" s="136" customFormat="1" x14ac:dyDescent="0.3"/>
    <row r="4109" s="136" customFormat="1" x14ac:dyDescent="0.3"/>
    <row r="4110" s="136" customFormat="1" x14ac:dyDescent="0.3"/>
    <row r="4111" s="136" customFormat="1" x14ac:dyDescent="0.3"/>
    <row r="4112" s="136" customFormat="1" x14ac:dyDescent="0.3"/>
    <row r="4113" s="136" customFormat="1" x14ac:dyDescent="0.3"/>
    <row r="4114" s="136" customFormat="1" x14ac:dyDescent="0.3"/>
    <row r="4115" s="136" customFormat="1" x14ac:dyDescent="0.3"/>
    <row r="4116" s="136" customFormat="1" x14ac:dyDescent="0.3"/>
    <row r="4117" s="136" customFormat="1" x14ac:dyDescent="0.3"/>
    <row r="4118" s="136" customFormat="1" x14ac:dyDescent="0.3"/>
    <row r="4119" s="136" customFormat="1" x14ac:dyDescent="0.3"/>
    <row r="4120" s="136" customFormat="1" x14ac:dyDescent="0.3"/>
    <row r="4121" s="136" customFormat="1" x14ac:dyDescent="0.3"/>
    <row r="4122" s="136" customFormat="1" x14ac:dyDescent="0.3"/>
    <row r="4123" s="136" customFormat="1" x14ac:dyDescent="0.3"/>
    <row r="4124" s="136" customFormat="1" x14ac:dyDescent="0.3"/>
    <row r="4125" s="136" customFormat="1" x14ac:dyDescent="0.3"/>
    <row r="4126" s="136" customFormat="1" x14ac:dyDescent="0.3"/>
    <row r="4127" s="136" customFormat="1" x14ac:dyDescent="0.3"/>
    <row r="4128" s="136" customFormat="1" x14ac:dyDescent="0.3"/>
    <row r="4129" s="136" customFormat="1" x14ac:dyDescent="0.3"/>
    <row r="4130" s="136" customFormat="1" x14ac:dyDescent="0.3"/>
    <row r="4131" s="136" customFormat="1" x14ac:dyDescent="0.3"/>
    <row r="4132" s="136" customFormat="1" x14ac:dyDescent="0.3"/>
    <row r="4133" s="136" customFormat="1" x14ac:dyDescent="0.3"/>
    <row r="4134" s="136" customFormat="1" x14ac:dyDescent="0.3"/>
    <row r="4135" s="136" customFormat="1" x14ac:dyDescent="0.3"/>
    <row r="4136" s="136" customFormat="1" x14ac:dyDescent="0.3"/>
    <row r="4137" s="136" customFormat="1" x14ac:dyDescent="0.3"/>
    <row r="4138" s="136" customFormat="1" x14ac:dyDescent="0.3"/>
    <row r="4139" s="136" customFormat="1" x14ac:dyDescent="0.3"/>
    <row r="4140" s="136" customFormat="1" x14ac:dyDescent="0.3"/>
    <row r="4141" s="136" customFormat="1" x14ac:dyDescent="0.3"/>
    <row r="4142" s="136" customFormat="1" x14ac:dyDescent="0.3"/>
    <row r="4143" s="136" customFormat="1" x14ac:dyDescent="0.3"/>
    <row r="4144" s="136" customFormat="1" x14ac:dyDescent="0.3"/>
    <row r="4145" s="136" customFormat="1" x14ac:dyDescent="0.3"/>
    <row r="4146" s="136" customFormat="1" x14ac:dyDescent="0.3"/>
    <row r="4147" s="136" customFormat="1" x14ac:dyDescent="0.3"/>
    <row r="4148" s="136" customFormat="1" x14ac:dyDescent="0.3"/>
    <row r="4149" s="136" customFormat="1" x14ac:dyDescent="0.3"/>
    <row r="4150" s="136" customFormat="1" x14ac:dyDescent="0.3"/>
    <row r="4151" s="136" customFormat="1" x14ac:dyDescent="0.3"/>
    <row r="4152" s="136" customFormat="1" x14ac:dyDescent="0.3"/>
    <row r="4153" s="136" customFormat="1" x14ac:dyDescent="0.3"/>
    <row r="4154" s="136" customFormat="1" x14ac:dyDescent="0.3"/>
    <row r="4155" s="136" customFormat="1" x14ac:dyDescent="0.3"/>
    <row r="4156" s="136" customFormat="1" x14ac:dyDescent="0.3"/>
    <row r="4157" s="136" customFormat="1" x14ac:dyDescent="0.3"/>
    <row r="4158" s="136" customFormat="1" x14ac:dyDescent="0.3"/>
    <row r="4159" s="136" customFormat="1" x14ac:dyDescent="0.3"/>
    <row r="4160" s="136" customFormat="1" x14ac:dyDescent="0.3"/>
    <row r="4161" s="136" customFormat="1" x14ac:dyDescent="0.3"/>
    <row r="4162" s="136" customFormat="1" x14ac:dyDescent="0.3"/>
    <row r="4163" s="136" customFormat="1" x14ac:dyDescent="0.3"/>
    <row r="4164" s="136" customFormat="1" x14ac:dyDescent="0.3"/>
    <row r="4165" s="136" customFormat="1" x14ac:dyDescent="0.3"/>
    <row r="4166" s="136" customFormat="1" x14ac:dyDescent="0.3"/>
    <row r="4167" s="136" customFormat="1" x14ac:dyDescent="0.3"/>
    <row r="4168" s="136" customFormat="1" x14ac:dyDescent="0.3"/>
    <row r="4169" s="136" customFormat="1" x14ac:dyDescent="0.3"/>
    <row r="4170" s="136" customFormat="1" x14ac:dyDescent="0.3"/>
    <row r="4171" s="136" customFormat="1" x14ac:dyDescent="0.3"/>
    <row r="4172" s="136" customFormat="1" x14ac:dyDescent="0.3"/>
    <row r="4173" s="136" customFormat="1" x14ac:dyDescent="0.3"/>
    <row r="4174" s="136" customFormat="1" x14ac:dyDescent="0.3"/>
    <row r="4175" s="136" customFormat="1" x14ac:dyDescent="0.3"/>
    <row r="4176" s="136" customFormat="1" x14ac:dyDescent="0.3"/>
    <row r="4177" s="136" customFormat="1" x14ac:dyDescent="0.3"/>
    <row r="4178" s="136" customFormat="1" x14ac:dyDescent="0.3"/>
    <row r="4179" s="136" customFormat="1" x14ac:dyDescent="0.3"/>
    <row r="4180" s="136" customFormat="1" x14ac:dyDescent="0.3"/>
    <row r="4181" s="136" customFormat="1" x14ac:dyDescent="0.3"/>
    <row r="4182" s="136" customFormat="1" x14ac:dyDescent="0.3"/>
    <row r="4183" s="136" customFormat="1" x14ac:dyDescent="0.3"/>
    <row r="4184" s="136" customFormat="1" x14ac:dyDescent="0.3"/>
    <row r="4185" s="136" customFormat="1" x14ac:dyDescent="0.3"/>
    <row r="4186" s="136" customFormat="1" x14ac:dyDescent="0.3"/>
    <row r="4187" s="136" customFormat="1" x14ac:dyDescent="0.3"/>
    <row r="4188" s="136" customFormat="1" x14ac:dyDescent="0.3"/>
    <row r="4189" s="136" customFormat="1" x14ac:dyDescent="0.3"/>
    <row r="4190" s="136" customFormat="1" x14ac:dyDescent="0.3"/>
    <row r="4191" s="136" customFormat="1" x14ac:dyDescent="0.3"/>
    <row r="4192" s="136" customFormat="1" x14ac:dyDescent="0.3"/>
    <row r="4193" s="136" customFormat="1" x14ac:dyDescent="0.3"/>
    <row r="4194" s="136" customFormat="1" x14ac:dyDescent="0.3"/>
    <row r="4195" s="136" customFormat="1" x14ac:dyDescent="0.3"/>
    <row r="4196" s="136" customFormat="1" x14ac:dyDescent="0.3"/>
    <row r="4197" s="136" customFormat="1" x14ac:dyDescent="0.3"/>
    <row r="4198" s="136" customFormat="1" x14ac:dyDescent="0.3"/>
    <row r="4199" s="136" customFormat="1" x14ac:dyDescent="0.3"/>
    <row r="4200" s="136" customFormat="1" x14ac:dyDescent="0.3"/>
    <row r="4201" s="136" customFormat="1" x14ac:dyDescent="0.3"/>
    <row r="4202" s="136" customFormat="1" x14ac:dyDescent="0.3"/>
    <row r="4203" s="136" customFormat="1" x14ac:dyDescent="0.3"/>
    <row r="4204" s="136" customFormat="1" x14ac:dyDescent="0.3"/>
    <row r="4205" s="136" customFormat="1" x14ac:dyDescent="0.3"/>
    <row r="4206" s="136" customFormat="1" x14ac:dyDescent="0.3"/>
    <row r="4207" s="136" customFormat="1" x14ac:dyDescent="0.3"/>
    <row r="4208" s="136" customFormat="1" x14ac:dyDescent="0.3"/>
    <row r="4209" s="136" customFormat="1" x14ac:dyDescent="0.3"/>
    <row r="4210" s="136" customFormat="1" x14ac:dyDescent="0.3"/>
    <row r="4211" s="136" customFormat="1" x14ac:dyDescent="0.3"/>
    <row r="4212" s="136" customFormat="1" x14ac:dyDescent="0.3"/>
    <row r="4213" s="136" customFormat="1" x14ac:dyDescent="0.3"/>
    <row r="4214" s="136" customFormat="1" x14ac:dyDescent="0.3"/>
    <row r="4215" s="136" customFormat="1" x14ac:dyDescent="0.3"/>
    <row r="4216" s="136" customFormat="1" x14ac:dyDescent="0.3"/>
    <row r="4217" s="136" customFormat="1" x14ac:dyDescent="0.3"/>
    <row r="4218" s="136" customFormat="1" x14ac:dyDescent="0.3"/>
    <row r="4219" s="136" customFormat="1" x14ac:dyDescent="0.3"/>
    <row r="4220" s="136" customFormat="1" x14ac:dyDescent="0.3"/>
    <row r="4221" s="136" customFormat="1" x14ac:dyDescent="0.3"/>
    <row r="4222" s="136" customFormat="1" x14ac:dyDescent="0.3"/>
    <row r="4223" s="136" customFormat="1" x14ac:dyDescent="0.3"/>
    <row r="4224" s="136" customFormat="1" x14ac:dyDescent="0.3"/>
    <row r="4225" s="136" customFormat="1" x14ac:dyDescent="0.3"/>
    <row r="4226" s="136" customFormat="1" x14ac:dyDescent="0.3"/>
    <row r="4227" s="136" customFormat="1" x14ac:dyDescent="0.3"/>
    <row r="4228" s="136" customFormat="1" x14ac:dyDescent="0.3"/>
    <row r="4229" s="136" customFormat="1" x14ac:dyDescent="0.3"/>
    <row r="4230" s="136" customFormat="1" x14ac:dyDescent="0.3"/>
    <row r="4231" s="136" customFormat="1" x14ac:dyDescent="0.3"/>
    <row r="4232" s="136" customFormat="1" x14ac:dyDescent="0.3"/>
    <row r="4233" s="136" customFormat="1" x14ac:dyDescent="0.3"/>
    <row r="4234" s="136" customFormat="1" x14ac:dyDescent="0.3"/>
    <row r="4235" s="136" customFormat="1" x14ac:dyDescent="0.3"/>
    <row r="4236" s="136" customFormat="1" x14ac:dyDescent="0.3"/>
    <row r="4237" s="136" customFormat="1" x14ac:dyDescent="0.3"/>
    <row r="4238" s="136" customFormat="1" x14ac:dyDescent="0.3"/>
    <row r="4239" s="136" customFormat="1" x14ac:dyDescent="0.3"/>
    <row r="4240" s="136" customFormat="1" x14ac:dyDescent="0.3"/>
    <row r="4241" s="136" customFormat="1" x14ac:dyDescent="0.3"/>
    <row r="4242" s="136" customFormat="1" x14ac:dyDescent="0.3"/>
    <row r="4243" s="136" customFormat="1" x14ac:dyDescent="0.3"/>
    <row r="4244" s="136" customFormat="1" x14ac:dyDescent="0.3"/>
    <row r="4245" s="136" customFormat="1" x14ac:dyDescent="0.3"/>
    <row r="4246" s="136" customFormat="1" x14ac:dyDescent="0.3"/>
    <row r="4247" s="136" customFormat="1" x14ac:dyDescent="0.3"/>
    <row r="4248" s="136" customFormat="1" x14ac:dyDescent="0.3"/>
    <row r="4249" s="136" customFormat="1" x14ac:dyDescent="0.3"/>
    <row r="4250" s="136" customFormat="1" x14ac:dyDescent="0.3"/>
    <row r="4251" s="136" customFormat="1" x14ac:dyDescent="0.3"/>
    <row r="4252" s="136" customFormat="1" x14ac:dyDescent="0.3"/>
    <row r="4253" s="136" customFormat="1" x14ac:dyDescent="0.3"/>
    <row r="4254" s="136" customFormat="1" x14ac:dyDescent="0.3"/>
    <row r="4255" s="136" customFormat="1" x14ac:dyDescent="0.3"/>
    <row r="4256" s="136" customFormat="1" x14ac:dyDescent="0.3"/>
    <row r="4257" s="136" customFormat="1" x14ac:dyDescent="0.3"/>
    <row r="4258" s="136" customFormat="1" x14ac:dyDescent="0.3"/>
    <row r="4259" s="136" customFormat="1" x14ac:dyDescent="0.3"/>
    <row r="4260" s="136" customFormat="1" x14ac:dyDescent="0.3"/>
    <row r="4261" s="136" customFormat="1" x14ac:dyDescent="0.3"/>
    <row r="4262" s="136" customFormat="1" x14ac:dyDescent="0.3"/>
    <row r="4263" s="136" customFormat="1" x14ac:dyDescent="0.3"/>
    <row r="4264" s="136" customFormat="1" x14ac:dyDescent="0.3"/>
    <row r="4265" s="136" customFormat="1" x14ac:dyDescent="0.3"/>
    <row r="4266" s="136" customFormat="1" x14ac:dyDescent="0.3"/>
    <row r="4267" s="136" customFormat="1" x14ac:dyDescent="0.3"/>
    <row r="4268" s="136" customFormat="1" x14ac:dyDescent="0.3"/>
    <row r="4269" s="136" customFormat="1" x14ac:dyDescent="0.3"/>
    <row r="4270" s="136" customFormat="1" x14ac:dyDescent="0.3"/>
    <row r="4271" s="136" customFormat="1" x14ac:dyDescent="0.3"/>
    <row r="4272" s="136" customFormat="1" x14ac:dyDescent="0.3"/>
    <row r="4273" s="136" customFormat="1" x14ac:dyDescent="0.3"/>
    <row r="4274" s="136" customFormat="1" x14ac:dyDescent="0.3"/>
    <row r="4275" s="136" customFormat="1" x14ac:dyDescent="0.3"/>
    <row r="4276" s="136" customFormat="1" x14ac:dyDescent="0.3"/>
    <row r="4277" s="136" customFormat="1" x14ac:dyDescent="0.3"/>
    <row r="4278" s="136" customFormat="1" x14ac:dyDescent="0.3"/>
    <row r="4279" s="136" customFormat="1" x14ac:dyDescent="0.3"/>
    <row r="4280" s="136" customFormat="1" x14ac:dyDescent="0.3"/>
    <row r="4281" s="136" customFormat="1" x14ac:dyDescent="0.3"/>
    <row r="4282" s="136" customFormat="1" x14ac:dyDescent="0.3"/>
    <row r="4283" s="136" customFormat="1" x14ac:dyDescent="0.3"/>
    <row r="4284" s="136" customFormat="1" x14ac:dyDescent="0.3"/>
    <row r="4285" s="136" customFormat="1" x14ac:dyDescent="0.3"/>
    <row r="4286" s="136" customFormat="1" x14ac:dyDescent="0.3"/>
    <row r="4287" s="136" customFormat="1" x14ac:dyDescent="0.3"/>
    <row r="4288" s="136" customFormat="1" x14ac:dyDescent="0.3"/>
    <row r="4289" s="136" customFormat="1" x14ac:dyDescent="0.3"/>
    <row r="4290" s="136" customFormat="1" x14ac:dyDescent="0.3"/>
    <row r="4291" s="136" customFormat="1" x14ac:dyDescent="0.3"/>
    <row r="4292" s="136" customFormat="1" x14ac:dyDescent="0.3"/>
    <row r="4293" s="136" customFormat="1" x14ac:dyDescent="0.3"/>
    <row r="4294" s="136" customFormat="1" x14ac:dyDescent="0.3"/>
    <row r="4295" s="136" customFormat="1" x14ac:dyDescent="0.3"/>
    <row r="4296" s="136" customFormat="1" x14ac:dyDescent="0.3"/>
    <row r="4297" s="136" customFormat="1" x14ac:dyDescent="0.3"/>
    <row r="4298" s="136" customFormat="1" x14ac:dyDescent="0.3"/>
    <row r="4299" s="136" customFormat="1" x14ac:dyDescent="0.3"/>
    <row r="4300" s="136" customFormat="1" x14ac:dyDescent="0.3"/>
    <row r="4301" s="136" customFormat="1" x14ac:dyDescent="0.3"/>
    <row r="4302" s="136" customFormat="1" x14ac:dyDescent="0.3"/>
    <row r="4303" s="136" customFormat="1" x14ac:dyDescent="0.3"/>
    <row r="4304" s="136" customFormat="1" x14ac:dyDescent="0.3"/>
    <row r="4305" s="136" customFormat="1" x14ac:dyDescent="0.3"/>
    <row r="4306" s="136" customFormat="1" x14ac:dyDescent="0.3"/>
    <row r="4307" s="136" customFormat="1" x14ac:dyDescent="0.3"/>
    <row r="4308" s="136" customFormat="1" x14ac:dyDescent="0.3"/>
    <row r="4309" s="136" customFormat="1" x14ac:dyDescent="0.3"/>
    <row r="4310" s="136" customFormat="1" x14ac:dyDescent="0.3"/>
    <row r="4311" s="136" customFormat="1" x14ac:dyDescent="0.3"/>
    <row r="4312" s="136" customFormat="1" x14ac:dyDescent="0.3"/>
    <row r="4313" s="136" customFormat="1" x14ac:dyDescent="0.3"/>
    <row r="4314" s="136" customFormat="1" x14ac:dyDescent="0.3"/>
    <row r="4315" s="136" customFormat="1" x14ac:dyDescent="0.3"/>
    <row r="4316" s="136" customFormat="1" x14ac:dyDescent="0.3"/>
    <row r="4317" s="136" customFormat="1" x14ac:dyDescent="0.3"/>
    <row r="4318" s="136" customFormat="1" x14ac:dyDescent="0.3"/>
    <row r="4319" s="136" customFormat="1" x14ac:dyDescent="0.3"/>
    <row r="4320" s="136" customFormat="1" x14ac:dyDescent="0.3"/>
    <row r="4321" s="136" customFormat="1" x14ac:dyDescent="0.3"/>
    <row r="4322" s="136" customFormat="1" x14ac:dyDescent="0.3"/>
    <row r="4323" s="136" customFormat="1" x14ac:dyDescent="0.3"/>
    <row r="4324" s="136" customFormat="1" x14ac:dyDescent="0.3"/>
    <row r="4325" s="136" customFormat="1" x14ac:dyDescent="0.3"/>
    <row r="4326" s="136" customFormat="1" x14ac:dyDescent="0.3"/>
    <row r="4327" s="136" customFormat="1" x14ac:dyDescent="0.3"/>
    <row r="4328" s="136" customFormat="1" x14ac:dyDescent="0.3"/>
    <row r="4329" s="136" customFormat="1" x14ac:dyDescent="0.3"/>
    <row r="4330" s="136" customFormat="1" x14ac:dyDescent="0.3"/>
    <row r="4331" s="136" customFormat="1" x14ac:dyDescent="0.3"/>
    <row r="4332" s="136" customFormat="1" x14ac:dyDescent="0.3"/>
    <row r="4333" s="136" customFormat="1" x14ac:dyDescent="0.3"/>
    <row r="4334" s="136" customFormat="1" x14ac:dyDescent="0.3"/>
    <row r="4335" s="136" customFormat="1" x14ac:dyDescent="0.3"/>
    <row r="4336" s="136" customFormat="1" x14ac:dyDescent="0.3"/>
    <row r="4337" s="136" customFormat="1" x14ac:dyDescent="0.3"/>
    <row r="4338" s="136" customFormat="1" x14ac:dyDescent="0.3"/>
    <row r="4339" s="136" customFormat="1" x14ac:dyDescent="0.3"/>
    <row r="4340" s="136" customFormat="1" x14ac:dyDescent="0.3"/>
    <row r="4341" s="136" customFormat="1" x14ac:dyDescent="0.3"/>
    <row r="4342" s="136" customFormat="1" x14ac:dyDescent="0.3"/>
    <row r="4343" s="136" customFormat="1" x14ac:dyDescent="0.3"/>
    <row r="4344" s="136" customFormat="1" x14ac:dyDescent="0.3"/>
    <row r="4345" s="136" customFormat="1" x14ac:dyDescent="0.3"/>
    <row r="4346" s="136" customFormat="1" x14ac:dyDescent="0.3"/>
    <row r="4347" s="136" customFormat="1" x14ac:dyDescent="0.3"/>
    <row r="4348" s="136" customFormat="1" x14ac:dyDescent="0.3"/>
    <row r="4349" s="136" customFormat="1" x14ac:dyDescent="0.3"/>
    <row r="4350" s="136" customFormat="1" x14ac:dyDescent="0.3"/>
    <row r="4351" s="136" customFormat="1" x14ac:dyDescent="0.3"/>
    <row r="4352" s="136" customFormat="1" x14ac:dyDescent="0.3"/>
    <row r="4353" s="136" customFormat="1" x14ac:dyDescent="0.3"/>
    <row r="4354" s="136" customFormat="1" x14ac:dyDescent="0.3"/>
    <row r="4355" s="136" customFormat="1" x14ac:dyDescent="0.3"/>
    <row r="4356" s="136" customFormat="1" x14ac:dyDescent="0.3"/>
    <row r="4357" s="136" customFormat="1" x14ac:dyDescent="0.3"/>
    <row r="4358" s="136" customFormat="1" x14ac:dyDescent="0.3"/>
    <row r="4359" s="136" customFormat="1" x14ac:dyDescent="0.3"/>
    <row r="4360" s="136" customFormat="1" x14ac:dyDescent="0.3"/>
    <row r="4361" s="136" customFormat="1" x14ac:dyDescent="0.3"/>
    <row r="4362" s="136" customFormat="1" x14ac:dyDescent="0.3"/>
    <row r="4363" s="136" customFormat="1" x14ac:dyDescent="0.3"/>
    <row r="4364" s="136" customFormat="1" x14ac:dyDescent="0.3"/>
    <row r="4365" s="136" customFormat="1" x14ac:dyDescent="0.3"/>
    <row r="4366" s="136" customFormat="1" x14ac:dyDescent="0.3"/>
    <row r="4367" s="136" customFormat="1" x14ac:dyDescent="0.3"/>
    <row r="4368" s="136" customFormat="1" x14ac:dyDescent="0.3"/>
    <row r="4369" s="136" customFormat="1" x14ac:dyDescent="0.3"/>
    <row r="4370" s="136" customFormat="1" x14ac:dyDescent="0.3"/>
    <row r="4371" s="136" customFormat="1" x14ac:dyDescent="0.3"/>
    <row r="4372" s="136" customFormat="1" x14ac:dyDescent="0.3"/>
    <row r="4373" s="136" customFormat="1" x14ac:dyDescent="0.3"/>
    <row r="4374" s="136" customFormat="1" x14ac:dyDescent="0.3"/>
    <row r="4375" s="136" customFormat="1" x14ac:dyDescent="0.3"/>
    <row r="4376" s="136" customFormat="1" x14ac:dyDescent="0.3"/>
    <row r="4377" s="136" customFormat="1" x14ac:dyDescent="0.3"/>
    <row r="4378" s="136" customFormat="1" x14ac:dyDescent="0.3"/>
    <row r="4379" s="136" customFormat="1" x14ac:dyDescent="0.3"/>
    <row r="4380" s="136" customFormat="1" x14ac:dyDescent="0.3"/>
    <row r="4381" s="136" customFormat="1" x14ac:dyDescent="0.3"/>
    <row r="4382" s="136" customFormat="1" x14ac:dyDescent="0.3"/>
    <row r="4383" s="136" customFormat="1" x14ac:dyDescent="0.3"/>
    <row r="4384" s="136" customFormat="1" x14ac:dyDescent="0.3"/>
    <row r="4385" s="136" customFormat="1" x14ac:dyDescent="0.3"/>
    <row r="4386" s="136" customFormat="1" x14ac:dyDescent="0.3"/>
    <row r="4387" s="136" customFormat="1" x14ac:dyDescent="0.3"/>
    <row r="4388" s="136" customFormat="1" x14ac:dyDescent="0.3"/>
    <row r="4389" s="136" customFormat="1" x14ac:dyDescent="0.3"/>
    <row r="4390" s="136" customFormat="1" x14ac:dyDescent="0.3"/>
    <row r="4391" s="136" customFormat="1" x14ac:dyDescent="0.3"/>
    <row r="4392" s="136" customFormat="1" x14ac:dyDescent="0.3"/>
    <row r="4393" s="136" customFormat="1" x14ac:dyDescent="0.3"/>
    <row r="4394" s="136" customFormat="1" x14ac:dyDescent="0.3"/>
    <row r="4395" s="136" customFormat="1" x14ac:dyDescent="0.3"/>
    <row r="4396" s="136" customFormat="1" x14ac:dyDescent="0.3"/>
    <row r="4397" s="136" customFormat="1" x14ac:dyDescent="0.3"/>
    <row r="4398" s="136" customFormat="1" x14ac:dyDescent="0.3"/>
    <row r="4399" s="136" customFormat="1" x14ac:dyDescent="0.3"/>
    <row r="4400" s="136" customFormat="1" x14ac:dyDescent="0.3"/>
    <row r="4401" s="136" customFormat="1" x14ac:dyDescent="0.3"/>
    <row r="4402" s="136" customFormat="1" x14ac:dyDescent="0.3"/>
    <row r="4403" s="136" customFormat="1" x14ac:dyDescent="0.3"/>
    <row r="4404" s="136" customFormat="1" x14ac:dyDescent="0.3"/>
    <row r="4405" s="136" customFormat="1" x14ac:dyDescent="0.3"/>
    <row r="4406" s="136" customFormat="1" x14ac:dyDescent="0.3"/>
    <row r="4407" s="136" customFormat="1" x14ac:dyDescent="0.3"/>
    <row r="4408" s="136" customFormat="1" x14ac:dyDescent="0.3"/>
    <row r="4409" s="136" customFormat="1" x14ac:dyDescent="0.3"/>
    <row r="4410" s="136" customFormat="1" x14ac:dyDescent="0.3"/>
    <row r="4411" s="136" customFormat="1" x14ac:dyDescent="0.3"/>
    <row r="4412" s="136" customFormat="1" x14ac:dyDescent="0.3"/>
    <row r="4413" s="136" customFormat="1" x14ac:dyDescent="0.3"/>
    <row r="4414" s="136" customFormat="1" x14ac:dyDescent="0.3"/>
    <row r="4415" s="136" customFormat="1" x14ac:dyDescent="0.3"/>
    <row r="4416" s="136" customFormat="1" x14ac:dyDescent="0.3"/>
    <row r="4417" s="136" customFormat="1" x14ac:dyDescent="0.3"/>
    <row r="4418" s="136" customFormat="1" x14ac:dyDescent="0.3"/>
    <row r="4419" s="136" customFormat="1" x14ac:dyDescent="0.3"/>
    <row r="4420" s="136" customFormat="1" x14ac:dyDescent="0.3"/>
    <row r="4421" s="136" customFormat="1" x14ac:dyDescent="0.3"/>
    <row r="4422" s="136" customFormat="1" x14ac:dyDescent="0.3"/>
    <row r="4423" s="136" customFormat="1" x14ac:dyDescent="0.3"/>
    <row r="4424" s="136" customFormat="1" x14ac:dyDescent="0.3"/>
    <row r="4425" s="136" customFormat="1" x14ac:dyDescent="0.3"/>
    <row r="4426" s="136" customFormat="1" x14ac:dyDescent="0.3"/>
    <row r="4427" s="136" customFormat="1" x14ac:dyDescent="0.3"/>
    <row r="4428" s="136" customFormat="1" x14ac:dyDescent="0.3"/>
    <row r="4429" s="136" customFormat="1" x14ac:dyDescent="0.3"/>
    <row r="4430" s="136" customFormat="1" x14ac:dyDescent="0.3"/>
    <row r="4431" s="136" customFormat="1" x14ac:dyDescent="0.3"/>
    <row r="4432" s="136" customFormat="1" x14ac:dyDescent="0.3"/>
    <row r="4433" s="136" customFormat="1" x14ac:dyDescent="0.3"/>
    <row r="4434" s="136" customFormat="1" x14ac:dyDescent="0.3"/>
    <row r="4435" s="136" customFormat="1" x14ac:dyDescent="0.3"/>
    <row r="4436" s="136" customFormat="1" x14ac:dyDescent="0.3"/>
    <row r="4437" s="136" customFormat="1" x14ac:dyDescent="0.3"/>
    <row r="4438" s="136" customFormat="1" x14ac:dyDescent="0.3"/>
    <row r="4439" s="136" customFormat="1" x14ac:dyDescent="0.3"/>
    <row r="4440" s="136" customFormat="1" x14ac:dyDescent="0.3"/>
    <row r="4441" s="136" customFormat="1" x14ac:dyDescent="0.3"/>
    <row r="4442" s="136" customFormat="1" x14ac:dyDescent="0.3"/>
    <row r="4443" s="136" customFormat="1" x14ac:dyDescent="0.3"/>
    <row r="4444" s="136" customFormat="1" x14ac:dyDescent="0.3"/>
    <row r="4445" s="136" customFormat="1" x14ac:dyDescent="0.3"/>
    <row r="4446" s="136" customFormat="1" x14ac:dyDescent="0.3"/>
    <row r="4447" s="136" customFormat="1" x14ac:dyDescent="0.3"/>
    <row r="4448" s="136" customFormat="1" x14ac:dyDescent="0.3"/>
    <row r="4449" s="136" customFormat="1" x14ac:dyDescent="0.3"/>
    <row r="4450" s="136" customFormat="1" x14ac:dyDescent="0.3"/>
    <row r="4451" s="136" customFormat="1" x14ac:dyDescent="0.3"/>
    <row r="4452" s="136" customFormat="1" x14ac:dyDescent="0.3"/>
    <row r="4453" s="136" customFormat="1" x14ac:dyDescent="0.3"/>
    <row r="4454" s="136" customFormat="1" x14ac:dyDescent="0.3"/>
    <row r="4455" s="136" customFormat="1" x14ac:dyDescent="0.3"/>
    <row r="4456" s="136" customFormat="1" x14ac:dyDescent="0.3"/>
    <row r="4457" s="136" customFormat="1" x14ac:dyDescent="0.3"/>
    <row r="4458" s="136" customFormat="1" x14ac:dyDescent="0.3"/>
    <row r="4459" s="136" customFormat="1" x14ac:dyDescent="0.3"/>
    <row r="4460" s="136" customFormat="1" x14ac:dyDescent="0.3"/>
    <row r="4461" s="136" customFormat="1" x14ac:dyDescent="0.3"/>
    <row r="4462" s="136" customFormat="1" x14ac:dyDescent="0.3"/>
    <row r="4463" s="136" customFormat="1" x14ac:dyDescent="0.3"/>
    <row r="4464" s="136" customFormat="1" x14ac:dyDescent="0.3"/>
    <row r="4465" s="136" customFormat="1" x14ac:dyDescent="0.3"/>
    <row r="4466" s="136" customFormat="1" x14ac:dyDescent="0.3"/>
    <row r="4467" s="136" customFormat="1" x14ac:dyDescent="0.3"/>
    <row r="4468" s="136" customFormat="1" x14ac:dyDescent="0.3"/>
    <row r="4469" s="136" customFormat="1" x14ac:dyDescent="0.3"/>
    <row r="4470" s="136" customFormat="1" x14ac:dyDescent="0.3"/>
    <row r="4471" s="136" customFormat="1" x14ac:dyDescent="0.3"/>
    <row r="4472" s="136" customFormat="1" x14ac:dyDescent="0.3"/>
    <row r="4473" s="136" customFormat="1" x14ac:dyDescent="0.3"/>
    <row r="4474" s="136" customFormat="1" x14ac:dyDescent="0.3"/>
    <row r="4475" s="136" customFormat="1" x14ac:dyDescent="0.3"/>
    <row r="4476" s="136" customFormat="1" x14ac:dyDescent="0.3"/>
    <row r="4477" s="136" customFormat="1" x14ac:dyDescent="0.3"/>
    <row r="4478" s="136" customFormat="1" x14ac:dyDescent="0.3"/>
    <row r="4479" s="136" customFormat="1" x14ac:dyDescent="0.3"/>
    <row r="4480" s="136" customFormat="1" x14ac:dyDescent="0.3"/>
    <row r="4481" s="136" customFormat="1" x14ac:dyDescent="0.3"/>
    <row r="4482" s="136" customFormat="1" x14ac:dyDescent="0.3"/>
    <row r="4483" s="136" customFormat="1" x14ac:dyDescent="0.3"/>
    <row r="4484" s="136" customFormat="1" x14ac:dyDescent="0.3"/>
    <row r="4485" s="136" customFormat="1" x14ac:dyDescent="0.3"/>
    <row r="4486" s="136" customFormat="1" x14ac:dyDescent="0.3"/>
    <row r="4487" s="136" customFormat="1" x14ac:dyDescent="0.3"/>
    <row r="4488" s="136" customFormat="1" x14ac:dyDescent="0.3"/>
    <row r="4489" s="136" customFormat="1" x14ac:dyDescent="0.3"/>
    <row r="4490" s="136" customFormat="1" x14ac:dyDescent="0.3"/>
    <row r="4491" s="136" customFormat="1" x14ac:dyDescent="0.3"/>
    <row r="4492" s="136" customFormat="1" x14ac:dyDescent="0.3"/>
    <row r="4493" s="136" customFormat="1" x14ac:dyDescent="0.3"/>
    <row r="4494" s="136" customFormat="1" x14ac:dyDescent="0.3"/>
    <row r="4495" s="136" customFormat="1" x14ac:dyDescent="0.3"/>
    <row r="4496" s="136" customFormat="1" x14ac:dyDescent="0.3"/>
    <row r="4497" s="136" customFormat="1" x14ac:dyDescent="0.3"/>
    <row r="4498" s="136" customFormat="1" x14ac:dyDescent="0.3"/>
    <row r="4499" s="136" customFormat="1" x14ac:dyDescent="0.3"/>
    <row r="4500" s="136" customFormat="1" x14ac:dyDescent="0.3"/>
    <row r="4501" s="136" customFormat="1" x14ac:dyDescent="0.3"/>
    <row r="4502" s="136" customFormat="1" x14ac:dyDescent="0.3"/>
    <row r="4503" s="136" customFormat="1" x14ac:dyDescent="0.3"/>
    <row r="4504" s="136" customFormat="1" x14ac:dyDescent="0.3"/>
    <row r="4505" s="136" customFormat="1" x14ac:dyDescent="0.3"/>
    <row r="4506" s="136" customFormat="1" x14ac:dyDescent="0.3"/>
    <row r="4507" s="136" customFormat="1" x14ac:dyDescent="0.3"/>
    <row r="4508" s="136" customFormat="1" x14ac:dyDescent="0.3"/>
    <row r="4509" s="136" customFormat="1" x14ac:dyDescent="0.3"/>
    <row r="4510" s="136" customFormat="1" x14ac:dyDescent="0.3"/>
    <row r="4511" s="136" customFormat="1" x14ac:dyDescent="0.3"/>
    <row r="4512" s="136" customFormat="1" x14ac:dyDescent="0.3"/>
    <row r="4513" s="136" customFormat="1" x14ac:dyDescent="0.3"/>
    <row r="4514" s="136" customFormat="1" x14ac:dyDescent="0.3"/>
    <row r="4515" s="136" customFormat="1" x14ac:dyDescent="0.3"/>
    <row r="4516" s="136" customFormat="1" x14ac:dyDescent="0.3"/>
    <row r="4517" s="136" customFormat="1" x14ac:dyDescent="0.3"/>
    <row r="4518" s="136" customFormat="1" x14ac:dyDescent="0.3"/>
    <row r="4519" s="136" customFormat="1" x14ac:dyDescent="0.3"/>
    <row r="4520" s="136" customFormat="1" x14ac:dyDescent="0.3"/>
    <row r="4521" s="136" customFormat="1" x14ac:dyDescent="0.3"/>
    <row r="4522" s="136" customFormat="1" x14ac:dyDescent="0.3"/>
    <row r="4523" s="136" customFormat="1" x14ac:dyDescent="0.3"/>
    <row r="4524" s="136" customFormat="1" x14ac:dyDescent="0.3"/>
    <row r="4525" s="136" customFormat="1" x14ac:dyDescent="0.3"/>
    <row r="4526" s="136" customFormat="1" x14ac:dyDescent="0.3"/>
    <row r="4527" s="136" customFormat="1" x14ac:dyDescent="0.3"/>
    <row r="4528" s="136" customFormat="1" x14ac:dyDescent="0.3"/>
    <row r="4529" s="136" customFormat="1" x14ac:dyDescent="0.3"/>
    <row r="4530" s="136" customFormat="1" x14ac:dyDescent="0.3"/>
    <row r="4531" s="136" customFormat="1" x14ac:dyDescent="0.3"/>
    <row r="4532" s="136" customFormat="1" x14ac:dyDescent="0.3"/>
    <row r="4533" s="136" customFormat="1" x14ac:dyDescent="0.3"/>
    <row r="4534" s="136" customFormat="1" x14ac:dyDescent="0.3"/>
    <row r="4535" s="136" customFormat="1" x14ac:dyDescent="0.3"/>
    <row r="4536" s="136" customFormat="1" x14ac:dyDescent="0.3"/>
    <row r="4537" s="136" customFormat="1" x14ac:dyDescent="0.3"/>
    <row r="4538" s="136" customFormat="1" x14ac:dyDescent="0.3"/>
    <row r="4539" s="136" customFormat="1" x14ac:dyDescent="0.3"/>
    <row r="4540" s="136" customFormat="1" x14ac:dyDescent="0.3"/>
    <row r="4541" s="136" customFormat="1" x14ac:dyDescent="0.3"/>
    <row r="4542" s="136" customFormat="1" x14ac:dyDescent="0.3"/>
    <row r="4543" s="136" customFormat="1" x14ac:dyDescent="0.3"/>
    <row r="4544" s="136" customFormat="1" x14ac:dyDescent="0.3"/>
    <row r="4545" s="136" customFormat="1" x14ac:dyDescent="0.3"/>
    <row r="4546" s="136" customFormat="1" x14ac:dyDescent="0.3"/>
    <row r="4547" s="136" customFormat="1" x14ac:dyDescent="0.3"/>
    <row r="4548" s="136" customFormat="1" x14ac:dyDescent="0.3"/>
    <row r="4549" s="136" customFormat="1" x14ac:dyDescent="0.3"/>
    <row r="4550" s="136" customFormat="1" x14ac:dyDescent="0.3"/>
    <row r="4551" s="136" customFormat="1" x14ac:dyDescent="0.3"/>
    <row r="4552" s="136" customFormat="1" x14ac:dyDescent="0.3"/>
    <row r="4553" s="136" customFormat="1" x14ac:dyDescent="0.3"/>
    <row r="4554" s="136" customFormat="1" x14ac:dyDescent="0.3"/>
    <row r="4555" s="136" customFormat="1" x14ac:dyDescent="0.3"/>
    <row r="4556" s="136" customFormat="1" x14ac:dyDescent="0.3"/>
    <row r="4557" s="136" customFormat="1" x14ac:dyDescent="0.3"/>
    <row r="4558" s="136" customFormat="1" x14ac:dyDescent="0.3"/>
    <row r="4559" s="136" customFormat="1" x14ac:dyDescent="0.3"/>
    <row r="4560" s="136" customFormat="1" x14ac:dyDescent="0.3"/>
    <row r="4561" s="136" customFormat="1" x14ac:dyDescent="0.3"/>
    <row r="4562" s="136" customFormat="1" x14ac:dyDescent="0.3"/>
    <row r="4563" s="136" customFormat="1" x14ac:dyDescent="0.3"/>
    <row r="4564" s="136" customFormat="1" x14ac:dyDescent="0.3"/>
    <row r="4565" s="136" customFormat="1" x14ac:dyDescent="0.3"/>
    <row r="4566" s="136" customFormat="1" x14ac:dyDescent="0.3"/>
    <row r="4567" s="136" customFormat="1" x14ac:dyDescent="0.3"/>
    <row r="4568" s="136" customFormat="1" x14ac:dyDescent="0.3"/>
    <row r="4569" s="136" customFormat="1" x14ac:dyDescent="0.3"/>
    <row r="4570" s="136" customFormat="1" x14ac:dyDescent="0.3"/>
    <row r="4571" s="136" customFormat="1" x14ac:dyDescent="0.3"/>
    <row r="4572" s="136" customFormat="1" x14ac:dyDescent="0.3"/>
    <row r="4573" s="136" customFormat="1" x14ac:dyDescent="0.3"/>
    <row r="4574" s="136" customFormat="1" x14ac:dyDescent="0.3"/>
    <row r="4575" s="136" customFormat="1" x14ac:dyDescent="0.3"/>
    <row r="4576" s="136" customFormat="1" x14ac:dyDescent="0.3"/>
    <row r="4577" s="136" customFormat="1" x14ac:dyDescent="0.3"/>
    <row r="4578" s="136" customFormat="1" x14ac:dyDescent="0.3"/>
    <row r="4579" s="136" customFormat="1" x14ac:dyDescent="0.3"/>
    <row r="4580" s="136" customFormat="1" x14ac:dyDescent="0.3"/>
    <row r="4581" s="136" customFormat="1" x14ac:dyDescent="0.3"/>
    <row r="4582" s="136" customFormat="1" x14ac:dyDescent="0.3"/>
    <row r="4583" s="136" customFormat="1" x14ac:dyDescent="0.3"/>
    <row r="4584" s="136" customFormat="1" x14ac:dyDescent="0.3"/>
    <row r="4585" s="136" customFormat="1" x14ac:dyDescent="0.3"/>
    <row r="4586" s="136" customFormat="1" x14ac:dyDescent="0.3"/>
    <row r="4587" s="136" customFormat="1" x14ac:dyDescent="0.3"/>
    <row r="4588" s="136" customFormat="1" x14ac:dyDescent="0.3"/>
    <row r="4589" s="136" customFormat="1" x14ac:dyDescent="0.3"/>
    <row r="4590" s="136" customFormat="1" x14ac:dyDescent="0.3"/>
    <row r="4591" s="136" customFormat="1" x14ac:dyDescent="0.3"/>
    <row r="4592" s="136" customFormat="1" x14ac:dyDescent="0.3"/>
    <row r="4593" s="136" customFormat="1" x14ac:dyDescent="0.3"/>
    <row r="4594" s="136" customFormat="1" x14ac:dyDescent="0.3"/>
    <row r="4595" s="136" customFormat="1" x14ac:dyDescent="0.3"/>
    <row r="4596" s="136" customFormat="1" x14ac:dyDescent="0.3"/>
    <row r="4597" s="136" customFormat="1" x14ac:dyDescent="0.3"/>
    <row r="4598" s="136" customFormat="1" x14ac:dyDescent="0.3"/>
    <row r="4599" s="136" customFormat="1" x14ac:dyDescent="0.3"/>
    <row r="4600" s="136" customFormat="1" x14ac:dyDescent="0.3"/>
    <row r="4601" s="136" customFormat="1" x14ac:dyDescent="0.3"/>
    <row r="4602" s="136" customFormat="1" x14ac:dyDescent="0.3"/>
    <row r="4603" s="136" customFormat="1" x14ac:dyDescent="0.3"/>
    <row r="4604" s="136" customFormat="1" x14ac:dyDescent="0.3"/>
    <row r="4605" s="136" customFormat="1" x14ac:dyDescent="0.3"/>
    <row r="4606" s="136" customFormat="1" x14ac:dyDescent="0.3"/>
    <row r="4607" s="136" customFormat="1" x14ac:dyDescent="0.3"/>
    <row r="4608" s="136" customFormat="1" x14ac:dyDescent="0.3"/>
    <row r="4609" s="136" customFormat="1" x14ac:dyDescent="0.3"/>
    <row r="4610" s="136" customFormat="1" x14ac:dyDescent="0.3"/>
    <row r="4611" s="136" customFormat="1" x14ac:dyDescent="0.3"/>
    <row r="4612" s="136" customFormat="1" x14ac:dyDescent="0.3"/>
    <row r="4613" s="136" customFormat="1" x14ac:dyDescent="0.3"/>
    <row r="4614" s="136" customFormat="1" x14ac:dyDescent="0.3"/>
    <row r="4615" s="136" customFormat="1" x14ac:dyDescent="0.3"/>
    <row r="4616" s="136" customFormat="1" x14ac:dyDescent="0.3"/>
    <row r="4617" s="136" customFormat="1" x14ac:dyDescent="0.3"/>
    <row r="4618" s="136" customFormat="1" x14ac:dyDescent="0.3"/>
    <row r="4619" s="136" customFormat="1" x14ac:dyDescent="0.3"/>
    <row r="4620" s="136" customFormat="1" x14ac:dyDescent="0.3"/>
    <row r="4621" s="136" customFormat="1" x14ac:dyDescent="0.3"/>
    <row r="4622" s="136" customFormat="1" x14ac:dyDescent="0.3"/>
    <row r="4623" s="136" customFormat="1" x14ac:dyDescent="0.3"/>
    <row r="4624" s="136" customFormat="1" x14ac:dyDescent="0.3"/>
    <row r="4625" s="136" customFormat="1" x14ac:dyDescent="0.3"/>
    <row r="4626" s="136" customFormat="1" x14ac:dyDescent="0.3"/>
    <row r="4627" s="136" customFormat="1" x14ac:dyDescent="0.3"/>
    <row r="4628" s="136" customFormat="1" x14ac:dyDescent="0.3"/>
    <row r="4629" s="136" customFormat="1" x14ac:dyDescent="0.3"/>
    <row r="4630" s="136" customFormat="1" x14ac:dyDescent="0.3"/>
    <row r="4631" s="136" customFormat="1" x14ac:dyDescent="0.3"/>
    <row r="4632" s="136" customFormat="1" x14ac:dyDescent="0.3"/>
    <row r="4633" s="136" customFormat="1" x14ac:dyDescent="0.3"/>
    <row r="4634" s="136" customFormat="1" x14ac:dyDescent="0.3"/>
    <row r="4635" s="136" customFormat="1" x14ac:dyDescent="0.3"/>
    <row r="4636" s="136" customFormat="1" x14ac:dyDescent="0.3"/>
    <row r="4637" s="136" customFormat="1" x14ac:dyDescent="0.3"/>
    <row r="4638" s="136" customFormat="1" x14ac:dyDescent="0.3"/>
    <row r="4639" s="136" customFormat="1" x14ac:dyDescent="0.3"/>
    <row r="4640" s="136" customFormat="1" x14ac:dyDescent="0.3"/>
    <row r="4641" s="136" customFormat="1" x14ac:dyDescent="0.3"/>
    <row r="4642" s="136" customFormat="1" x14ac:dyDescent="0.3"/>
    <row r="4643" s="136" customFormat="1" x14ac:dyDescent="0.3"/>
    <row r="4644" s="136" customFormat="1" x14ac:dyDescent="0.3"/>
    <row r="4645" s="136" customFormat="1" x14ac:dyDescent="0.3"/>
    <row r="4646" s="136" customFormat="1" x14ac:dyDescent="0.3"/>
    <row r="4647" s="136" customFormat="1" x14ac:dyDescent="0.3"/>
    <row r="4648" s="136" customFormat="1" x14ac:dyDescent="0.3"/>
    <row r="4649" s="136" customFormat="1" x14ac:dyDescent="0.3"/>
    <row r="4650" s="136" customFormat="1" x14ac:dyDescent="0.3"/>
    <row r="4651" s="136" customFormat="1" x14ac:dyDescent="0.3"/>
    <row r="4652" s="136" customFormat="1" x14ac:dyDescent="0.3"/>
    <row r="4653" s="136" customFormat="1" x14ac:dyDescent="0.3"/>
    <row r="4654" s="136" customFormat="1" x14ac:dyDescent="0.3"/>
    <row r="4655" s="136" customFormat="1" x14ac:dyDescent="0.3"/>
    <row r="4656" s="136" customFormat="1" x14ac:dyDescent="0.3"/>
    <row r="4657" s="136" customFormat="1" x14ac:dyDescent="0.3"/>
    <row r="4658" s="136" customFormat="1" x14ac:dyDescent="0.3"/>
    <row r="4659" s="136" customFormat="1" x14ac:dyDescent="0.3"/>
    <row r="4660" s="136" customFormat="1" x14ac:dyDescent="0.3"/>
    <row r="4661" s="136" customFormat="1" x14ac:dyDescent="0.3"/>
    <row r="4662" s="136" customFormat="1" x14ac:dyDescent="0.3"/>
    <row r="4663" s="136" customFormat="1" x14ac:dyDescent="0.3"/>
    <row r="4664" s="136" customFormat="1" x14ac:dyDescent="0.3"/>
    <row r="4665" s="136" customFormat="1" x14ac:dyDescent="0.3"/>
    <row r="4666" s="136" customFormat="1" x14ac:dyDescent="0.3"/>
    <row r="4667" s="136" customFormat="1" x14ac:dyDescent="0.3"/>
    <row r="4668" s="136" customFormat="1" x14ac:dyDescent="0.3"/>
    <row r="4669" s="136" customFormat="1" x14ac:dyDescent="0.3"/>
    <row r="4670" s="136" customFormat="1" x14ac:dyDescent="0.3"/>
    <row r="4671" s="136" customFormat="1" x14ac:dyDescent="0.3"/>
    <row r="4672" s="136" customFormat="1" x14ac:dyDescent="0.3"/>
    <row r="4673" s="136" customFormat="1" x14ac:dyDescent="0.3"/>
    <row r="4674" s="136" customFormat="1" x14ac:dyDescent="0.3"/>
    <row r="4675" s="136" customFormat="1" x14ac:dyDescent="0.3"/>
    <row r="4676" s="136" customFormat="1" x14ac:dyDescent="0.3"/>
    <row r="4677" s="136" customFormat="1" x14ac:dyDescent="0.3"/>
    <row r="4678" s="136" customFormat="1" x14ac:dyDescent="0.3"/>
    <row r="4679" s="136" customFormat="1" x14ac:dyDescent="0.3"/>
    <row r="4680" s="136" customFormat="1" x14ac:dyDescent="0.3"/>
    <row r="4681" s="136" customFormat="1" x14ac:dyDescent="0.3"/>
    <row r="4682" s="136" customFormat="1" x14ac:dyDescent="0.3"/>
    <row r="4683" s="136" customFormat="1" x14ac:dyDescent="0.3"/>
    <row r="4684" s="136" customFormat="1" x14ac:dyDescent="0.3"/>
    <row r="4685" s="136" customFormat="1" x14ac:dyDescent="0.3"/>
    <row r="4686" s="136" customFormat="1" x14ac:dyDescent="0.3"/>
    <row r="4687" s="136" customFormat="1" x14ac:dyDescent="0.3"/>
    <row r="4688" s="136" customFormat="1" x14ac:dyDescent="0.3"/>
    <row r="4689" s="136" customFormat="1" x14ac:dyDescent="0.3"/>
    <row r="4690" s="136" customFormat="1" x14ac:dyDescent="0.3"/>
    <row r="4691" s="136" customFormat="1" x14ac:dyDescent="0.3"/>
    <row r="4692" s="136" customFormat="1" x14ac:dyDescent="0.3"/>
    <row r="4693" s="136" customFormat="1" x14ac:dyDescent="0.3"/>
    <row r="4694" s="136" customFormat="1" x14ac:dyDescent="0.3"/>
    <row r="4695" s="136" customFormat="1" x14ac:dyDescent="0.3"/>
    <row r="4696" s="136" customFormat="1" x14ac:dyDescent="0.3"/>
    <row r="4697" s="136" customFormat="1" x14ac:dyDescent="0.3"/>
    <row r="4698" s="136" customFormat="1" x14ac:dyDescent="0.3"/>
    <row r="4699" s="136" customFormat="1" x14ac:dyDescent="0.3"/>
    <row r="4700" s="136" customFormat="1" x14ac:dyDescent="0.3"/>
    <row r="4701" s="136" customFormat="1" x14ac:dyDescent="0.3"/>
    <row r="4702" s="136" customFormat="1" x14ac:dyDescent="0.3"/>
    <row r="4703" s="136" customFormat="1" x14ac:dyDescent="0.3"/>
    <row r="4704" s="136" customFormat="1" x14ac:dyDescent="0.3"/>
    <row r="4705" s="136" customFormat="1" x14ac:dyDescent="0.3"/>
    <row r="4706" s="136" customFormat="1" x14ac:dyDescent="0.3"/>
    <row r="4707" s="136" customFormat="1" x14ac:dyDescent="0.3"/>
    <row r="4708" s="136" customFormat="1" x14ac:dyDescent="0.3"/>
    <row r="4709" s="136" customFormat="1" x14ac:dyDescent="0.3"/>
    <row r="4710" s="136" customFormat="1" x14ac:dyDescent="0.3"/>
    <row r="4711" s="136" customFormat="1" x14ac:dyDescent="0.3"/>
    <row r="4712" s="136" customFormat="1" x14ac:dyDescent="0.3"/>
    <row r="4713" s="136" customFormat="1" x14ac:dyDescent="0.3"/>
    <row r="4714" s="136" customFormat="1" x14ac:dyDescent="0.3"/>
    <row r="4715" s="136" customFormat="1" x14ac:dyDescent="0.3"/>
    <row r="4716" s="136" customFormat="1" x14ac:dyDescent="0.3"/>
    <row r="4717" s="136" customFormat="1" x14ac:dyDescent="0.3"/>
    <row r="4718" s="136" customFormat="1" x14ac:dyDescent="0.3"/>
    <row r="4719" s="136" customFormat="1" x14ac:dyDescent="0.3"/>
    <row r="4720" s="136" customFormat="1" x14ac:dyDescent="0.3"/>
    <row r="4721" s="136" customFormat="1" x14ac:dyDescent="0.3"/>
    <row r="4722" s="136" customFormat="1" x14ac:dyDescent="0.3"/>
    <row r="4723" s="136" customFormat="1" x14ac:dyDescent="0.3"/>
    <row r="4724" s="136" customFormat="1" x14ac:dyDescent="0.3"/>
    <row r="4725" s="136" customFormat="1" x14ac:dyDescent="0.3"/>
    <row r="4726" s="136" customFormat="1" x14ac:dyDescent="0.3"/>
    <row r="4727" s="136" customFormat="1" x14ac:dyDescent="0.3"/>
    <row r="4728" s="136" customFormat="1" x14ac:dyDescent="0.3"/>
    <row r="4729" s="136" customFormat="1" x14ac:dyDescent="0.3"/>
    <row r="4730" s="136" customFormat="1" x14ac:dyDescent="0.3"/>
    <row r="4731" s="136" customFormat="1" x14ac:dyDescent="0.3"/>
    <row r="4732" s="136" customFormat="1" x14ac:dyDescent="0.3"/>
    <row r="4733" s="136" customFormat="1" x14ac:dyDescent="0.3"/>
    <row r="4734" s="136" customFormat="1" x14ac:dyDescent="0.3"/>
    <row r="4735" s="136" customFormat="1" x14ac:dyDescent="0.3"/>
    <row r="4736" s="136" customFormat="1" x14ac:dyDescent="0.3"/>
    <row r="4737" s="136" customFormat="1" x14ac:dyDescent="0.3"/>
    <row r="4738" s="136" customFormat="1" x14ac:dyDescent="0.3"/>
    <row r="4739" s="136" customFormat="1" x14ac:dyDescent="0.3"/>
    <row r="4740" s="136" customFormat="1" x14ac:dyDescent="0.3"/>
    <row r="4741" s="136" customFormat="1" x14ac:dyDescent="0.3"/>
    <row r="4742" s="136" customFormat="1" x14ac:dyDescent="0.3"/>
    <row r="4743" s="136" customFormat="1" x14ac:dyDescent="0.3"/>
    <row r="4744" s="136" customFormat="1" x14ac:dyDescent="0.3"/>
    <row r="4745" s="136" customFormat="1" x14ac:dyDescent="0.3"/>
    <row r="4746" s="136" customFormat="1" x14ac:dyDescent="0.3"/>
    <row r="4747" s="136" customFormat="1" x14ac:dyDescent="0.3"/>
    <row r="4748" s="136" customFormat="1" x14ac:dyDescent="0.3"/>
    <row r="4749" s="136" customFormat="1" x14ac:dyDescent="0.3"/>
    <row r="4750" s="136" customFormat="1" x14ac:dyDescent="0.3"/>
    <row r="4751" s="136" customFormat="1" x14ac:dyDescent="0.3"/>
    <row r="4752" s="136" customFormat="1" x14ac:dyDescent="0.3"/>
    <row r="4753" s="136" customFormat="1" x14ac:dyDescent="0.3"/>
    <row r="4754" s="136" customFormat="1" x14ac:dyDescent="0.3"/>
    <row r="4755" s="136" customFormat="1" x14ac:dyDescent="0.3"/>
    <row r="4756" s="136" customFormat="1" x14ac:dyDescent="0.3"/>
    <row r="4757" s="136" customFormat="1" x14ac:dyDescent="0.3"/>
    <row r="4758" s="136" customFormat="1" x14ac:dyDescent="0.3"/>
    <row r="4759" s="136" customFormat="1" x14ac:dyDescent="0.3"/>
    <row r="4760" s="136" customFormat="1" x14ac:dyDescent="0.3"/>
    <row r="4761" s="136" customFormat="1" x14ac:dyDescent="0.3"/>
    <row r="4762" s="136" customFormat="1" x14ac:dyDescent="0.3"/>
    <row r="4763" s="136" customFormat="1" x14ac:dyDescent="0.3"/>
    <row r="4764" s="136" customFormat="1" x14ac:dyDescent="0.3"/>
    <row r="4765" s="136" customFormat="1" x14ac:dyDescent="0.3"/>
    <row r="4766" s="136" customFormat="1" x14ac:dyDescent="0.3"/>
    <row r="4767" s="136" customFormat="1" x14ac:dyDescent="0.3"/>
    <row r="4768" s="136" customFormat="1" x14ac:dyDescent="0.3"/>
    <row r="4769" s="136" customFormat="1" x14ac:dyDescent="0.3"/>
    <row r="4770" s="136" customFormat="1" x14ac:dyDescent="0.3"/>
    <row r="4771" s="136" customFormat="1" x14ac:dyDescent="0.3"/>
    <row r="4772" s="136" customFormat="1" x14ac:dyDescent="0.3"/>
    <row r="4773" s="136" customFormat="1" x14ac:dyDescent="0.3"/>
    <row r="4774" s="136" customFormat="1" x14ac:dyDescent="0.3"/>
    <row r="4775" s="136" customFormat="1" x14ac:dyDescent="0.3"/>
    <row r="4776" s="136" customFormat="1" x14ac:dyDescent="0.3"/>
    <row r="4777" s="136" customFormat="1" x14ac:dyDescent="0.3"/>
    <row r="4778" s="136" customFormat="1" x14ac:dyDescent="0.3"/>
    <row r="4779" s="136" customFormat="1" x14ac:dyDescent="0.3"/>
    <row r="4780" s="136" customFormat="1" x14ac:dyDescent="0.3"/>
    <row r="4781" s="136" customFormat="1" x14ac:dyDescent="0.3"/>
    <row r="4782" s="136" customFormat="1" x14ac:dyDescent="0.3"/>
    <row r="4783" s="136" customFormat="1" x14ac:dyDescent="0.3"/>
    <row r="4784" s="136" customFormat="1" x14ac:dyDescent="0.3"/>
    <row r="4785" s="136" customFormat="1" x14ac:dyDescent="0.3"/>
    <row r="4786" s="136" customFormat="1" x14ac:dyDescent="0.3"/>
    <row r="4787" s="136" customFormat="1" x14ac:dyDescent="0.3"/>
    <row r="4788" s="136" customFormat="1" x14ac:dyDescent="0.3"/>
    <row r="4789" s="136" customFormat="1" x14ac:dyDescent="0.3"/>
    <row r="4790" s="136" customFormat="1" x14ac:dyDescent="0.3"/>
    <row r="4791" s="136" customFormat="1" x14ac:dyDescent="0.3"/>
    <row r="4792" s="136" customFormat="1" x14ac:dyDescent="0.3"/>
    <row r="4793" s="136" customFormat="1" x14ac:dyDescent="0.3"/>
    <row r="4794" s="136" customFormat="1" x14ac:dyDescent="0.3"/>
    <row r="4795" s="136" customFormat="1" x14ac:dyDescent="0.3"/>
    <row r="4796" s="136" customFormat="1" x14ac:dyDescent="0.3"/>
    <row r="4797" s="136" customFormat="1" x14ac:dyDescent="0.3"/>
    <row r="4798" s="136" customFormat="1" x14ac:dyDescent="0.3"/>
    <row r="4799" s="136" customFormat="1" x14ac:dyDescent="0.3"/>
    <row r="4800" s="136" customFormat="1" x14ac:dyDescent="0.3"/>
    <row r="4801" s="136" customFormat="1" x14ac:dyDescent="0.3"/>
    <row r="4802" s="136" customFormat="1" x14ac:dyDescent="0.3"/>
    <row r="4803" s="136" customFormat="1" x14ac:dyDescent="0.3"/>
    <row r="4804" s="136" customFormat="1" x14ac:dyDescent="0.3"/>
    <row r="4805" s="136" customFormat="1" x14ac:dyDescent="0.3"/>
    <row r="4806" s="136" customFormat="1" x14ac:dyDescent="0.3"/>
    <row r="4807" s="136" customFormat="1" x14ac:dyDescent="0.3"/>
    <row r="4808" s="136" customFormat="1" x14ac:dyDescent="0.3"/>
    <row r="4809" s="136" customFormat="1" x14ac:dyDescent="0.3"/>
    <row r="4810" s="136" customFormat="1" x14ac:dyDescent="0.3"/>
    <row r="4811" s="136" customFormat="1" x14ac:dyDescent="0.3"/>
    <row r="4812" s="136" customFormat="1" x14ac:dyDescent="0.3"/>
    <row r="4813" s="136" customFormat="1" x14ac:dyDescent="0.3"/>
    <row r="4814" s="136" customFormat="1" x14ac:dyDescent="0.3"/>
    <row r="4815" s="136" customFormat="1" x14ac:dyDescent="0.3"/>
    <row r="4816" s="136" customFormat="1" x14ac:dyDescent="0.3"/>
    <row r="4817" s="136" customFormat="1" x14ac:dyDescent="0.3"/>
    <row r="4818" s="136" customFormat="1" x14ac:dyDescent="0.3"/>
    <row r="4819" s="136" customFormat="1" x14ac:dyDescent="0.3"/>
    <row r="4820" s="136" customFormat="1" x14ac:dyDescent="0.3"/>
    <row r="4821" s="136" customFormat="1" x14ac:dyDescent="0.3"/>
    <row r="4822" s="136" customFormat="1" x14ac:dyDescent="0.3"/>
    <row r="4823" s="136" customFormat="1" x14ac:dyDescent="0.3"/>
    <row r="4824" s="136" customFormat="1" x14ac:dyDescent="0.3"/>
    <row r="4825" s="136" customFormat="1" x14ac:dyDescent="0.3"/>
    <row r="4826" s="136" customFormat="1" x14ac:dyDescent="0.3"/>
    <row r="4827" s="136" customFormat="1" x14ac:dyDescent="0.3"/>
    <row r="4828" s="136" customFormat="1" x14ac:dyDescent="0.3"/>
    <row r="4829" s="136" customFormat="1" x14ac:dyDescent="0.3"/>
    <row r="4830" s="136" customFormat="1" x14ac:dyDescent="0.3"/>
    <row r="4831" s="136" customFormat="1" x14ac:dyDescent="0.3"/>
    <row r="4832" s="136" customFormat="1" x14ac:dyDescent="0.3"/>
    <row r="4833" s="136" customFormat="1" x14ac:dyDescent="0.3"/>
    <row r="4834" s="136" customFormat="1" x14ac:dyDescent="0.3"/>
    <row r="4835" s="136" customFormat="1" x14ac:dyDescent="0.3"/>
    <row r="4836" s="136" customFormat="1" x14ac:dyDescent="0.3"/>
    <row r="4837" s="136" customFormat="1" x14ac:dyDescent="0.3"/>
    <row r="4838" s="136" customFormat="1" x14ac:dyDescent="0.3"/>
    <row r="4839" s="136" customFormat="1" x14ac:dyDescent="0.3"/>
    <row r="4840" s="136" customFormat="1" x14ac:dyDescent="0.3"/>
    <row r="4841" s="136" customFormat="1" x14ac:dyDescent="0.3"/>
    <row r="4842" s="136" customFormat="1" x14ac:dyDescent="0.3"/>
    <row r="4843" s="136" customFormat="1" x14ac:dyDescent="0.3"/>
    <row r="4844" s="136" customFormat="1" x14ac:dyDescent="0.3"/>
    <row r="4845" s="136" customFormat="1" x14ac:dyDescent="0.3"/>
    <row r="4846" s="136" customFormat="1" x14ac:dyDescent="0.3"/>
    <row r="4847" s="136" customFormat="1" x14ac:dyDescent="0.3"/>
    <row r="4848" s="136" customFormat="1" x14ac:dyDescent="0.3"/>
    <row r="4849" s="136" customFormat="1" x14ac:dyDescent="0.3"/>
    <row r="4850" s="136" customFormat="1" x14ac:dyDescent="0.3"/>
    <row r="4851" s="136" customFormat="1" x14ac:dyDescent="0.3"/>
    <row r="4852" s="136" customFormat="1" x14ac:dyDescent="0.3"/>
    <row r="4853" s="136" customFormat="1" x14ac:dyDescent="0.3"/>
    <row r="4854" s="136" customFormat="1" x14ac:dyDescent="0.3"/>
    <row r="4855" s="136" customFormat="1" x14ac:dyDescent="0.3"/>
    <row r="4856" s="136" customFormat="1" x14ac:dyDescent="0.3"/>
    <row r="4857" s="136" customFormat="1" x14ac:dyDescent="0.3"/>
    <row r="4858" s="136" customFormat="1" x14ac:dyDescent="0.3"/>
    <row r="4859" s="136" customFormat="1" x14ac:dyDescent="0.3"/>
    <row r="4860" s="136" customFormat="1" x14ac:dyDescent="0.3"/>
    <row r="4861" s="136" customFormat="1" x14ac:dyDescent="0.3"/>
    <row r="4862" s="136" customFormat="1" x14ac:dyDescent="0.3"/>
    <row r="4863" s="136" customFormat="1" x14ac:dyDescent="0.3"/>
    <row r="4864" s="136" customFormat="1" x14ac:dyDescent="0.3"/>
    <row r="4865" s="136" customFormat="1" x14ac:dyDescent="0.3"/>
    <row r="4866" s="136" customFormat="1" x14ac:dyDescent="0.3"/>
    <row r="4867" s="136" customFormat="1" x14ac:dyDescent="0.3"/>
    <row r="4868" s="136" customFormat="1" x14ac:dyDescent="0.3"/>
    <row r="4869" s="136" customFormat="1" x14ac:dyDescent="0.3"/>
    <row r="4870" s="136" customFormat="1" x14ac:dyDescent="0.3"/>
    <row r="4871" s="136" customFormat="1" x14ac:dyDescent="0.3"/>
    <row r="4872" s="136" customFormat="1" x14ac:dyDescent="0.3"/>
    <row r="4873" s="136" customFormat="1" x14ac:dyDescent="0.3"/>
    <row r="4874" s="136" customFormat="1" x14ac:dyDescent="0.3"/>
    <row r="4875" s="136" customFormat="1" x14ac:dyDescent="0.3"/>
    <row r="4876" s="136" customFormat="1" x14ac:dyDescent="0.3"/>
    <row r="4877" s="136" customFormat="1" x14ac:dyDescent="0.3"/>
    <row r="4878" s="136" customFormat="1" x14ac:dyDescent="0.3"/>
    <row r="4879" s="136" customFormat="1" x14ac:dyDescent="0.3"/>
    <row r="4880" s="136" customFormat="1" x14ac:dyDescent="0.3"/>
    <row r="4881" s="136" customFormat="1" x14ac:dyDescent="0.3"/>
    <row r="4882" s="136" customFormat="1" x14ac:dyDescent="0.3"/>
    <row r="4883" s="136" customFormat="1" x14ac:dyDescent="0.3"/>
    <row r="4884" s="136" customFormat="1" x14ac:dyDescent="0.3"/>
    <row r="4885" s="136" customFormat="1" x14ac:dyDescent="0.3"/>
    <row r="4886" s="136" customFormat="1" x14ac:dyDescent="0.3"/>
    <row r="4887" s="136" customFormat="1" x14ac:dyDescent="0.3"/>
    <row r="4888" s="136" customFormat="1" x14ac:dyDescent="0.3"/>
    <row r="4889" s="136" customFormat="1" x14ac:dyDescent="0.3"/>
    <row r="4890" s="136" customFormat="1" x14ac:dyDescent="0.3"/>
    <row r="4891" s="136" customFormat="1" x14ac:dyDescent="0.3"/>
    <row r="4892" s="136" customFormat="1" x14ac:dyDescent="0.3"/>
    <row r="4893" s="136" customFormat="1" x14ac:dyDescent="0.3"/>
    <row r="4894" s="136" customFormat="1" x14ac:dyDescent="0.3"/>
    <row r="4895" s="136" customFormat="1" x14ac:dyDescent="0.3"/>
    <row r="4896" s="136" customFormat="1" x14ac:dyDescent="0.3"/>
    <row r="4897" s="136" customFormat="1" x14ac:dyDescent="0.3"/>
    <row r="4898" s="136" customFormat="1" x14ac:dyDescent="0.3"/>
    <row r="4899" s="136" customFormat="1" x14ac:dyDescent="0.3"/>
    <row r="4900" s="136" customFormat="1" x14ac:dyDescent="0.3"/>
    <row r="4901" s="136" customFormat="1" x14ac:dyDescent="0.3"/>
    <row r="4902" s="136" customFormat="1" x14ac:dyDescent="0.3"/>
    <row r="4903" s="136" customFormat="1" x14ac:dyDescent="0.3"/>
    <row r="4904" s="136" customFormat="1" x14ac:dyDescent="0.3"/>
    <row r="4905" s="136" customFormat="1" x14ac:dyDescent="0.3"/>
    <row r="4906" s="136" customFormat="1" x14ac:dyDescent="0.3"/>
    <row r="4907" s="136" customFormat="1" x14ac:dyDescent="0.3"/>
    <row r="4908" s="136" customFormat="1" x14ac:dyDescent="0.3"/>
    <row r="4909" s="136" customFormat="1" x14ac:dyDescent="0.3"/>
    <row r="4910" s="136" customFormat="1" x14ac:dyDescent="0.3"/>
    <row r="4911" s="136" customFormat="1" x14ac:dyDescent="0.3"/>
    <row r="4912" s="136" customFormat="1" x14ac:dyDescent="0.3"/>
    <row r="4913" s="136" customFormat="1" x14ac:dyDescent="0.3"/>
    <row r="4914" s="136" customFormat="1" x14ac:dyDescent="0.3"/>
    <row r="4915" s="136" customFormat="1" x14ac:dyDescent="0.3"/>
    <row r="4916" s="136" customFormat="1" x14ac:dyDescent="0.3"/>
    <row r="4917" s="136" customFormat="1" x14ac:dyDescent="0.3"/>
    <row r="4918" s="136" customFormat="1" x14ac:dyDescent="0.3"/>
    <row r="4919" s="136" customFormat="1" x14ac:dyDescent="0.3"/>
    <row r="4920" s="136" customFormat="1" x14ac:dyDescent="0.3"/>
    <row r="4921" s="136" customFormat="1" x14ac:dyDescent="0.3"/>
    <row r="4922" s="136" customFormat="1" x14ac:dyDescent="0.3"/>
    <row r="4923" s="136" customFormat="1" x14ac:dyDescent="0.3"/>
    <row r="4924" s="136" customFormat="1" x14ac:dyDescent="0.3"/>
    <row r="4925" s="136" customFormat="1" x14ac:dyDescent="0.3"/>
    <row r="4926" s="136" customFormat="1" x14ac:dyDescent="0.3"/>
    <row r="4927" s="136" customFormat="1" x14ac:dyDescent="0.3"/>
    <row r="4928" s="136" customFormat="1" x14ac:dyDescent="0.3"/>
    <row r="4929" s="136" customFormat="1" x14ac:dyDescent="0.3"/>
    <row r="4930" s="136" customFormat="1" x14ac:dyDescent="0.3"/>
    <row r="4931" s="136" customFormat="1" x14ac:dyDescent="0.3"/>
    <row r="4932" s="136" customFormat="1" x14ac:dyDescent="0.3"/>
    <row r="4933" s="136" customFormat="1" x14ac:dyDescent="0.3"/>
    <row r="4934" s="136" customFormat="1" x14ac:dyDescent="0.3"/>
    <row r="4935" s="136" customFormat="1" x14ac:dyDescent="0.3"/>
    <row r="4936" s="136" customFormat="1" x14ac:dyDescent="0.3"/>
    <row r="4937" s="136" customFormat="1" x14ac:dyDescent="0.3"/>
    <row r="4938" s="136" customFormat="1" x14ac:dyDescent="0.3"/>
    <row r="4939" s="136" customFormat="1" x14ac:dyDescent="0.3"/>
    <row r="4940" s="136" customFormat="1" x14ac:dyDescent="0.3"/>
    <row r="4941" s="136" customFormat="1" x14ac:dyDescent="0.3"/>
    <row r="4942" s="136" customFormat="1" x14ac:dyDescent="0.3"/>
    <row r="4943" s="136" customFormat="1" x14ac:dyDescent="0.3"/>
    <row r="4944" s="136" customFormat="1" x14ac:dyDescent="0.3"/>
    <row r="4945" s="136" customFormat="1" x14ac:dyDescent="0.3"/>
    <row r="4946" s="136" customFormat="1" x14ac:dyDescent="0.3"/>
    <row r="4947" s="136" customFormat="1" x14ac:dyDescent="0.3"/>
    <row r="4948" s="136" customFormat="1" x14ac:dyDescent="0.3"/>
    <row r="4949" s="136" customFormat="1" x14ac:dyDescent="0.3"/>
    <row r="4950" s="136" customFormat="1" x14ac:dyDescent="0.3"/>
    <row r="4951" s="136" customFormat="1" x14ac:dyDescent="0.3"/>
    <row r="4952" s="136" customFormat="1" x14ac:dyDescent="0.3"/>
    <row r="4953" s="136" customFormat="1" x14ac:dyDescent="0.3"/>
    <row r="4954" s="136" customFormat="1" x14ac:dyDescent="0.3"/>
    <row r="4955" s="136" customFormat="1" x14ac:dyDescent="0.3"/>
    <row r="4956" s="136" customFormat="1" x14ac:dyDescent="0.3"/>
    <row r="4957" s="136" customFormat="1" x14ac:dyDescent="0.3"/>
    <row r="4958" s="136" customFormat="1" x14ac:dyDescent="0.3"/>
    <row r="4959" s="136" customFormat="1" x14ac:dyDescent="0.3"/>
    <row r="4960" s="136" customFormat="1" x14ac:dyDescent="0.3"/>
    <row r="4961" s="136" customFormat="1" x14ac:dyDescent="0.3"/>
    <row r="4962" s="136" customFormat="1" x14ac:dyDescent="0.3"/>
    <row r="4963" s="136" customFormat="1" x14ac:dyDescent="0.3"/>
    <row r="4964" s="136" customFormat="1" x14ac:dyDescent="0.3"/>
    <row r="4965" s="136" customFormat="1" x14ac:dyDescent="0.3"/>
    <row r="4966" s="136" customFormat="1" x14ac:dyDescent="0.3"/>
    <row r="4967" s="136" customFormat="1" x14ac:dyDescent="0.3"/>
    <row r="4968" s="136" customFormat="1" x14ac:dyDescent="0.3"/>
    <row r="4969" s="136" customFormat="1" x14ac:dyDescent="0.3"/>
    <row r="4970" s="136" customFormat="1" x14ac:dyDescent="0.3"/>
    <row r="4971" s="136" customFormat="1" x14ac:dyDescent="0.3"/>
    <row r="4972" s="136" customFormat="1" x14ac:dyDescent="0.3"/>
    <row r="4973" s="136" customFormat="1" x14ac:dyDescent="0.3"/>
    <row r="4974" s="136" customFormat="1" x14ac:dyDescent="0.3"/>
    <row r="4975" s="136" customFormat="1" x14ac:dyDescent="0.3"/>
    <row r="4976" s="136" customFormat="1" x14ac:dyDescent="0.3"/>
    <row r="4977" s="136" customFormat="1" x14ac:dyDescent="0.3"/>
    <row r="4978" s="136" customFormat="1" x14ac:dyDescent="0.3"/>
    <row r="4979" s="136" customFormat="1" x14ac:dyDescent="0.3"/>
    <row r="4980" s="136" customFormat="1" x14ac:dyDescent="0.3"/>
    <row r="4981" s="136" customFormat="1" x14ac:dyDescent="0.3"/>
    <row r="4982" s="136" customFormat="1" x14ac:dyDescent="0.3"/>
    <row r="4983" s="136" customFormat="1" x14ac:dyDescent="0.3"/>
    <row r="4984" s="136" customFormat="1" x14ac:dyDescent="0.3"/>
    <row r="4985" s="136" customFormat="1" x14ac:dyDescent="0.3"/>
    <row r="4986" s="136" customFormat="1" x14ac:dyDescent="0.3"/>
    <row r="4987" s="136" customFormat="1" x14ac:dyDescent="0.3"/>
    <row r="4988" s="136" customFormat="1" x14ac:dyDescent="0.3"/>
    <row r="4989" s="136" customFormat="1" x14ac:dyDescent="0.3"/>
    <row r="4990" s="136" customFormat="1" x14ac:dyDescent="0.3"/>
    <row r="4991" s="136" customFormat="1" x14ac:dyDescent="0.3"/>
    <row r="4992" s="136" customFormat="1" x14ac:dyDescent="0.3"/>
    <row r="4993" s="136" customFormat="1" x14ac:dyDescent="0.3"/>
    <row r="4994" s="136" customFormat="1" x14ac:dyDescent="0.3"/>
    <row r="4995" s="136" customFormat="1" x14ac:dyDescent="0.3"/>
    <row r="4996" s="136" customFormat="1" x14ac:dyDescent="0.3"/>
    <row r="4997" s="136" customFormat="1" x14ac:dyDescent="0.3"/>
    <row r="4998" s="136" customFormat="1" x14ac:dyDescent="0.3"/>
    <row r="4999" s="136" customFormat="1" x14ac:dyDescent="0.3"/>
    <row r="5000" s="136" customFormat="1" x14ac:dyDescent="0.3"/>
    <row r="5001" s="136" customFormat="1" x14ac:dyDescent="0.3"/>
    <row r="5002" s="136" customFormat="1" x14ac:dyDescent="0.3"/>
    <row r="5003" s="136" customFormat="1" x14ac:dyDescent="0.3"/>
    <row r="5004" s="136" customFormat="1" x14ac:dyDescent="0.3"/>
    <row r="5005" s="136" customFormat="1" x14ac:dyDescent="0.3"/>
    <row r="5006" s="136" customFormat="1" x14ac:dyDescent="0.3"/>
    <row r="5007" s="136" customFormat="1" x14ac:dyDescent="0.3"/>
    <row r="5008" s="136" customFormat="1" x14ac:dyDescent="0.3"/>
    <row r="5009" s="136" customFormat="1" x14ac:dyDescent="0.3"/>
    <row r="5010" s="136" customFormat="1" x14ac:dyDescent="0.3"/>
    <row r="5011" s="136" customFormat="1" x14ac:dyDescent="0.3"/>
    <row r="5012" s="136" customFormat="1" x14ac:dyDescent="0.3"/>
    <row r="5013" s="136" customFormat="1" x14ac:dyDescent="0.3"/>
    <row r="5014" s="136" customFormat="1" x14ac:dyDescent="0.3"/>
    <row r="5015" s="136" customFormat="1" x14ac:dyDescent="0.3"/>
    <row r="5016" s="136" customFormat="1" x14ac:dyDescent="0.3"/>
    <row r="5017" s="136" customFormat="1" x14ac:dyDescent="0.3"/>
    <row r="5018" s="136" customFormat="1" x14ac:dyDescent="0.3"/>
    <row r="5019" s="136" customFormat="1" x14ac:dyDescent="0.3"/>
    <row r="5020" s="136" customFormat="1" x14ac:dyDescent="0.3"/>
    <row r="5021" s="136" customFormat="1" x14ac:dyDescent="0.3"/>
    <row r="5022" s="136" customFormat="1" x14ac:dyDescent="0.3"/>
    <row r="5023" s="136" customFormat="1" x14ac:dyDescent="0.3"/>
    <row r="5024" s="136" customFormat="1" x14ac:dyDescent="0.3"/>
    <row r="5025" s="136" customFormat="1" x14ac:dyDescent="0.3"/>
    <row r="5026" s="136" customFormat="1" x14ac:dyDescent="0.3"/>
    <row r="5027" s="136" customFormat="1" x14ac:dyDescent="0.3"/>
    <row r="5028" s="136" customFormat="1" x14ac:dyDescent="0.3"/>
    <row r="5029" s="136" customFormat="1" x14ac:dyDescent="0.3"/>
    <row r="5030" s="136" customFormat="1" x14ac:dyDescent="0.3"/>
    <row r="5031" s="136" customFormat="1" x14ac:dyDescent="0.3"/>
    <row r="5032" s="136" customFormat="1" x14ac:dyDescent="0.3"/>
    <row r="5033" s="136" customFormat="1" x14ac:dyDescent="0.3"/>
    <row r="5034" s="136" customFormat="1" x14ac:dyDescent="0.3"/>
    <row r="5035" s="136" customFormat="1" x14ac:dyDescent="0.3"/>
    <row r="5036" s="136" customFormat="1" x14ac:dyDescent="0.3"/>
    <row r="5037" s="136" customFormat="1" x14ac:dyDescent="0.3"/>
    <row r="5038" s="136" customFormat="1" x14ac:dyDescent="0.3"/>
    <row r="5039" s="136" customFormat="1" x14ac:dyDescent="0.3"/>
    <row r="5040" s="136" customFormat="1" x14ac:dyDescent="0.3"/>
    <row r="5041" s="136" customFormat="1" x14ac:dyDescent="0.3"/>
    <row r="5042" s="136" customFormat="1" x14ac:dyDescent="0.3"/>
    <row r="5043" s="136" customFormat="1" x14ac:dyDescent="0.3"/>
    <row r="5044" s="136" customFormat="1" x14ac:dyDescent="0.3"/>
    <row r="5045" s="136" customFormat="1" x14ac:dyDescent="0.3"/>
    <row r="5046" s="136" customFormat="1" x14ac:dyDescent="0.3"/>
    <row r="5047" s="136" customFormat="1" x14ac:dyDescent="0.3"/>
    <row r="5048" s="136" customFormat="1" x14ac:dyDescent="0.3"/>
    <row r="5049" s="136" customFormat="1" x14ac:dyDescent="0.3"/>
    <row r="5050" s="136" customFormat="1" x14ac:dyDescent="0.3"/>
    <row r="5051" s="136" customFormat="1" x14ac:dyDescent="0.3"/>
    <row r="5052" s="136" customFormat="1" x14ac:dyDescent="0.3"/>
    <row r="5053" s="136" customFormat="1" x14ac:dyDescent="0.3"/>
    <row r="5054" s="136" customFormat="1" x14ac:dyDescent="0.3"/>
    <row r="5055" s="136" customFormat="1" x14ac:dyDescent="0.3"/>
    <row r="5056" s="136" customFormat="1" x14ac:dyDescent="0.3"/>
    <row r="5057" s="136" customFormat="1" x14ac:dyDescent="0.3"/>
    <row r="5058" s="136" customFormat="1" x14ac:dyDescent="0.3"/>
    <row r="5059" s="136" customFormat="1" x14ac:dyDescent="0.3"/>
    <row r="5060" s="136" customFormat="1" x14ac:dyDescent="0.3"/>
    <row r="5061" s="136" customFormat="1" x14ac:dyDescent="0.3"/>
    <row r="5062" s="136" customFormat="1" x14ac:dyDescent="0.3"/>
    <row r="5063" s="136" customFormat="1" x14ac:dyDescent="0.3"/>
    <row r="5064" s="136" customFormat="1" x14ac:dyDescent="0.3"/>
    <row r="5065" s="136" customFormat="1" x14ac:dyDescent="0.3"/>
    <row r="5066" s="136" customFormat="1" x14ac:dyDescent="0.3"/>
    <row r="5067" s="136" customFormat="1" x14ac:dyDescent="0.3"/>
    <row r="5068" s="136" customFormat="1" x14ac:dyDescent="0.3"/>
    <row r="5069" s="136" customFormat="1" x14ac:dyDescent="0.3"/>
    <row r="5070" s="136" customFormat="1" x14ac:dyDescent="0.3"/>
    <row r="5071" s="136" customFormat="1" x14ac:dyDescent="0.3"/>
    <row r="5072" s="136" customFormat="1" x14ac:dyDescent="0.3"/>
    <row r="5073" s="136" customFormat="1" x14ac:dyDescent="0.3"/>
    <row r="5074" s="136" customFormat="1" x14ac:dyDescent="0.3"/>
    <row r="5075" s="136" customFormat="1" x14ac:dyDescent="0.3"/>
    <row r="5076" s="136" customFormat="1" x14ac:dyDescent="0.3"/>
    <row r="5077" s="136" customFormat="1" x14ac:dyDescent="0.3"/>
    <row r="5078" s="136" customFormat="1" x14ac:dyDescent="0.3"/>
    <row r="5079" s="136" customFormat="1" x14ac:dyDescent="0.3"/>
    <row r="5080" s="136" customFormat="1" x14ac:dyDescent="0.3"/>
    <row r="5081" s="136" customFormat="1" x14ac:dyDescent="0.3"/>
    <row r="5082" s="136" customFormat="1" x14ac:dyDescent="0.3"/>
    <row r="5083" s="136" customFormat="1" x14ac:dyDescent="0.3"/>
    <row r="5084" s="136" customFormat="1" x14ac:dyDescent="0.3"/>
    <row r="5085" s="136" customFormat="1" x14ac:dyDescent="0.3"/>
    <row r="5086" s="136" customFormat="1" x14ac:dyDescent="0.3"/>
    <row r="5087" s="136" customFormat="1" x14ac:dyDescent="0.3"/>
    <row r="5088" s="136" customFormat="1" x14ac:dyDescent="0.3"/>
    <row r="5089" s="136" customFormat="1" x14ac:dyDescent="0.3"/>
    <row r="5090" s="136" customFormat="1" x14ac:dyDescent="0.3"/>
    <row r="5091" s="136" customFormat="1" x14ac:dyDescent="0.3"/>
    <row r="5092" s="136" customFormat="1" x14ac:dyDescent="0.3"/>
    <row r="5093" s="136" customFormat="1" x14ac:dyDescent="0.3"/>
    <row r="5094" s="136" customFormat="1" x14ac:dyDescent="0.3"/>
    <row r="5095" s="136" customFormat="1" x14ac:dyDescent="0.3"/>
    <row r="5096" s="136" customFormat="1" x14ac:dyDescent="0.3"/>
    <row r="5097" s="136" customFormat="1" x14ac:dyDescent="0.3"/>
    <row r="5098" s="136" customFormat="1" x14ac:dyDescent="0.3"/>
    <row r="5099" s="136" customFormat="1" x14ac:dyDescent="0.3"/>
    <row r="5100" s="136" customFormat="1" x14ac:dyDescent="0.3"/>
    <row r="5101" s="136" customFormat="1" x14ac:dyDescent="0.3"/>
    <row r="5102" s="136" customFormat="1" x14ac:dyDescent="0.3"/>
    <row r="5103" s="136" customFormat="1" x14ac:dyDescent="0.3"/>
    <row r="5104" s="136" customFormat="1" x14ac:dyDescent="0.3"/>
    <row r="5105" s="136" customFormat="1" x14ac:dyDescent="0.3"/>
    <row r="5106" s="136" customFormat="1" x14ac:dyDescent="0.3"/>
    <row r="5107" s="136" customFormat="1" x14ac:dyDescent="0.3"/>
    <row r="5108" s="136" customFormat="1" x14ac:dyDescent="0.3"/>
    <row r="5109" s="136" customFormat="1" x14ac:dyDescent="0.3"/>
    <row r="5110" s="136" customFormat="1" x14ac:dyDescent="0.3"/>
    <row r="5111" s="136" customFormat="1" x14ac:dyDescent="0.3"/>
    <row r="5112" s="136" customFormat="1" x14ac:dyDescent="0.3"/>
    <row r="5113" s="136" customFormat="1" x14ac:dyDescent="0.3"/>
    <row r="5114" s="136" customFormat="1" x14ac:dyDescent="0.3"/>
    <row r="5115" s="136" customFormat="1" x14ac:dyDescent="0.3"/>
    <row r="5116" s="136" customFormat="1" x14ac:dyDescent="0.3"/>
    <row r="5117" s="136" customFormat="1" x14ac:dyDescent="0.3"/>
    <row r="5118" s="136" customFormat="1" x14ac:dyDescent="0.3"/>
    <row r="5119" s="136" customFormat="1" x14ac:dyDescent="0.3"/>
    <row r="5120" s="136" customFormat="1" x14ac:dyDescent="0.3"/>
    <row r="5121" s="136" customFormat="1" x14ac:dyDescent="0.3"/>
    <row r="5122" s="136" customFormat="1" x14ac:dyDescent="0.3"/>
    <row r="5123" s="136" customFormat="1" x14ac:dyDescent="0.3"/>
    <row r="5124" s="136" customFormat="1" x14ac:dyDescent="0.3"/>
    <row r="5125" s="136" customFormat="1" x14ac:dyDescent="0.3"/>
    <row r="5126" s="136" customFormat="1" x14ac:dyDescent="0.3"/>
    <row r="5127" s="136" customFormat="1" x14ac:dyDescent="0.3"/>
    <row r="5128" s="136" customFormat="1" x14ac:dyDescent="0.3"/>
    <row r="5129" s="136" customFormat="1" x14ac:dyDescent="0.3"/>
    <row r="5130" s="136" customFormat="1" x14ac:dyDescent="0.3"/>
    <row r="5131" s="136" customFormat="1" x14ac:dyDescent="0.3"/>
    <row r="5132" s="136" customFormat="1" x14ac:dyDescent="0.3"/>
    <row r="5133" s="136" customFormat="1" x14ac:dyDescent="0.3"/>
    <row r="5134" s="136" customFormat="1" x14ac:dyDescent="0.3"/>
    <row r="5135" s="136" customFormat="1" x14ac:dyDescent="0.3"/>
    <row r="5136" s="136" customFormat="1" x14ac:dyDescent="0.3"/>
    <row r="5137" s="136" customFormat="1" x14ac:dyDescent="0.3"/>
    <row r="5138" s="136" customFormat="1" x14ac:dyDescent="0.3"/>
    <row r="5139" s="136" customFormat="1" x14ac:dyDescent="0.3"/>
    <row r="5140" s="136" customFormat="1" x14ac:dyDescent="0.3"/>
    <row r="5141" s="136" customFormat="1" x14ac:dyDescent="0.3"/>
    <row r="5142" s="136" customFormat="1" x14ac:dyDescent="0.3"/>
    <row r="5143" s="136" customFormat="1" x14ac:dyDescent="0.3"/>
    <row r="5144" s="136" customFormat="1" x14ac:dyDescent="0.3"/>
    <row r="5145" s="136" customFormat="1" x14ac:dyDescent="0.3"/>
    <row r="5146" s="136" customFormat="1" x14ac:dyDescent="0.3"/>
    <row r="5147" s="136" customFormat="1" x14ac:dyDescent="0.3"/>
    <row r="5148" s="136" customFormat="1" x14ac:dyDescent="0.3"/>
    <row r="5149" s="136" customFormat="1" x14ac:dyDescent="0.3"/>
    <row r="5150" s="136" customFormat="1" x14ac:dyDescent="0.3"/>
    <row r="5151" s="136" customFormat="1" x14ac:dyDescent="0.3"/>
    <row r="5152" s="136" customFormat="1" x14ac:dyDescent="0.3"/>
    <row r="5153" s="136" customFormat="1" x14ac:dyDescent="0.3"/>
    <row r="5154" s="136" customFormat="1" x14ac:dyDescent="0.3"/>
    <row r="5155" s="136" customFormat="1" x14ac:dyDescent="0.3"/>
    <row r="5156" s="136" customFormat="1" x14ac:dyDescent="0.3"/>
    <row r="5157" s="136" customFormat="1" x14ac:dyDescent="0.3"/>
    <row r="5158" s="136" customFormat="1" x14ac:dyDescent="0.3"/>
    <row r="5159" s="136" customFormat="1" x14ac:dyDescent="0.3"/>
    <row r="5160" s="136" customFormat="1" x14ac:dyDescent="0.3"/>
    <row r="5161" s="136" customFormat="1" x14ac:dyDescent="0.3"/>
    <row r="5162" s="136" customFormat="1" x14ac:dyDescent="0.3"/>
    <row r="5163" s="136" customFormat="1" x14ac:dyDescent="0.3"/>
    <row r="5164" s="136" customFormat="1" x14ac:dyDescent="0.3"/>
    <row r="5165" s="136" customFormat="1" x14ac:dyDescent="0.3"/>
    <row r="5166" s="136" customFormat="1" x14ac:dyDescent="0.3"/>
    <row r="5167" s="136" customFormat="1" x14ac:dyDescent="0.3"/>
    <row r="5168" s="136" customFormat="1" x14ac:dyDescent="0.3"/>
    <row r="5169" s="136" customFormat="1" x14ac:dyDescent="0.3"/>
    <row r="5170" s="136" customFormat="1" x14ac:dyDescent="0.3"/>
    <row r="5171" s="136" customFormat="1" x14ac:dyDescent="0.3"/>
    <row r="5172" s="136" customFormat="1" x14ac:dyDescent="0.3"/>
    <row r="5173" s="136" customFormat="1" x14ac:dyDescent="0.3"/>
    <row r="5174" s="136" customFormat="1" x14ac:dyDescent="0.3"/>
    <row r="5175" s="136" customFormat="1" x14ac:dyDescent="0.3"/>
    <row r="5176" s="136" customFormat="1" x14ac:dyDescent="0.3"/>
    <row r="5177" s="136" customFormat="1" x14ac:dyDescent="0.3"/>
    <row r="5178" s="136" customFormat="1" x14ac:dyDescent="0.3"/>
    <row r="5179" s="136" customFormat="1" x14ac:dyDescent="0.3"/>
    <row r="5180" s="136" customFormat="1" x14ac:dyDescent="0.3"/>
    <row r="5181" s="136" customFormat="1" x14ac:dyDescent="0.3"/>
    <row r="5182" s="136" customFormat="1" x14ac:dyDescent="0.3"/>
    <row r="5183" s="136" customFormat="1" x14ac:dyDescent="0.3"/>
    <row r="5184" s="136" customFormat="1" x14ac:dyDescent="0.3"/>
    <row r="5185" s="136" customFormat="1" x14ac:dyDescent="0.3"/>
    <row r="5186" s="136" customFormat="1" x14ac:dyDescent="0.3"/>
    <row r="5187" s="136" customFormat="1" x14ac:dyDescent="0.3"/>
    <row r="5188" s="136" customFormat="1" x14ac:dyDescent="0.3"/>
    <row r="5189" s="136" customFormat="1" x14ac:dyDescent="0.3"/>
    <row r="5190" s="136" customFormat="1" x14ac:dyDescent="0.3"/>
    <row r="5191" s="136" customFormat="1" x14ac:dyDescent="0.3"/>
    <row r="5192" s="136" customFormat="1" x14ac:dyDescent="0.3"/>
    <row r="5193" s="136" customFormat="1" x14ac:dyDescent="0.3"/>
    <row r="5194" s="136" customFormat="1" x14ac:dyDescent="0.3"/>
    <row r="5195" s="136" customFormat="1" x14ac:dyDescent="0.3"/>
    <row r="5196" s="136" customFormat="1" x14ac:dyDescent="0.3"/>
    <row r="5197" s="136" customFormat="1" x14ac:dyDescent="0.3"/>
    <row r="5198" s="136" customFormat="1" x14ac:dyDescent="0.3"/>
    <row r="5199" s="136" customFormat="1" x14ac:dyDescent="0.3"/>
    <row r="5200" s="136" customFormat="1" x14ac:dyDescent="0.3"/>
    <row r="5201" s="136" customFormat="1" x14ac:dyDescent="0.3"/>
    <row r="5202" s="136" customFormat="1" x14ac:dyDescent="0.3"/>
    <row r="5203" s="136" customFormat="1" x14ac:dyDescent="0.3"/>
    <row r="5204" s="136" customFormat="1" x14ac:dyDescent="0.3"/>
    <row r="5205" s="136" customFormat="1" x14ac:dyDescent="0.3"/>
    <row r="5206" s="136" customFormat="1" x14ac:dyDescent="0.3"/>
    <row r="5207" s="136" customFormat="1" x14ac:dyDescent="0.3"/>
    <row r="5208" s="136" customFormat="1" x14ac:dyDescent="0.3"/>
    <row r="5209" s="136" customFormat="1" x14ac:dyDescent="0.3"/>
    <row r="5210" s="136" customFormat="1" x14ac:dyDescent="0.3"/>
    <row r="5211" s="136" customFormat="1" x14ac:dyDescent="0.3"/>
    <row r="5212" s="136" customFormat="1" x14ac:dyDescent="0.3"/>
    <row r="5213" s="136" customFormat="1" x14ac:dyDescent="0.3"/>
    <row r="5214" s="136" customFormat="1" x14ac:dyDescent="0.3"/>
    <row r="5215" s="136" customFormat="1" x14ac:dyDescent="0.3"/>
    <row r="5216" s="136" customFormat="1" x14ac:dyDescent="0.3"/>
    <row r="5217" s="136" customFormat="1" x14ac:dyDescent="0.3"/>
    <row r="5218" s="136" customFormat="1" x14ac:dyDescent="0.3"/>
    <row r="5219" s="136" customFormat="1" x14ac:dyDescent="0.3"/>
    <row r="5220" s="136" customFormat="1" x14ac:dyDescent="0.3"/>
    <row r="5221" s="136" customFormat="1" x14ac:dyDescent="0.3"/>
    <row r="5222" s="136" customFormat="1" x14ac:dyDescent="0.3"/>
    <row r="5223" s="136" customFormat="1" x14ac:dyDescent="0.3"/>
    <row r="5224" s="136" customFormat="1" x14ac:dyDescent="0.3"/>
    <row r="5225" s="136" customFormat="1" x14ac:dyDescent="0.3"/>
    <row r="5226" s="136" customFormat="1" x14ac:dyDescent="0.3"/>
    <row r="5227" s="136" customFormat="1" x14ac:dyDescent="0.3"/>
    <row r="5228" s="136" customFormat="1" x14ac:dyDescent="0.3"/>
    <row r="5229" s="136" customFormat="1" x14ac:dyDescent="0.3"/>
    <row r="5230" s="136" customFormat="1" x14ac:dyDescent="0.3"/>
    <row r="5231" s="136" customFormat="1" x14ac:dyDescent="0.3"/>
    <row r="5232" s="136" customFormat="1" x14ac:dyDescent="0.3"/>
    <row r="5233" s="136" customFormat="1" x14ac:dyDescent="0.3"/>
    <row r="5234" s="136" customFormat="1" x14ac:dyDescent="0.3"/>
    <row r="5235" s="136" customFormat="1" x14ac:dyDescent="0.3"/>
    <row r="5236" s="136" customFormat="1" x14ac:dyDescent="0.3"/>
    <row r="5237" s="136" customFormat="1" x14ac:dyDescent="0.3"/>
    <row r="5238" s="136" customFormat="1" x14ac:dyDescent="0.3"/>
    <row r="5239" s="136" customFormat="1" x14ac:dyDescent="0.3"/>
    <row r="5240" s="136" customFormat="1" x14ac:dyDescent="0.3"/>
    <row r="5241" s="136" customFormat="1" x14ac:dyDescent="0.3"/>
    <row r="5242" s="136" customFormat="1" x14ac:dyDescent="0.3"/>
    <row r="5243" s="136" customFormat="1" x14ac:dyDescent="0.3"/>
    <row r="5244" s="136" customFormat="1" x14ac:dyDescent="0.3"/>
    <row r="5245" s="136" customFormat="1" x14ac:dyDescent="0.3"/>
    <row r="5246" s="136" customFormat="1" x14ac:dyDescent="0.3"/>
    <row r="5247" s="136" customFormat="1" x14ac:dyDescent="0.3"/>
    <row r="5248" s="136" customFormat="1" x14ac:dyDescent="0.3"/>
    <row r="5249" s="136" customFormat="1" x14ac:dyDescent="0.3"/>
    <row r="5250" s="136" customFormat="1" x14ac:dyDescent="0.3"/>
    <row r="5251" s="136" customFormat="1" x14ac:dyDescent="0.3"/>
    <row r="5252" s="136" customFormat="1" x14ac:dyDescent="0.3"/>
    <row r="5253" s="136" customFormat="1" x14ac:dyDescent="0.3"/>
    <row r="5254" s="136" customFormat="1" x14ac:dyDescent="0.3"/>
    <row r="5255" s="136" customFormat="1" x14ac:dyDescent="0.3"/>
    <row r="5256" s="136" customFormat="1" x14ac:dyDescent="0.3"/>
    <row r="5257" s="136" customFormat="1" x14ac:dyDescent="0.3"/>
    <row r="5258" s="136" customFormat="1" x14ac:dyDescent="0.3"/>
    <row r="5259" s="136" customFormat="1" x14ac:dyDescent="0.3"/>
    <row r="5260" s="136" customFormat="1" x14ac:dyDescent="0.3"/>
    <row r="5261" s="136" customFormat="1" x14ac:dyDescent="0.3"/>
    <row r="5262" s="136" customFormat="1" x14ac:dyDescent="0.3"/>
    <row r="5263" s="136" customFormat="1" x14ac:dyDescent="0.3"/>
    <row r="5264" s="136" customFormat="1" x14ac:dyDescent="0.3"/>
    <row r="5265" s="136" customFormat="1" x14ac:dyDescent="0.3"/>
    <row r="5266" s="136" customFormat="1" x14ac:dyDescent="0.3"/>
    <row r="5267" s="136" customFormat="1" x14ac:dyDescent="0.3"/>
    <row r="5268" s="136" customFormat="1" x14ac:dyDescent="0.3"/>
    <row r="5269" s="136" customFormat="1" x14ac:dyDescent="0.3"/>
    <row r="5270" s="136" customFormat="1" x14ac:dyDescent="0.3"/>
    <row r="5271" s="136" customFormat="1" x14ac:dyDescent="0.3"/>
    <row r="5272" s="136" customFormat="1" x14ac:dyDescent="0.3"/>
    <row r="5273" s="136" customFormat="1" x14ac:dyDescent="0.3"/>
    <row r="5274" s="136" customFormat="1" x14ac:dyDescent="0.3"/>
    <row r="5275" s="136" customFormat="1" x14ac:dyDescent="0.3"/>
    <row r="5276" s="136" customFormat="1" x14ac:dyDescent="0.3"/>
    <row r="5277" s="136" customFormat="1" x14ac:dyDescent="0.3"/>
    <row r="5278" s="136" customFormat="1" x14ac:dyDescent="0.3"/>
    <row r="5279" s="136" customFormat="1" x14ac:dyDescent="0.3"/>
    <row r="5280" s="136" customFormat="1" x14ac:dyDescent="0.3"/>
    <row r="5281" s="136" customFormat="1" x14ac:dyDescent="0.3"/>
    <row r="5282" s="136" customFormat="1" x14ac:dyDescent="0.3"/>
    <row r="5283" s="136" customFormat="1" x14ac:dyDescent="0.3"/>
    <row r="5284" s="136" customFormat="1" x14ac:dyDescent="0.3"/>
    <row r="5285" s="136" customFormat="1" x14ac:dyDescent="0.3"/>
    <row r="5286" s="136" customFormat="1" x14ac:dyDescent="0.3"/>
    <row r="5287" s="136" customFormat="1" x14ac:dyDescent="0.3"/>
    <row r="5288" s="136" customFormat="1" x14ac:dyDescent="0.3"/>
    <row r="5289" s="136" customFormat="1" x14ac:dyDescent="0.3"/>
    <row r="5290" s="136" customFormat="1" x14ac:dyDescent="0.3"/>
    <row r="5291" s="136" customFormat="1" x14ac:dyDescent="0.3"/>
    <row r="5292" s="136" customFormat="1" x14ac:dyDescent="0.3"/>
    <row r="5293" s="136" customFormat="1" x14ac:dyDescent="0.3"/>
    <row r="5294" s="136" customFormat="1" x14ac:dyDescent="0.3"/>
    <row r="5295" s="136" customFormat="1" x14ac:dyDescent="0.3"/>
    <row r="5296" s="136" customFormat="1" x14ac:dyDescent="0.3"/>
    <row r="5297" s="136" customFormat="1" x14ac:dyDescent="0.3"/>
    <row r="5298" s="136" customFormat="1" x14ac:dyDescent="0.3"/>
    <row r="5299" s="136" customFormat="1" x14ac:dyDescent="0.3"/>
    <row r="5300" s="136" customFormat="1" x14ac:dyDescent="0.3"/>
    <row r="5301" s="136" customFormat="1" x14ac:dyDescent="0.3"/>
    <row r="5302" s="136" customFormat="1" x14ac:dyDescent="0.3"/>
    <row r="5303" s="136" customFormat="1" x14ac:dyDescent="0.3"/>
    <row r="5304" s="136" customFormat="1" x14ac:dyDescent="0.3"/>
    <row r="5305" s="136" customFormat="1" x14ac:dyDescent="0.3"/>
    <row r="5306" s="136" customFormat="1" x14ac:dyDescent="0.3"/>
    <row r="5307" s="136" customFormat="1" x14ac:dyDescent="0.3"/>
    <row r="5308" s="136" customFormat="1" x14ac:dyDescent="0.3"/>
    <row r="5309" s="136" customFormat="1" x14ac:dyDescent="0.3"/>
    <row r="5310" s="136" customFormat="1" x14ac:dyDescent="0.3"/>
    <row r="5311" s="136" customFormat="1" x14ac:dyDescent="0.3"/>
    <row r="5312" s="136" customFormat="1" x14ac:dyDescent="0.3"/>
    <row r="5313" s="136" customFormat="1" x14ac:dyDescent="0.3"/>
    <row r="5314" s="136" customFormat="1" x14ac:dyDescent="0.3"/>
    <row r="5315" s="136" customFormat="1" x14ac:dyDescent="0.3"/>
    <row r="5316" s="136" customFormat="1" x14ac:dyDescent="0.3"/>
    <row r="5317" s="136" customFormat="1" x14ac:dyDescent="0.3"/>
    <row r="5318" s="136" customFormat="1" x14ac:dyDescent="0.3"/>
    <row r="5319" s="136" customFormat="1" x14ac:dyDescent="0.3"/>
    <row r="5320" s="136" customFormat="1" x14ac:dyDescent="0.3"/>
    <row r="5321" s="136" customFormat="1" x14ac:dyDescent="0.3"/>
    <row r="5322" s="136" customFormat="1" x14ac:dyDescent="0.3"/>
    <row r="5323" s="136" customFormat="1" x14ac:dyDescent="0.3"/>
    <row r="5324" s="136" customFormat="1" x14ac:dyDescent="0.3"/>
    <row r="5325" s="136" customFormat="1" x14ac:dyDescent="0.3"/>
    <row r="5326" s="136" customFormat="1" x14ac:dyDescent="0.3"/>
    <row r="5327" s="136" customFormat="1" x14ac:dyDescent="0.3"/>
    <row r="5328" s="136" customFormat="1" x14ac:dyDescent="0.3"/>
    <row r="5329" s="136" customFormat="1" x14ac:dyDescent="0.3"/>
    <row r="5330" s="136" customFormat="1" x14ac:dyDescent="0.3"/>
    <row r="5331" s="136" customFormat="1" x14ac:dyDescent="0.3"/>
    <row r="5332" s="136" customFormat="1" x14ac:dyDescent="0.3"/>
    <row r="5333" s="136" customFormat="1" x14ac:dyDescent="0.3"/>
    <row r="5334" s="136" customFormat="1" x14ac:dyDescent="0.3"/>
    <row r="5335" s="136" customFormat="1" x14ac:dyDescent="0.3"/>
    <row r="5336" s="136" customFormat="1" x14ac:dyDescent="0.3"/>
    <row r="5337" s="136" customFormat="1" x14ac:dyDescent="0.3"/>
    <row r="5338" s="136" customFormat="1" x14ac:dyDescent="0.3"/>
    <row r="5339" s="136" customFormat="1" x14ac:dyDescent="0.3"/>
    <row r="5340" s="136" customFormat="1" x14ac:dyDescent="0.3"/>
    <row r="5341" s="136" customFormat="1" x14ac:dyDescent="0.3"/>
    <row r="5342" s="136" customFormat="1" x14ac:dyDescent="0.3"/>
    <row r="5343" s="136" customFormat="1" x14ac:dyDescent="0.3"/>
    <row r="5344" s="136" customFormat="1" x14ac:dyDescent="0.3"/>
    <row r="5345" s="136" customFormat="1" x14ac:dyDescent="0.3"/>
    <row r="5346" s="136" customFormat="1" x14ac:dyDescent="0.3"/>
    <row r="5347" s="136" customFormat="1" x14ac:dyDescent="0.3"/>
    <row r="5348" s="136" customFormat="1" x14ac:dyDescent="0.3"/>
    <row r="5349" s="136" customFormat="1" x14ac:dyDescent="0.3"/>
    <row r="5350" s="136" customFormat="1" x14ac:dyDescent="0.3"/>
    <row r="5351" s="136" customFormat="1" x14ac:dyDescent="0.3"/>
    <row r="5352" s="136" customFormat="1" x14ac:dyDescent="0.3"/>
    <row r="5353" s="136" customFormat="1" x14ac:dyDescent="0.3"/>
    <row r="5354" s="136" customFormat="1" x14ac:dyDescent="0.3"/>
    <row r="5355" s="136" customFormat="1" x14ac:dyDescent="0.3"/>
    <row r="5356" s="136" customFormat="1" x14ac:dyDescent="0.3"/>
    <row r="5357" s="136" customFormat="1" x14ac:dyDescent="0.3"/>
    <row r="5358" s="136" customFormat="1" x14ac:dyDescent="0.3"/>
    <row r="5359" s="136" customFormat="1" x14ac:dyDescent="0.3"/>
    <row r="5360" s="136" customFormat="1" x14ac:dyDescent="0.3"/>
    <row r="5361" s="136" customFormat="1" x14ac:dyDescent="0.3"/>
    <row r="5362" s="136" customFormat="1" x14ac:dyDescent="0.3"/>
    <row r="5363" s="136" customFormat="1" x14ac:dyDescent="0.3"/>
    <row r="5364" s="136" customFormat="1" x14ac:dyDescent="0.3"/>
    <row r="5365" s="136" customFormat="1" x14ac:dyDescent="0.3"/>
    <row r="5366" s="136" customFormat="1" x14ac:dyDescent="0.3"/>
    <row r="5367" s="136" customFormat="1" x14ac:dyDescent="0.3"/>
    <row r="5368" s="136" customFormat="1" x14ac:dyDescent="0.3"/>
    <row r="5369" s="136" customFormat="1" x14ac:dyDescent="0.3"/>
    <row r="5370" s="136" customFormat="1" x14ac:dyDescent="0.3"/>
    <row r="5371" s="136" customFormat="1" x14ac:dyDescent="0.3"/>
    <row r="5372" s="136" customFormat="1" x14ac:dyDescent="0.3"/>
    <row r="5373" s="136" customFormat="1" x14ac:dyDescent="0.3"/>
    <row r="5374" s="136" customFormat="1" x14ac:dyDescent="0.3"/>
    <row r="5375" s="136" customFormat="1" x14ac:dyDescent="0.3"/>
    <row r="5376" s="136" customFormat="1" x14ac:dyDescent="0.3"/>
    <row r="5377" s="136" customFormat="1" x14ac:dyDescent="0.3"/>
    <row r="5378" s="136" customFormat="1" x14ac:dyDescent="0.3"/>
    <row r="5379" s="136" customFormat="1" x14ac:dyDescent="0.3"/>
    <row r="5380" s="136" customFormat="1" x14ac:dyDescent="0.3"/>
    <row r="5381" s="136" customFormat="1" x14ac:dyDescent="0.3"/>
    <row r="5382" s="136" customFormat="1" x14ac:dyDescent="0.3"/>
    <row r="5383" s="136" customFormat="1" x14ac:dyDescent="0.3"/>
    <row r="5384" s="136" customFormat="1" x14ac:dyDescent="0.3"/>
    <row r="5385" s="136" customFormat="1" x14ac:dyDescent="0.3"/>
    <row r="5386" s="136" customFormat="1" x14ac:dyDescent="0.3"/>
    <row r="5387" s="136" customFormat="1" x14ac:dyDescent="0.3"/>
    <row r="5388" s="136" customFormat="1" x14ac:dyDescent="0.3"/>
    <row r="5389" s="136" customFormat="1" x14ac:dyDescent="0.3"/>
    <row r="5390" s="136" customFormat="1" x14ac:dyDescent="0.3"/>
    <row r="5391" s="136" customFormat="1" x14ac:dyDescent="0.3"/>
    <row r="5392" s="136" customFormat="1" x14ac:dyDescent="0.3"/>
    <row r="5393" s="136" customFormat="1" x14ac:dyDescent="0.3"/>
    <row r="5394" s="136" customFormat="1" x14ac:dyDescent="0.3"/>
    <row r="5395" s="136" customFormat="1" x14ac:dyDescent="0.3"/>
    <row r="5396" s="136" customFormat="1" x14ac:dyDescent="0.3"/>
    <row r="5397" s="136" customFormat="1" x14ac:dyDescent="0.3"/>
    <row r="5398" s="136" customFormat="1" x14ac:dyDescent="0.3"/>
    <row r="5399" s="136" customFormat="1" x14ac:dyDescent="0.3"/>
    <row r="5400" s="136" customFormat="1" x14ac:dyDescent="0.3"/>
    <row r="5401" s="136" customFormat="1" x14ac:dyDescent="0.3"/>
    <row r="5402" s="136" customFormat="1" x14ac:dyDescent="0.3"/>
    <row r="5403" s="136" customFormat="1" x14ac:dyDescent="0.3"/>
    <row r="5404" s="136" customFormat="1" x14ac:dyDescent="0.3"/>
    <row r="5405" s="136" customFormat="1" x14ac:dyDescent="0.3"/>
    <row r="5406" s="136" customFormat="1" x14ac:dyDescent="0.3"/>
    <row r="5407" s="136" customFormat="1" x14ac:dyDescent="0.3"/>
    <row r="5408" s="136" customFormat="1" x14ac:dyDescent="0.3"/>
    <row r="5409" s="136" customFormat="1" x14ac:dyDescent="0.3"/>
    <row r="5410" s="136" customFormat="1" x14ac:dyDescent="0.3"/>
    <row r="5411" s="136" customFormat="1" x14ac:dyDescent="0.3"/>
    <row r="5412" s="136" customFormat="1" x14ac:dyDescent="0.3"/>
    <row r="5413" s="136" customFormat="1" x14ac:dyDescent="0.3"/>
    <row r="5414" s="136" customFormat="1" x14ac:dyDescent="0.3"/>
    <row r="5415" s="136" customFormat="1" x14ac:dyDescent="0.3"/>
    <row r="5416" s="136" customFormat="1" x14ac:dyDescent="0.3"/>
    <row r="5417" s="136" customFormat="1" x14ac:dyDescent="0.3"/>
    <row r="5418" s="136" customFormat="1" x14ac:dyDescent="0.3"/>
    <row r="5419" s="136" customFormat="1" x14ac:dyDescent="0.3"/>
    <row r="5420" s="136" customFormat="1" x14ac:dyDescent="0.3"/>
    <row r="5421" s="136" customFormat="1" x14ac:dyDescent="0.3"/>
    <row r="5422" s="136" customFormat="1" x14ac:dyDescent="0.3"/>
    <row r="5423" s="136" customFormat="1" x14ac:dyDescent="0.3"/>
    <row r="5424" s="136" customFormat="1" x14ac:dyDescent="0.3"/>
    <row r="5425" s="136" customFormat="1" x14ac:dyDescent="0.3"/>
    <row r="5426" s="136" customFormat="1" x14ac:dyDescent="0.3"/>
    <row r="5427" s="136" customFormat="1" x14ac:dyDescent="0.3"/>
    <row r="5428" s="136" customFormat="1" x14ac:dyDescent="0.3"/>
    <row r="5429" s="136" customFormat="1" x14ac:dyDescent="0.3"/>
    <row r="5430" s="136" customFormat="1" x14ac:dyDescent="0.3"/>
    <row r="5431" s="136" customFormat="1" x14ac:dyDescent="0.3"/>
    <row r="5432" s="136" customFormat="1" x14ac:dyDescent="0.3"/>
    <row r="5433" s="136" customFormat="1" x14ac:dyDescent="0.3"/>
    <row r="5434" s="136" customFormat="1" x14ac:dyDescent="0.3"/>
    <row r="5435" s="136" customFormat="1" x14ac:dyDescent="0.3"/>
    <row r="5436" s="136" customFormat="1" x14ac:dyDescent="0.3"/>
    <row r="5437" s="136" customFormat="1" x14ac:dyDescent="0.3"/>
    <row r="5438" s="136" customFormat="1" x14ac:dyDescent="0.3"/>
    <row r="5439" s="136" customFormat="1" x14ac:dyDescent="0.3"/>
    <row r="5440" s="136" customFormat="1" x14ac:dyDescent="0.3"/>
    <row r="5441" s="136" customFormat="1" x14ac:dyDescent="0.3"/>
    <row r="5442" s="136" customFormat="1" x14ac:dyDescent="0.3"/>
    <row r="5443" s="136" customFormat="1" x14ac:dyDescent="0.3"/>
    <row r="5444" s="136" customFormat="1" x14ac:dyDescent="0.3"/>
    <row r="5445" s="136" customFormat="1" x14ac:dyDescent="0.3"/>
    <row r="5446" s="136" customFormat="1" x14ac:dyDescent="0.3"/>
    <row r="5447" s="136" customFormat="1" x14ac:dyDescent="0.3"/>
    <row r="5448" s="136" customFormat="1" x14ac:dyDescent="0.3"/>
    <row r="5449" s="136" customFormat="1" x14ac:dyDescent="0.3"/>
    <row r="5450" s="136" customFormat="1" x14ac:dyDescent="0.3"/>
    <row r="5451" s="136" customFormat="1" x14ac:dyDescent="0.3"/>
    <row r="5452" s="136" customFormat="1" x14ac:dyDescent="0.3"/>
    <row r="5453" s="136" customFormat="1" x14ac:dyDescent="0.3"/>
    <row r="5454" s="136" customFormat="1" x14ac:dyDescent="0.3"/>
    <row r="5455" s="136" customFormat="1" x14ac:dyDescent="0.3"/>
    <row r="5456" s="136" customFormat="1" x14ac:dyDescent="0.3"/>
    <row r="5457" s="136" customFormat="1" x14ac:dyDescent="0.3"/>
    <row r="5458" s="136" customFormat="1" x14ac:dyDescent="0.3"/>
    <row r="5459" s="136" customFormat="1" x14ac:dyDescent="0.3"/>
    <row r="5460" s="136" customFormat="1" x14ac:dyDescent="0.3"/>
    <row r="5461" s="136" customFormat="1" x14ac:dyDescent="0.3"/>
    <row r="5462" s="136" customFormat="1" x14ac:dyDescent="0.3"/>
    <row r="5463" s="136" customFormat="1" x14ac:dyDescent="0.3"/>
    <row r="5464" s="136" customFormat="1" x14ac:dyDescent="0.3"/>
    <row r="5465" s="136" customFormat="1" x14ac:dyDescent="0.3"/>
    <row r="5466" s="136" customFormat="1" x14ac:dyDescent="0.3"/>
    <row r="5467" s="136" customFormat="1" x14ac:dyDescent="0.3"/>
    <row r="5468" s="136" customFormat="1" x14ac:dyDescent="0.3"/>
    <row r="5469" s="136" customFormat="1" x14ac:dyDescent="0.3"/>
    <row r="5470" s="136" customFormat="1" x14ac:dyDescent="0.3"/>
    <row r="5471" s="136" customFormat="1" x14ac:dyDescent="0.3"/>
    <row r="5472" s="136" customFormat="1" x14ac:dyDescent="0.3"/>
    <row r="5473" s="136" customFormat="1" x14ac:dyDescent="0.3"/>
    <row r="5474" s="136" customFormat="1" x14ac:dyDescent="0.3"/>
    <row r="5475" s="136" customFormat="1" x14ac:dyDescent="0.3"/>
    <row r="5476" s="136" customFormat="1" x14ac:dyDescent="0.3"/>
    <row r="5477" s="136" customFormat="1" x14ac:dyDescent="0.3"/>
    <row r="5478" s="136" customFormat="1" x14ac:dyDescent="0.3"/>
    <row r="5479" s="136" customFormat="1" x14ac:dyDescent="0.3"/>
    <row r="5480" s="136" customFormat="1" x14ac:dyDescent="0.3"/>
    <row r="5481" s="136" customFormat="1" x14ac:dyDescent="0.3"/>
    <row r="5482" s="136" customFormat="1" x14ac:dyDescent="0.3"/>
    <row r="5483" s="136" customFormat="1" x14ac:dyDescent="0.3"/>
    <row r="5484" s="136" customFormat="1" x14ac:dyDescent="0.3"/>
    <row r="5485" s="136" customFormat="1" x14ac:dyDescent="0.3"/>
    <row r="5486" s="136" customFormat="1" x14ac:dyDescent="0.3"/>
    <row r="5487" s="136" customFormat="1" x14ac:dyDescent="0.3"/>
    <row r="5488" s="136" customFormat="1" x14ac:dyDescent="0.3"/>
    <row r="5489" s="136" customFormat="1" x14ac:dyDescent="0.3"/>
    <row r="5490" s="136" customFormat="1" x14ac:dyDescent="0.3"/>
    <row r="5491" s="136" customFormat="1" x14ac:dyDescent="0.3"/>
    <row r="5492" s="136" customFormat="1" x14ac:dyDescent="0.3"/>
    <row r="5493" s="136" customFormat="1" x14ac:dyDescent="0.3"/>
    <row r="5494" s="136" customFormat="1" x14ac:dyDescent="0.3"/>
    <row r="5495" s="136" customFormat="1" x14ac:dyDescent="0.3"/>
    <row r="5496" s="136" customFormat="1" x14ac:dyDescent="0.3"/>
    <row r="5497" s="136" customFormat="1" x14ac:dyDescent="0.3"/>
    <row r="5498" s="136" customFormat="1" x14ac:dyDescent="0.3"/>
    <row r="5499" s="136" customFormat="1" x14ac:dyDescent="0.3"/>
    <row r="5500" s="136" customFormat="1" x14ac:dyDescent="0.3"/>
    <row r="5501" s="136" customFormat="1" x14ac:dyDescent="0.3"/>
    <row r="5502" s="136" customFormat="1" x14ac:dyDescent="0.3"/>
    <row r="5503" s="136" customFormat="1" x14ac:dyDescent="0.3"/>
    <row r="5504" s="136" customFormat="1" x14ac:dyDescent="0.3"/>
    <row r="5505" s="136" customFormat="1" x14ac:dyDescent="0.3"/>
    <row r="5506" s="136" customFormat="1" x14ac:dyDescent="0.3"/>
    <row r="5507" s="136" customFormat="1" x14ac:dyDescent="0.3"/>
    <row r="5508" s="136" customFormat="1" x14ac:dyDescent="0.3"/>
    <row r="5509" s="136" customFormat="1" x14ac:dyDescent="0.3"/>
    <row r="5510" s="136" customFormat="1" x14ac:dyDescent="0.3"/>
    <row r="5511" s="136" customFormat="1" x14ac:dyDescent="0.3"/>
    <row r="5512" s="136" customFormat="1" x14ac:dyDescent="0.3"/>
    <row r="5513" s="136" customFormat="1" x14ac:dyDescent="0.3"/>
    <row r="5514" s="136" customFormat="1" x14ac:dyDescent="0.3"/>
    <row r="5515" s="136" customFormat="1" x14ac:dyDescent="0.3"/>
    <row r="5516" s="136" customFormat="1" x14ac:dyDescent="0.3"/>
    <row r="5517" s="136" customFormat="1" x14ac:dyDescent="0.3"/>
    <row r="5518" s="136" customFormat="1" x14ac:dyDescent="0.3"/>
    <row r="5519" s="136" customFormat="1" x14ac:dyDescent="0.3"/>
    <row r="5520" s="136" customFormat="1" x14ac:dyDescent="0.3"/>
    <row r="5521" s="136" customFormat="1" x14ac:dyDescent="0.3"/>
    <row r="5522" s="136" customFormat="1" x14ac:dyDescent="0.3"/>
    <row r="5523" s="136" customFormat="1" x14ac:dyDescent="0.3"/>
    <row r="5524" s="136" customFormat="1" x14ac:dyDescent="0.3"/>
    <row r="5525" s="136" customFormat="1" x14ac:dyDescent="0.3"/>
    <row r="5526" s="136" customFormat="1" x14ac:dyDescent="0.3"/>
    <row r="5527" s="136" customFormat="1" x14ac:dyDescent="0.3"/>
    <row r="5528" s="136" customFormat="1" x14ac:dyDescent="0.3"/>
    <row r="5529" s="136" customFormat="1" x14ac:dyDescent="0.3"/>
    <row r="5530" s="136" customFormat="1" x14ac:dyDescent="0.3"/>
    <row r="5531" s="136" customFormat="1" x14ac:dyDescent="0.3"/>
    <row r="5532" s="136" customFormat="1" x14ac:dyDescent="0.3"/>
    <row r="5533" s="136" customFormat="1" x14ac:dyDescent="0.3"/>
    <row r="5534" s="136" customFormat="1" x14ac:dyDescent="0.3"/>
    <row r="5535" s="136" customFormat="1" x14ac:dyDescent="0.3"/>
    <row r="5536" s="136" customFormat="1" x14ac:dyDescent="0.3"/>
    <row r="5537" s="136" customFormat="1" x14ac:dyDescent="0.3"/>
    <row r="5538" s="136" customFormat="1" x14ac:dyDescent="0.3"/>
    <row r="5539" s="136" customFormat="1" x14ac:dyDescent="0.3"/>
    <row r="5540" s="136" customFormat="1" x14ac:dyDescent="0.3"/>
    <row r="5541" s="136" customFormat="1" x14ac:dyDescent="0.3"/>
    <row r="5542" s="136" customFormat="1" x14ac:dyDescent="0.3"/>
    <row r="5543" s="136" customFormat="1" x14ac:dyDescent="0.3"/>
    <row r="5544" s="136" customFormat="1" x14ac:dyDescent="0.3"/>
    <row r="5545" s="136" customFormat="1" x14ac:dyDescent="0.3"/>
    <row r="5546" s="136" customFormat="1" x14ac:dyDescent="0.3"/>
    <row r="5547" s="136" customFormat="1" x14ac:dyDescent="0.3"/>
    <row r="5548" s="136" customFormat="1" x14ac:dyDescent="0.3"/>
    <row r="5549" s="136" customFormat="1" x14ac:dyDescent="0.3"/>
    <row r="5550" s="136" customFormat="1" x14ac:dyDescent="0.3"/>
    <row r="5551" s="136" customFormat="1" x14ac:dyDescent="0.3"/>
    <row r="5552" s="136" customFormat="1" x14ac:dyDescent="0.3"/>
    <row r="5553" s="136" customFormat="1" x14ac:dyDescent="0.3"/>
    <row r="5554" s="136" customFormat="1" x14ac:dyDescent="0.3"/>
    <row r="5555" s="136" customFormat="1" x14ac:dyDescent="0.3"/>
    <row r="5556" s="136" customFormat="1" x14ac:dyDescent="0.3"/>
    <row r="5557" s="136" customFormat="1" x14ac:dyDescent="0.3"/>
    <row r="5558" s="136" customFormat="1" x14ac:dyDescent="0.3"/>
    <row r="5559" s="136" customFormat="1" x14ac:dyDescent="0.3"/>
    <row r="5560" s="136" customFormat="1" x14ac:dyDescent="0.3"/>
    <row r="5561" s="136" customFormat="1" x14ac:dyDescent="0.3"/>
    <row r="5562" s="136" customFormat="1" x14ac:dyDescent="0.3"/>
    <row r="5563" s="136" customFormat="1" x14ac:dyDescent="0.3"/>
    <row r="5564" s="136" customFormat="1" x14ac:dyDescent="0.3"/>
    <row r="5565" s="136" customFormat="1" x14ac:dyDescent="0.3"/>
    <row r="5566" s="136" customFormat="1" x14ac:dyDescent="0.3"/>
    <row r="5567" s="136" customFormat="1" x14ac:dyDescent="0.3"/>
    <row r="5568" s="136" customFormat="1" x14ac:dyDescent="0.3"/>
    <row r="5569" s="136" customFormat="1" x14ac:dyDescent="0.3"/>
    <row r="5570" s="136" customFormat="1" x14ac:dyDescent="0.3"/>
    <row r="5571" s="136" customFormat="1" x14ac:dyDescent="0.3"/>
    <row r="5572" s="136" customFormat="1" x14ac:dyDescent="0.3"/>
    <row r="5573" s="136" customFormat="1" x14ac:dyDescent="0.3"/>
    <row r="5574" s="136" customFormat="1" x14ac:dyDescent="0.3"/>
    <row r="5575" s="136" customFormat="1" x14ac:dyDescent="0.3"/>
    <row r="5576" s="136" customFormat="1" x14ac:dyDescent="0.3"/>
    <row r="5577" s="136" customFormat="1" x14ac:dyDescent="0.3"/>
    <row r="5578" s="136" customFormat="1" x14ac:dyDescent="0.3"/>
    <row r="5579" s="136" customFormat="1" x14ac:dyDescent="0.3"/>
    <row r="5580" s="136" customFormat="1" x14ac:dyDescent="0.3"/>
    <row r="5581" s="136" customFormat="1" x14ac:dyDescent="0.3"/>
    <row r="5582" s="136" customFormat="1" x14ac:dyDescent="0.3"/>
    <row r="5583" s="136" customFormat="1" x14ac:dyDescent="0.3"/>
    <row r="5584" s="136" customFormat="1" x14ac:dyDescent="0.3"/>
    <row r="5585" s="136" customFormat="1" x14ac:dyDescent="0.3"/>
    <row r="5586" s="136" customFormat="1" x14ac:dyDescent="0.3"/>
    <row r="5587" s="136" customFormat="1" x14ac:dyDescent="0.3"/>
    <row r="5588" s="136" customFormat="1" x14ac:dyDescent="0.3"/>
    <row r="5589" s="136" customFormat="1" x14ac:dyDescent="0.3"/>
    <row r="5590" s="136" customFormat="1" x14ac:dyDescent="0.3"/>
    <row r="5591" s="136" customFormat="1" x14ac:dyDescent="0.3"/>
    <row r="5592" s="136" customFormat="1" x14ac:dyDescent="0.3"/>
    <row r="5593" s="136" customFormat="1" x14ac:dyDescent="0.3"/>
    <row r="5594" s="136" customFormat="1" x14ac:dyDescent="0.3"/>
    <row r="5595" s="136" customFormat="1" x14ac:dyDescent="0.3"/>
    <row r="5596" s="136" customFormat="1" x14ac:dyDescent="0.3"/>
    <row r="5597" s="136" customFormat="1" x14ac:dyDescent="0.3"/>
    <row r="5598" s="136" customFormat="1" x14ac:dyDescent="0.3"/>
    <row r="5599" s="136" customFormat="1" x14ac:dyDescent="0.3"/>
    <row r="5600" s="136" customFormat="1" x14ac:dyDescent="0.3"/>
    <row r="5601" s="136" customFormat="1" x14ac:dyDescent="0.3"/>
    <row r="5602" s="136" customFormat="1" x14ac:dyDescent="0.3"/>
    <row r="5603" s="136" customFormat="1" x14ac:dyDescent="0.3"/>
    <row r="5604" s="136" customFormat="1" x14ac:dyDescent="0.3"/>
    <row r="5605" s="136" customFormat="1" x14ac:dyDescent="0.3"/>
    <row r="5606" s="136" customFormat="1" x14ac:dyDescent="0.3"/>
    <row r="5607" s="136" customFormat="1" x14ac:dyDescent="0.3"/>
    <row r="5608" s="136" customFormat="1" x14ac:dyDescent="0.3"/>
    <row r="5609" s="136" customFormat="1" x14ac:dyDescent="0.3"/>
    <row r="5610" s="136" customFormat="1" x14ac:dyDescent="0.3"/>
    <row r="5611" s="136" customFormat="1" x14ac:dyDescent="0.3"/>
    <row r="5612" s="136" customFormat="1" x14ac:dyDescent="0.3"/>
    <row r="5613" s="136" customFormat="1" x14ac:dyDescent="0.3"/>
    <row r="5614" s="136" customFormat="1" x14ac:dyDescent="0.3"/>
    <row r="5615" s="136" customFormat="1" x14ac:dyDescent="0.3"/>
    <row r="5616" s="136" customFormat="1" x14ac:dyDescent="0.3"/>
    <row r="5617" s="136" customFormat="1" x14ac:dyDescent="0.3"/>
    <row r="5618" s="136" customFormat="1" x14ac:dyDescent="0.3"/>
    <row r="5619" s="136" customFormat="1" x14ac:dyDescent="0.3"/>
    <row r="5620" s="136" customFormat="1" x14ac:dyDescent="0.3"/>
    <row r="5621" s="136" customFormat="1" x14ac:dyDescent="0.3"/>
    <row r="5622" s="136" customFormat="1" x14ac:dyDescent="0.3"/>
    <row r="5623" s="136" customFormat="1" x14ac:dyDescent="0.3"/>
    <row r="5624" s="136" customFormat="1" x14ac:dyDescent="0.3"/>
    <row r="5625" s="136" customFormat="1" x14ac:dyDescent="0.3"/>
    <row r="5626" s="136" customFormat="1" x14ac:dyDescent="0.3"/>
    <row r="5627" s="136" customFormat="1" x14ac:dyDescent="0.3"/>
    <row r="5628" s="136" customFormat="1" x14ac:dyDescent="0.3"/>
    <row r="5629" s="136" customFormat="1" x14ac:dyDescent="0.3"/>
    <row r="5630" s="136" customFormat="1" x14ac:dyDescent="0.3"/>
    <row r="5631" s="136" customFormat="1" x14ac:dyDescent="0.3"/>
    <row r="5632" s="136" customFormat="1" x14ac:dyDescent="0.3"/>
    <row r="5633" s="136" customFormat="1" x14ac:dyDescent="0.3"/>
    <row r="5634" s="136" customFormat="1" x14ac:dyDescent="0.3"/>
    <row r="5635" s="136" customFormat="1" x14ac:dyDescent="0.3"/>
    <row r="5636" s="136" customFormat="1" x14ac:dyDescent="0.3"/>
    <row r="5637" s="136" customFormat="1" x14ac:dyDescent="0.3"/>
    <row r="5638" s="136" customFormat="1" x14ac:dyDescent="0.3"/>
    <row r="5639" s="136" customFormat="1" x14ac:dyDescent="0.3"/>
    <row r="5640" s="136" customFormat="1" x14ac:dyDescent="0.3"/>
    <row r="5641" s="136" customFormat="1" x14ac:dyDescent="0.3"/>
    <row r="5642" s="136" customFormat="1" x14ac:dyDescent="0.3"/>
    <row r="5643" s="136" customFormat="1" x14ac:dyDescent="0.3"/>
    <row r="5644" s="136" customFormat="1" x14ac:dyDescent="0.3"/>
    <row r="5645" s="136" customFormat="1" x14ac:dyDescent="0.3"/>
    <row r="5646" s="136" customFormat="1" x14ac:dyDescent="0.3"/>
    <row r="5647" s="136" customFormat="1" x14ac:dyDescent="0.3"/>
    <row r="5648" s="136" customFormat="1" x14ac:dyDescent="0.3"/>
    <row r="5649" s="136" customFormat="1" x14ac:dyDescent="0.3"/>
    <row r="5650" s="136" customFormat="1" x14ac:dyDescent="0.3"/>
    <row r="5651" s="136" customFormat="1" x14ac:dyDescent="0.3"/>
    <row r="5652" s="136" customFormat="1" x14ac:dyDescent="0.3"/>
    <row r="5653" s="136" customFormat="1" x14ac:dyDescent="0.3"/>
    <row r="5654" s="136" customFormat="1" x14ac:dyDescent="0.3"/>
    <row r="5655" s="136" customFormat="1" x14ac:dyDescent="0.3"/>
    <row r="5656" s="136" customFormat="1" x14ac:dyDescent="0.3"/>
    <row r="5657" s="136" customFormat="1" x14ac:dyDescent="0.3"/>
    <row r="5658" s="136" customFormat="1" x14ac:dyDescent="0.3"/>
    <row r="5659" s="136" customFormat="1" x14ac:dyDescent="0.3"/>
    <row r="5660" s="136" customFormat="1" x14ac:dyDescent="0.3"/>
    <row r="5661" s="136" customFormat="1" x14ac:dyDescent="0.3"/>
    <row r="5662" s="136" customFormat="1" x14ac:dyDescent="0.3"/>
    <row r="5663" s="136" customFormat="1" x14ac:dyDescent="0.3"/>
    <row r="5664" s="136" customFormat="1" x14ac:dyDescent="0.3"/>
    <row r="5665" s="136" customFormat="1" x14ac:dyDescent="0.3"/>
    <row r="5666" s="136" customFormat="1" x14ac:dyDescent="0.3"/>
    <row r="5667" s="136" customFormat="1" x14ac:dyDescent="0.3"/>
    <row r="5668" s="136" customFormat="1" x14ac:dyDescent="0.3"/>
    <row r="5669" s="136" customFormat="1" x14ac:dyDescent="0.3"/>
    <row r="5670" s="136" customFormat="1" x14ac:dyDescent="0.3"/>
    <row r="5671" s="136" customFormat="1" x14ac:dyDescent="0.3"/>
    <row r="5672" s="136" customFormat="1" x14ac:dyDescent="0.3"/>
    <row r="5673" s="136" customFormat="1" x14ac:dyDescent="0.3"/>
    <row r="5674" s="136" customFormat="1" x14ac:dyDescent="0.3"/>
    <row r="5675" s="136" customFormat="1" x14ac:dyDescent="0.3"/>
    <row r="5676" s="136" customFormat="1" x14ac:dyDescent="0.3"/>
    <row r="5677" s="136" customFormat="1" x14ac:dyDescent="0.3"/>
    <row r="5678" s="136" customFormat="1" x14ac:dyDescent="0.3"/>
    <row r="5679" s="136" customFormat="1" x14ac:dyDescent="0.3"/>
    <row r="5680" s="136" customFormat="1" x14ac:dyDescent="0.3"/>
    <row r="5681" s="136" customFormat="1" x14ac:dyDescent="0.3"/>
    <row r="5682" s="136" customFormat="1" x14ac:dyDescent="0.3"/>
    <row r="5683" s="136" customFormat="1" x14ac:dyDescent="0.3"/>
    <row r="5684" s="136" customFormat="1" x14ac:dyDescent="0.3"/>
    <row r="5685" s="136" customFormat="1" x14ac:dyDescent="0.3"/>
    <row r="5686" s="136" customFormat="1" x14ac:dyDescent="0.3"/>
    <row r="5687" s="136" customFormat="1" x14ac:dyDescent="0.3"/>
    <row r="5688" s="136" customFormat="1" x14ac:dyDescent="0.3"/>
    <row r="5689" s="136" customFormat="1" x14ac:dyDescent="0.3"/>
    <row r="5690" s="136" customFormat="1" x14ac:dyDescent="0.3"/>
    <row r="5691" s="136" customFormat="1" x14ac:dyDescent="0.3"/>
    <row r="5692" s="136" customFormat="1" x14ac:dyDescent="0.3"/>
    <row r="5693" s="136" customFormat="1" x14ac:dyDescent="0.3"/>
    <row r="5694" s="136" customFormat="1" x14ac:dyDescent="0.3"/>
    <row r="5695" s="136" customFormat="1" x14ac:dyDescent="0.3"/>
    <row r="5696" s="136" customFormat="1" x14ac:dyDescent="0.3"/>
    <row r="5697" s="136" customFormat="1" x14ac:dyDescent="0.3"/>
    <row r="5698" s="136" customFormat="1" x14ac:dyDescent="0.3"/>
    <row r="5699" s="136" customFormat="1" x14ac:dyDescent="0.3"/>
    <row r="5700" s="136" customFormat="1" x14ac:dyDescent="0.3"/>
    <row r="5701" s="136" customFormat="1" x14ac:dyDescent="0.3"/>
    <row r="5702" s="136" customFormat="1" x14ac:dyDescent="0.3"/>
    <row r="5703" s="136" customFormat="1" x14ac:dyDescent="0.3"/>
    <row r="5704" s="136" customFormat="1" x14ac:dyDescent="0.3"/>
    <row r="5705" s="136" customFormat="1" x14ac:dyDescent="0.3"/>
    <row r="5706" s="136" customFormat="1" x14ac:dyDescent="0.3"/>
    <row r="5707" s="136" customFormat="1" x14ac:dyDescent="0.3"/>
    <row r="5708" s="136" customFormat="1" x14ac:dyDescent="0.3"/>
    <row r="5709" s="136" customFormat="1" x14ac:dyDescent="0.3"/>
    <row r="5710" s="136" customFormat="1" x14ac:dyDescent="0.3"/>
    <row r="5711" s="136" customFormat="1" x14ac:dyDescent="0.3"/>
    <row r="5712" s="136" customFormat="1" x14ac:dyDescent="0.3"/>
    <row r="5713" s="136" customFormat="1" x14ac:dyDescent="0.3"/>
    <row r="5714" s="136" customFormat="1" x14ac:dyDescent="0.3"/>
    <row r="5715" s="136" customFormat="1" x14ac:dyDescent="0.3"/>
    <row r="5716" s="136" customFormat="1" x14ac:dyDescent="0.3"/>
    <row r="5717" s="136" customFormat="1" x14ac:dyDescent="0.3"/>
    <row r="5718" s="136" customFormat="1" x14ac:dyDescent="0.3"/>
    <row r="5719" s="136" customFormat="1" x14ac:dyDescent="0.3"/>
    <row r="5720" s="136" customFormat="1" x14ac:dyDescent="0.3"/>
    <row r="5721" s="136" customFormat="1" x14ac:dyDescent="0.3"/>
    <row r="5722" s="136" customFormat="1" x14ac:dyDescent="0.3"/>
    <row r="5723" s="136" customFormat="1" x14ac:dyDescent="0.3"/>
    <row r="5724" s="136" customFormat="1" x14ac:dyDescent="0.3"/>
    <row r="5725" s="136" customFormat="1" x14ac:dyDescent="0.3"/>
    <row r="5726" s="136" customFormat="1" x14ac:dyDescent="0.3"/>
    <row r="5727" s="136" customFormat="1" x14ac:dyDescent="0.3"/>
    <row r="5728" s="136" customFormat="1" x14ac:dyDescent="0.3"/>
    <row r="5729" s="136" customFormat="1" x14ac:dyDescent="0.3"/>
    <row r="5730" s="136" customFormat="1" x14ac:dyDescent="0.3"/>
    <row r="5731" s="136" customFormat="1" x14ac:dyDescent="0.3"/>
    <row r="5732" s="136" customFormat="1" x14ac:dyDescent="0.3"/>
    <row r="5733" s="136" customFormat="1" x14ac:dyDescent="0.3"/>
    <row r="5734" s="136" customFormat="1" x14ac:dyDescent="0.3"/>
    <row r="5735" s="136" customFormat="1" x14ac:dyDescent="0.3"/>
    <row r="5736" s="136" customFormat="1" x14ac:dyDescent="0.3"/>
    <row r="5737" s="136" customFormat="1" x14ac:dyDescent="0.3"/>
    <row r="5738" s="136" customFormat="1" x14ac:dyDescent="0.3"/>
    <row r="5739" s="136" customFormat="1" x14ac:dyDescent="0.3"/>
    <row r="5740" s="136" customFormat="1" x14ac:dyDescent="0.3"/>
    <row r="5741" s="136" customFormat="1" x14ac:dyDescent="0.3"/>
    <row r="5742" s="136" customFormat="1" x14ac:dyDescent="0.3"/>
    <row r="5743" s="136" customFormat="1" x14ac:dyDescent="0.3"/>
    <row r="5744" s="136" customFormat="1" x14ac:dyDescent="0.3"/>
    <row r="5745" s="136" customFormat="1" x14ac:dyDescent="0.3"/>
    <row r="5746" s="136" customFormat="1" x14ac:dyDescent="0.3"/>
    <row r="5747" s="136" customFormat="1" x14ac:dyDescent="0.3"/>
    <row r="5748" s="136" customFormat="1" x14ac:dyDescent="0.3"/>
    <row r="5749" s="136" customFormat="1" x14ac:dyDescent="0.3"/>
    <row r="5750" s="136" customFormat="1" x14ac:dyDescent="0.3"/>
    <row r="5751" s="136" customFormat="1" x14ac:dyDescent="0.3"/>
    <row r="5752" s="136" customFormat="1" x14ac:dyDescent="0.3"/>
    <row r="5753" s="136" customFormat="1" x14ac:dyDescent="0.3"/>
    <row r="5754" s="136" customFormat="1" x14ac:dyDescent="0.3"/>
    <row r="5755" s="136" customFormat="1" x14ac:dyDescent="0.3"/>
    <row r="5756" s="136" customFormat="1" x14ac:dyDescent="0.3"/>
    <row r="5757" s="136" customFormat="1" x14ac:dyDescent="0.3"/>
    <row r="5758" s="136" customFormat="1" x14ac:dyDescent="0.3"/>
    <row r="5759" s="136" customFormat="1" x14ac:dyDescent="0.3"/>
    <row r="5760" s="136" customFormat="1" x14ac:dyDescent="0.3"/>
    <row r="5761" s="136" customFormat="1" x14ac:dyDescent="0.3"/>
    <row r="5762" s="136" customFormat="1" x14ac:dyDescent="0.3"/>
    <row r="5763" s="136" customFormat="1" x14ac:dyDescent="0.3"/>
    <row r="5764" s="136" customFormat="1" x14ac:dyDescent="0.3"/>
    <row r="5765" s="136" customFormat="1" x14ac:dyDescent="0.3"/>
    <row r="5766" s="136" customFormat="1" x14ac:dyDescent="0.3"/>
    <row r="5767" s="136" customFormat="1" x14ac:dyDescent="0.3"/>
    <row r="5768" s="136" customFormat="1" x14ac:dyDescent="0.3"/>
    <row r="5769" s="136" customFormat="1" x14ac:dyDescent="0.3"/>
    <row r="5770" s="136" customFormat="1" x14ac:dyDescent="0.3"/>
    <row r="5771" s="136" customFormat="1" x14ac:dyDescent="0.3"/>
    <row r="5772" s="136" customFormat="1" x14ac:dyDescent="0.3"/>
    <row r="5773" s="136" customFormat="1" x14ac:dyDescent="0.3"/>
    <row r="5774" s="136" customFormat="1" x14ac:dyDescent="0.3"/>
    <row r="5775" s="136" customFormat="1" x14ac:dyDescent="0.3"/>
    <row r="5776" s="136" customFormat="1" x14ac:dyDescent="0.3"/>
    <row r="5777" s="136" customFormat="1" x14ac:dyDescent="0.3"/>
    <row r="5778" s="136" customFormat="1" x14ac:dyDescent="0.3"/>
    <row r="5779" s="136" customFormat="1" x14ac:dyDescent="0.3"/>
    <row r="5780" s="136" customFormat="1" x14ac:dyDescent="0.3"/>
    <row r="5781" s="136" customFormat="1" x14ac:dyDescent="0.3"/>
    <row r="5782" s="136" customFormat="1" x14ac:dyDescent="0.3"/>
    <row r="5783" s="136" customFormat="1" x14ac:dyDescent="0.3"/>
    <row r="5784" s="136" customFormat="1" x14ac:dyDescent="0.3"/>
    <row r="5785" s="136" customFormat="1" x14ac:dyDescent="0.3"/>
    <row r="5786" s="136" customFormat="1" x14ac:dyDescent="0.3"/>
    <row r="5787" s="136" customFormat="1" x14ac:dyDescent="0.3"/>
    <row r="5788" s="136" customFormat="1" x14ac:dyDescent="0.3"/>
    <row r="5789" s="136" customFormat="1" x14ac:dyDescent="0.3"/>
    <row r="5790" s="136" customFormat="1" x14ac:dyDescent="0.3"/>
    <row r="5791" s="136" customFormat="1" x14ac:dyDescent="0.3"/>
    <row r="5792" s="136" customFormat="1" x14ac:dyDescent="0.3"/>
    <row r="5793" s="136" customFormat="1" x14ac:dyDescent="0.3"/>
    <row r="5794" s="136" customFormat="1" x14ac:dyDescent="0.3"/>
    <row r="5795" s="136" customFormat="1" x14ac:dyDescent="0.3"/>
    <row r="5796" s="136" customFormat="1" x14ac:dyDescent="0.3"/>
    <row r="5797" s="136" customFormat="1" x14ac:dyDescent="0.3"/>
    <row r="5798" s="136" customFormat="1" x14ac:dyDescent="0.3"/>
    <row r="5799" s="136" customFormat="1" x14ac:dyDescent="0.3"/>
    <row r="5800" s="136" customFormat="1" x14ac:dyDescent="0.3"/>
    <row r="5801" s="136" customFormat="1" x14ac:dyDescent="0.3"/>
    <row r="5802" s="136" customFormat="1" x14ac:dyDescent="0.3"/>
    <row r="5803" s="136" customFormat="1" x14ac:dyDescent="0.3"/>
    <row r="5804" s="136" customFormat="1" x14ac:dyDescent="0.3"/>
    <row r="5805" s="136" customFormat="1" x14ac:dyDescent="0.3"/>
    <row r="5806" s="136" customFormat="1" x14ac:dyDescent="0.3"/>
    <row r="5807" s="136" customFormat="1" x14ac:dyDescent="0.3"/>
    <row r="5808" s="136" customFormat="1" x14ac:dyDescent="0.3"/>
    <row r="5809" s="136" customFormat="1" x14ac:dyDescent="0.3"/>
    <row r="5810" s="136" customFormat="1" x14ac:dyDescent="0.3"/>
    <row r="5811" s="136" customFormat="1" x14ac:dyDescent="0.3"/>
    <row r="5812" s="136" customFormat="1" x14ac:dyDescent="0.3"/>
    <row r="5813" s="136" customFormat="1" x14ac:dyDescent="0.3"/>
    <row r="5814" s="136" customFormat="1" x14ac:dyDescent="0.3"/>
    <row r="5815" s="136" customFormat="1" x14ac:dyDescent="0.3"/>
    <row r="5816" s="136" customFormat="1" x14ac:dyDescent="0.3"/>
    <row r="5817" s="136" customFormat="1" x14ac:dyDescent="0.3"/>
    <row r="5818" s="136" customFormat="1" x14ac:dyDescent="0.3"/>
    <row r="5819" s="136" customFormat="1" x14ac:dyDescent="0.3"/>
    <row r="5820" s="136" customFormat="1" x14ac:dyDescent="0.3"/>
    <row r="5821" s="136" customFormat="1" x14ac:dyDescent="0.3"/>
    <row r="5822" s="136" customFormat="1" x14ac:dyDescent="0.3"/>
    <row r="5823" s="136" customFormat="1" x14ac:dyDescent="0.3"/>
    <row r="5824" s="136" customFormat="1" x14ac:dyDescent="0.3"/>
    <row r="5825" s="136" customFormat="1" x14ac:dyDescent="0.3"/>
    <row r="5826" s="136" customFormat="1" x14ac:dyDescent="0.3"/>
    <row r="5827" s="136" customFormat="1" x14ac:dyDescent="0.3"/>
    <row r="5828" s="136" customFormat="1" x14ac:dyDescent="0.3"/>
    <row r="5829" s="136" customFormat="1" x14ac:dyDescent="0.3"/>
    <row r="5830" s="136" customFormat="1" x14ac:dyDescent="0.3"/>
    <row r="5831" s="136" customFormat="1" x14ac:dyDescent="0.3"/>
    <row r="5832" s="136" customFormat="1" x14ac:dyDescent="0.3"/>
    <row r="5833" s="136" customFormat="1" x14ac:dyDescent="0.3"/>
    <row r="5834" s="136" customFormat="1" x14ac:dyDescent="0.3"/>
    <row r="5835" s="136" customFormat="1" x14ac:dyDescent="0.3"/>
    <row r="5836" s="136" customFormat="1" x14ac:dyDescent="0.3"/>
    <row r="5837" s="136" customFormat="1" x14ac:dyDescent="0.3"/>
    <row r="5838" s="136" customFormat="1" x14ac:dyDescent="0.3"/>
    <row r="5839" s="136" customFormat="1" x14ac:dyDescent="0.3"/>
    <row r="5840" s="136" customFormat="1" x14ac:dyDescent="0.3"/>
    <row r="5841" s="136" customFormat="1" x14ac:dyDescent="0.3"/>
    <row r="5842" s="136" customFormat="1" x14ac:dyDescent="0.3"/>
    <row r="5843" s="136" customFormat="1" x14ac:dyDescent="0.3"/>
    <row r="5844" s="136" customFormat="1" x14ac:dyDescent="0.3"/>
    <row r="5845" s="136" customFormat="1" x14ac:dyDescent="0.3"/>
    <row r="5846" s="136" customFormat="1" x14ac:dyDescent="0.3"/>
    <row r="5847" s="136" customFormat="1" x14ac:dyDescent="0.3"/>
    <row r="5848" s="136" customFormat="1" x14ac:dyDescent="0.3"/>
    <row r="5849" s="136" customFormat="1" x14ac:dyDescent="0.3"/>
    <row r="5850" s="136" customFormat="1" x14ac:dyDescent="0.3"/>
    <row r="5851" s="136" customFormat="1" x14ac:dyDescent="0.3"/>
    <row r="5852" s="136" customFormat="1" x14ac:dyDescent="0.3"/>
    <row r="5853" s="136" customFormat="1" x14ac:dyDescent="0.3"/>
    <row r="5854" s="136" customFormat="1" x14ac:dyDescent="0.3"/>
    <row r="5855" s="136" customFormat="1" x14ac:dyDescent="0.3"/>
    <row r="5856" s="136" customFormat="1" x14ac:dyDescent="0.3"/>
    <row r="5857" s="136" customFormat="1" x14ac:dyDescent="0.3"/>
    <row r="5858" s="136" customFormat="1" x14ac:dyDescent="0.3"/>
    <row r="5859" s="136" customFormat="1" x14ac:dyDescent="0.3"/>
    <row r="5860" s="136" customFormat="1" x14ac:dyDescent="0.3"/>
    <row r="5861" s="136" customFormat="1" x14ac:dyDescent="0.3"/>
    <row r="5862" s="136" customFormat="1" x14ac:dyDescent="0.3"/>
    <row r="5863" s="136" customFormat="1" x14ac:dyDescent="0.3"/>
    <row r="5864" s="136" customFormat="1" x14ac:dyDescent="0.3"/>
    <row r="5865" s="136" customFormat="1" x14ac:dyDescent="0.3"/>
    <row r="5866" s="136" customFormat="1" x14ac:dyDescent="0.3"/>
    <row r="5867" s="136" customFormat="1" x14ac:dyDescent="0.3"/>
    <row r="5868" s="136" customFormat="1" x14ac:dyDescent="0.3"/>
    <row r="5869" s="136" customFormat="1" x14ac:dyDescent="0.3"/>
    <row r="5870" s="136" customFormat="1" x14ac:dyDescent="0.3"/>
    <row r="5871" s="136" customFormat="1" x14ac:dyDescent="0.3"/>
    <row r="5872" s="136" customFormat="1" x14ac:dyDescent="0.3"/>
    <row r="5873" s="136" customFormat="1" x14ac:dyDescent="0.3"/>
    <row r="5874" s="136" customFormat="1" x14ac:dyDescent="0.3"/>
    <row r="5875" s="136" customFormat="1" x14ac:dyDescent="0.3"/>
    <row r="5876" s="136" customFormat="1" x14ac:dyDescent="0.3"/>
    <row r="5877" s="136" customFormat="1" x14ac:dyDescent="0.3"/>
    <row r="5878" s="136" customFormat="1" x14ac:dyDescent="0.3"/>
    <row r="5879" s="136" customFormat="1" x14ac:dyDescent="0.3"/>
    <row r="5880" s="136" customFormat="1" x14ac:dyDescent="0.3"/>
    <row r="5881" s="136" customFormat="1" x14ac:dyDescent="0.3"/>
    <row r="5882" s="136" customFormat="1" x14ac:dyDescent="0.3"/>
    <row r="5883" s="136" customFormat="1" x14ac:dyDescent="0.3"/>
    <row r="5884" s="136" customFormat="1" x14ac:dyDescent="0.3"/>
    <row r="5885" s="136" customFormat="1" x14ac:dyDescent="0.3"/>
    <row r="5886" s="136" customFormat="1" x14ac:dyDescent="0.3"/>
    <row r="5887" s="136" customFormat="1" x14ac:dyDescent="0.3"/>
    <row r="5888" s="136" customFormat="1" x14ac:dyDescent="0.3"/>
    <row r="5889" s="136" customFormat="1" x14ac:dyDescent="0.3"/>
    <row r="5890" s="136" customFormat="1" x14ac:dyDescent="0.3"/>
    <row r="5891" s="136" customFormat="1" x14ac:dyDescent="0.3"/>
    <row r="5892" s="136" customFormat="1" x14ac:dyDescent="0.3"/>
    <row r="5893" s="136" customFormat="1" x14ac:dyDescent="0.3"/>
    <row r="5894" s="136" customFormat="1" x14ac:dyDescent="0.3"/>
    <row r="5895" s="136" customFormat="1" x14ac:dyDescent="0.3"/>
    <row r="5896" s="136" customFormat="1" x14ac:dyDescent="0.3"/>
    <row r="5897" s="136" customFormat="1" x14ac:dyDescent="0.3"/>
    <row r="5898" s="136" customFormat="1" x14ac:dyDescent="0.3"/>
    <row r="5899" s="136" customFormat="1" x14ac:dyDescent="0.3"/>
    <row r="5900" s="136" customFormat="1" x14ac:dyDescent="0.3"/>
    <row r="5901" s="136" customFormat="1" x14ac:dyDescent="0.3"/>
    <row r="5902" s="136" customFormat="1" x14ac:dyDescent="0.3"/>
    <row r="5903" s="136" customFormat="1" x14ac:dyDescent="0.3"/>
    <row r="5904" s="136" customFormat="1" x14ac:dyDescent="0.3"/>
    <row r="5905" s="136" customFormat="1" x14ac:dyDescent="0.3"/>
    <row r="5906" s="136" customFormat="1" x14ac:dyDescent="0.3"/>
    <row r="5907" s="136" customFormat="1" x14ac:dyDescent="0.3"/>
    <row r="5908" s="136" customFormat="1" x14ac:dyDescent="0.3"/>
    <row r="5909" s="136" customFormat="1" x14ac:dyDescent="0.3"/>
    <row r="5910" s="136" customFormat="1" x14ac:dyDescent="0.3"/>
    <row r="5911" s="136" customFormat="1" x14ac:dyDescent="0.3"/>
    <row r="5912" s="136" customFormat="1" x14ac:dyDescent="0.3"/>
    <row r="5913" s="136" customFormat="1" x14ac:dyDescent="0.3"/>
    <row r="5914" s="136" customFormat="1" x14ac:dyDescent="0.3"/>
    <row r="5915" s="136" customFormat="1" x14ac:dyDescent="0.3"/>
    <row r="5916" s="136" customFormat="1" x14ac:dyDescent="0.3"/>
    <row r="5917" s="136" customFormat="1" x14ac:dyDescent="0.3"/>
    <row r="5918" s="136" customFormat="1" x14ac:dyDescent="0.3"/>
    <row r="5919" s="136" customFormat="1" x14ac:dyDescent="0.3"/>
    <row r="5920" s="136" customFormat="1" x14ac:dyDescent="0.3"/>
    <row r="5921" s="136" customFormat="1" x14ac:dyDescent="0.3"/>
    <row r="5922" s="136" customFormat="1" x14ac:dyDescent="0.3"/>
    <row r="5923" s="136" customFormat="1" x14ac:dyDescent="0.3"/>
    <row r="5924" s="136" customFormat="1" x14ac:dyDescent="0.3"/>
    <row r="5925" s="136" customFormat="1" x14ac:dyDescent="0.3"/>
    <row r="5926" s="136" customFormat="1" x14ac:dyDescent="0.3"/>
    <row r="5927" s="136" customFormat="1" x14ac:dyDescent="0.3"/>
    <row r="5928" s="136" customFormat="1" x14ac:dyDescent="0.3"/>
    <row r="5929" s="136" customFormat="1" x14ac:dyDescent="0.3"/>
    <row r="5930" s="136" customFormat="1" x14ac:dyDescent="0.3"/>
    <row r="5931" s="136" customFormat="1" x14ac:dyDescent="0.3"/>
    <row r="5932" s="136" customFormat="1" x14ac:dyDescent="0.3"/>
    <row r="5933" s="136" customFormat="1" x14ac:dyDescent="0.3"/>
    <row r="5934" s="136" customFormat="1" x14ac:dyDescent="0.3"/>
    <row r="5935" s="136" customFormat="1" x14ac:dyDescent="0.3"/>
    <row r="5936" s="136" customFormat="1" x14ac:dyDescent="0.3"/>
    <row r="5937" s="136" customFormat="1" x14ac:dyDescent="0.3"/>
    <row r="5938" s="136" customFormat="1" x14ac:dyDescent="0.3"/>
    <row r="5939" s="136" customFormat="1" x14ac:dyDescent="0.3"/>
    <row r="5940" s="136" customFormat="1" x14ac:dyDescent="0.3"/>
    <row r="5941" s="136" customFormat="1" x14ac:dyDescent="0.3"/>
    <row r="5942" s="136" customFormat="1" x14ac:dyDescent="0.3"/>
    <row r="5943" s="136" customFormat="1" x14ac:dyDescent="0.3"/>
    <row r="5944" s="136" customFormat="1" x14ac:dyDescent="0.3"/>
    <row r="5945" s="136" customFormat="1" x14ac:dyDescent="0.3"/>
    <row r="5946" s="136" customFormat="1" x14ac:dyDescent="0.3"/>
    <row r="5947" s="136" customFormat="1" x14ac:dyDescent="0.3"/>
    <row r="5948" s="136" customFormat="1" x14ac:dyDescent="0.3"/>
    <row r="5949" s="136" customFormat="1" x14ac:dyDescent="0.3"/>
    <row r="5950" s="136" customFormat="1" x14ac:dyDescent="0.3"/>
    <row r="5951" s="136" customFormat="1" x14ac:dyDescent="0.3"/>
    <row r="5952" s="136" customFormat="1" x14ac:dyDescent="0.3"/>
    <row r="5953" s="136" customFormat="1" x14ac:dyDescent="0.3"/>
    <row r="5954" s="136" customFormat="1" x14ac:dyDescent="0.3"/>
    <row r="5955" s="136" customFormat="1" x14ac:dyDescent="0.3"/>
    <row r="5956" s="136" customFormat="1" x14ac:dyDescent="0.3"/>
    <row r="5957" s="136" customFormat="1" x14ac:dyDescent="0.3"/>
    <row r="5958" s="136" customFormat="1" x14ac:dyDescent="0.3"/>
    <row r="5959" s="136" customFormat="1" x14ac:dyDescent="0.3"/>
    <row r="5960" s="136" customFormat="1" x14ac:dyDescent="0.3"/>
    <row r="5961" s="136" customFormat="1" x14ac:dyDescent="0.3"/>
    <row r="5962" s="136" customFormat="1" x14ac:dyDescent="0.3"/>
    <row r="5963" s="136" customFormat="1" x14ac:dyDescent="0.3"/>
    <row r="5964" s="136" customFormat="1" x14ac:dyDescent="0.3"/>
    <row r="5965" s="136" customFormat="1" x14ac:dyDescent="0.3"/>
    <row r="5966" s="136" customFormat="1" x14ac:dyDescent="0.3"/>
    <row r="5967" s="136" customFormat="1" x14ac:dyDescent="0.3"/>
    <row r="5968" s="136" customFormat="1" x14ac:dyDescent="0.3"/>
    <row r="5969" s="136" customFormat="1" x14ac:dyDescent="0.3"/>
    <row r="5970" s="136" customFormat="1" x14ac:dyDescent="0.3"/>
    <row r="5971" s="136" customFormat="1" x14ac:dyDescent="0.3"/>
    <row r="5972" s="136" customFormat="1" x14ac:dyDescent="0.3"/>
    <row r="5973" s="136" customFormat="1" x14ac:dyDescent="0.3"/>
    <row r="5974" s="136" customFormat="1" x14ac:dyDescent="0.3"/>
    <row r="5975" s="136" customFormat="1" x14ac:dyDescent="0.3"/>
    <row r="5976" s="136" customFormat="1" x14ac:dyDescent="0.3"/>
    <row r="5977" s="136" customFormat="1" x14ac:dyDescent="0.3"/>
    <row r="5978" s="136" customFormat="1" x14ac:dyDescent="0.3"/>
    <row r="5979" s="136" customFormat="1" x14ac:dyDescent="0.3"/>
    <row r="5980" s="136" customFormat="1" x14ac:dyDescent="0.3"/>
    <row r="5981" s="136" customFormat="1" x14ac:dyDescent="0.3"/>
    <row r="5982" s="136" customFormat="1" x14ac:dyDescent="0.3"/>
    <row r="5983" s="136" customFormat="1" x14ac:dyDescent="0.3"/>
    <row r="5984" s="136" customFormat="1" x14ac:dyDescent="0.3"/>
    <row r="5985" s="136" customFormat="1" x14ac:dyDescent="0.3"/>
    <row r="5986" s="136" customFormat="1" x14ac:dyDescent="0.3"/>
    <row r="5987" s="136" customFormat="1" x14ac:dyDescent="0.3"/>
    <row r="5988" s="136" customFormat="1" x14ac:dyDescent="0.3"/>
    <row r="5989" s="136" customFormat="1" x14ac:dyDescent="0.3"/>
    <row r="5990" s="136" customFormat="1" x14ac:dyDescent="0.3"/>
    <row r="5991" s="136" customFormat="1" x14ac:dyDescent="0.3"/>
    <row r="5992" s="136" customFormat="1" x14ac:dyDescent="0.3"/>
    <row r="5993" s="136" customFormat="1" x14ac:dyDescent="0.3"/>
    <row r="5994" s="136" customFormat="1" x14ac:dyDescent="0.3"/>
    <row r="5995" s="136" customFormat="1" x14ac:dyDescent="0.3"/>
    <row r="5996" s="136" customFormat="1" x14ac:dyDescent="0.3"/>
    <row r="5997" s="136" customFormat="1" x14ac:dyDescent="0.3"/>
    <row r="5998" s="136" customFormat="1" x14ac:dyDescent="0.3"/>
    <row r="5999" s="136" customFormat="1" x14ac:dyDescent="0.3"/>
    <row r="6000" s="136" customFormat="1" x14ac:dyDescent="0.3"/>
    <row r="6001" s="136" customFormat="1" x14ac:dyDescent="0.3"/>
    <row r="6002" s="136" customFormat="1" x14ac:dyDescent="0.3"/>
    <row r="6003" s="136" customFormat="1" x14ac:dyDescent="0.3"/>
    <row r="6004" s="136" customFormat="1" x14ac:dyDescent="0.3"/>
    <row r="6005" s="136" customFormat="1" x14ac:dyDescent="0.3"/>
    <row r="6006" s="136" customFormat="1" x14ac:dyDescent="0.3"/>
    <row r="6007" s="136" customFormat="1" x14ac:dyDescent="0.3"/>
    <row r="6008" s="136" customFormat="1" x14ac:dyDescent="0.3"/>
    <row r="6009" s="136" customFormat="1" x14ac:dyDescent="0.3"/>
    <row r="6010" s="136" customFormat="1" x14ac:dyDescent="0.3"/>
    <row r="6011" s="136" customFormat="1" x14ac:dyDescent="0.3"/>
    <row r="6012" s="136" customFormat="1" x14ac:dyDescent="0.3"/>
    <row r="6013" s="136" customFormat="1" x14ac:dyDescent="0.3"/>
    <row r="6014" s="136" customFormat="1" x14ac:dyDescent="0.3"/>
    <row r="6015" s="136" customFormat="1" x14ac:dyDescent="0.3"/>
    <row r="6016" s="136" customFormat="1" x14ac:dyDescent="0.3"/>
    <row r="6017" s="136" customFormat="1" x14ac:dyDescent="0.3"/>
    <row r="6018" s="136" customFormat="1" x14ac:dyDescent="0.3"/>
    <row r="6019" s="136" customFormat="1" x14ac:dyDescent="0.3"/>
    <row r="6020" s="136" customFormat="1" x14ac:dyDescent="0.3"/>
    <row r="6021" s="136" customFormat="1" x14ac:dyDescent="0.3"/>
    <row r="6022" s="136" customFormat="1" x14ac:dyDescent="0.3"/>
    <row r="6023" s="136" customFormat="1" x14ac:dyDescent="0.3"/>
    <row r="6024" s="136" customFormat="1" x14ac:dyDescent="0.3"/>
    <row r="6025" s="136" customFormat="1" x14ac:dyDescent="0.3"/>
    <row r="6026" s="136" customFormat="1" x14ac:dyDescent="0.3"/>
    <row r="6027" s="136" customFormat="1" x14ac:dyDescent="0.3"/>
    <row r="6028" s="136" customFormat="1" x14ac:dyDescent="0.3"/>
    <row r="6029" s="136" customFormat="1" x14ac:dyDescent="0.3"/>
    <row r="6030" s="136" customFormat="1" x14ac:dyDescent="0.3"/>
    <row r="6031" s="136" customFormat="1" x14ac:dyDescent="0.3"/>
    <row r="6032" s="136" customFormat="1" x14ac:dyDescent="0.3"/>
    <row r="6033" s="136" customFormat="1" x14ac:dyDescent="0.3"/>
    <row r="6034" s="136" customFormat="1" x14ac:dyDescent="0.3"/>
    <row r="6035" s="136" customFormat="1" x14ac:dyDescent="0.3"/>
    <row r="6036" s="136" customFormat="1" x14ac:dyDescent="0.3"/>
    <row r="6037" s="136" customFormat="1" x14ac:dyDescent="0.3"/>
    <row r="6038" s="136" customFormat="1" x14ac:dyDescent="0.3"/>
    <row r="6039" s="136" customFormat="1" x14ac:dyDescent="0.3"/>
    <row r="6040" s="136" customFormat="1" x14ac:dyDescent="0.3"/>
    <row r="6041" s="136" customFormat="1" x14ac:dyDescent="0.3"/>
    <row r="6042" s="136" customFormat="1" x14ac:dyDescent="0.3"/>
    <row r="6043" s="136" customFormat="1" x14ac:dyDescent="0.3"/>
    <row r="6044" s="136" customFormat="1" x14ac:dyDescent="0.3"/>
    <row r="6045" s="136" customFormat="1" x14ac:dyDescent="0.3"/>
    <row r="6046" s="136" customFormat="1" x14ac:dyDescent="0.3"/>
    <row r="6047" s="136" customFormat="1" x14ac:dyDescent="0.3"/>
    <row r="6048" s="136" customFormat="1" x14ac:dyDescent="0.3"/>
    <row r="6049" s="136" customFormat="1" x14ac:dyDescent="0.3"/>
    <row r="6050" s="136" customFormat="1" x14ac:dyDescent="0.3"/>
    <row r="6051" s="136" customFormat="1" x14ac:dyDescent="0.3"/>
    <row r="6052" s="136" customFormat="1" x14ac:dyDescent="0.3"/>
    <row r="6053" s="136" customFormat="1" x14ac:dyDescent="0.3"/>
    <row r="6054" s="136" customFormat="1" x14ac:dyDescent="0.3"/>
    <row r="6055" s="136" customFormat="1" x14ac:dyDescent="0.3"/>
    <row r="6056" s="136" customFormat="1" x14ac:dyDescent="0.3"/>
    <row r="6057" s="136" customFormat="1" x14ac:dyDescent="0.3"/>
    <row r="6058" s="136" customFormat="1" x14ac:dyDescent="0.3"/>
    <row r="6059" s="136" customFormat="1" x14ac:dyDescent="0.3"/>
    <row r="6060" s="136" customFormat="1" x14ac:dyDescent="0.3"/>
    <row r="6061" s="136" customFormat="1" x14ac:dyDescent="0.3"/>
    <row r="6062" s="136" customFormat="1" x14ac:dyDescent="0.3"/>
    <row r="6063" s="136" customFormat="1" x14ac:dyDescent="0.3"/>
    <row r="6064" s="136" customFormat="1" x14ac:dyDescent="0.3"/>
    <row r="6065" s="136" customFormat="1" x14ac:dyDescent="0.3"/>
    <row r="6066" s="136" customFormat="1" x14ac:dyDescent="0.3"/>
    <row r="6067" s="136" customFormat="1" x14ac:dyDescent="0.3"/>
    <row r="6068" s="136" customFormat="1" x14ac:dyDescent="0.3"/>
    <row r="6069" s="136" customFormat="1" x14ac:dyDescent="0.3"/>
    <row r="6070" s="136" customFormat="1" x14ac:dyDescent="0.3"/>
    <row r="6071" s="136" customFormat="1" x14ac:dyDescent="0.3"/>
    <row r="6072" s="136" customFormat="1" x14ac:dyDescent="0.3"/>
    <row r="6073" s="136" customFormat="1" x14ac:dyDescent="0.3"/>
    <row r="6074" s="136" customFormat="1" x14ac:dyDescent="0.3"/>
    <row r="6075" s="136" customFormat="1" x14ac:dyDescent="0.3"/>
    <row r="6076" s="136" customFormat="1" x14ac:dyDescent="0.3"/>
    <row r="6077" s="136" customFormat="1" x14ac:dyDescent="0.3"/>
    <row r="6078" s="136" customFormat="1" x14ac:dyDescent="0.3"/>
    <row r="6079" s="136" customFormat="1" x14ac:dyDescent="0.3"/>
    <row r="6080" s="136" customFormat="1" x14ac:dyDescent="0.3"/>
    <row r="6081" s="136" customFormat="1" x14ac:dyDescent="0.3"/>
    <row r="6082" s="136" customFormat="1" x14ac:dyDescent="0.3"/>
    <row r="6083" s="136" customFormat="1" x14ac:dyDescent="0.3"/>
    <row r="6084" s="136" customFormat="1" x14ac:dyDescent="0.3"/>
    <row r="6085" s="136" customFormat="1" x14ac:dyDescent="0.3"/>
    <row r="6086" s="136" customFormat="1" x14ac:dyDescent="0.3"/>
    <row r="6087" s="136" customFormat="1" x14ac:dyDescent="0.3"/>
    <row r="6088" s="136" customFormat="1" x14ac:dyDescent="0.3"/>
    <row r="6089" s="136" customFormat="1" x14ac:dyDescent="0.3"/>
    <row r="6090" s="136" customFormat="1" x14ac:dyDescent="0.3"/>
    <row r="6091" s="136" customFormat="1" x14ac:dyDescent="0.3"/>
    <row r="6092" s="136" customFormat="1" x14ac:dyDescent="0.3"/>
    <row r="6093" s="136" customFormat="1" x14ac:dyDescent="0.3"/>
    <row r="6094" s="136" customFormat="1" x14ac:dyDescent="0.3"/>
    <row r="6095" s="136" customFormat="1" x14ac:dyDescent="0.3"/>
    <row r="6096" s="136" customFormat="1" x14ac:dyDescent="0.3"/>
    <row r="6097" s="136" customFormat="1" x14ac:dyDescent="0.3"/>
    <row r="6098" s="136" customFormat="1" x14ac:dyDescent="0.3"/>
    <row r="6099" s="136" customFormat="1" x14ac:dyDescent="0.3"/>
    <row r="6100" s="136" customFormat="1" x14ac:dyDescent="0.3"/>
    <row r="6101" s="136" customFormat="1" x14ac:dyDescent="0.3"/>
    <row r="6102" s="136" customFormat="1" x14ac:dyDescent="0.3"/>
    <row r="6103" s="136" customFormat="1" x14ac:dyDescent="0.3"/>
    <row r="6104" s="136" customFormat="1" x14ac:dyDescent="0.3"/>
    <row r="6105" s="136" customFormat="1" x14ac:dyDescent="0.3"/>
    <row r="6106" s="136" customFormat="1" x14ac:dyDescent="0.3"/>
    <row r="6107" s="136" customFormat="1" x14ac:dyDescent="0.3"/>
    <row r="6108" s="136" customFormat="1" x14ac:dyDescent="0.3"/>
    <row r="6109" s="136" customFormat="1" x14ac:dyDescent="0.3"/>
    <row r="6110" s="136" customFormat="1" x14ac:dyDescent="0.3"/>
    <row r="6111" s="136" customFormat="1" x14ac:dyDescent="0.3"/>
    <row r="6112" s="136" customFormat="1" x14ac:dyDescent="0.3"/>
  </sheetData>
  <phoneticPr fontId="8" type="noConversion"/>
  <pageMargins left="0.7" right="0.7" top="0.75" bottom="0.75" header="0.3" footer="0.3"/>
  <pageSetup orientation="portrait" r:id="rId1"/>
  <ignoredErrors>
    <ignoredError sqref="D47 D10:D11" formula="1"/>
  </ignoredErrors>
  <legacyDrawing r:id="rId2"/>
  <tableParts count="1">
    <tablePart r:id="rId3"/>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C1A514-2543-4FC5-AB93-63A6BAF504C2}">
  <dimension ref="A1:R39"/>
  <sheetViews>
    <sheetView showGridLines="0" topLeftCell="A11" zoomScale="70" zoomScaleNormal="70" workbookViewId="0">
      <selection activeCell="K17" sqref="K17"/>
    </sheetView>
  </sheetViews>
  <sheetFormatPr defaultColWidth="8.88671875" defaultRowHeight="14.4" x14ac:dyDescent="0.3"/>
  <cols>
    <col min="1" max="1" width="2.6640625" customWidth="1"/>
    <col min="2" max="2" width="26.5546875" customWidth="1"/>
    <col min="3" max="3" width="19.33203125" customWidth="1"/>
    <col min="4" max="4" width="22.33203125" customWidth="1"/>
    <col min="5" max="5" width="17.5546875" customWidth="1"/>
    <col min="6" max="6" width="19" customWidth="1"/>
    <col min="13" max="13" width="10.6640625" bestFit="1" customWidth="1"/>
    <col min="14" max="14" width="13.109375" bestFit="1" customWidth="1"/>
    <col min="15" max="15" width="18.109375" customWidth="1"/>
    <col min="16" max="16" width="38.6640625" customWidth="1"/>
    <col min="17" max="17" width="16.33203125" customWidth="1"/>
  </cols>
  <sheetData>
    <row r="1" spans="1:18" ht="30.75" customHeight="1" x14ac:dyDescent="0.4">
      <c r="A1" s="15"/>
      <c r="B1" s="15" t="s">
        <v>223</v>
      </c>
      <c r="C1" s="21"/>
      <c r="D1" s="21" t="s">
        <v>162</v>
      </c>
      <c r="E1" s="15">
        <f>KPI_CurWeekFocus</f>
        <v>30</v>
      </c>
      <c r="F1" s="52"/>
      <c r="G1" s="21"/>
      <c r="H1" s="21"/>
      <c r="I1" s="21"/>
      <c r="J1" s="21"/>
      <c r="K1" s="21"/>
      <c r="L1" s="21"/>
      <c r="M1" s="21"/>
      <c r="N1" s="21"/>
      <c r="O1" s="21"/>
      <c r="P1" s="21"/>
      <c r="Q1" s="21"/>
      <c r="R1" s="21"/>
    </row>
    <row r="3" spans="1:18" ht="15.6" x14ac:dyDescent="0.3">
      <c r="B3" s="49" t="s">
        <v>482</v>
      </c>
      <c r="C3" s="50"/>
      <c r="D3" s="163"/>
      <c r="E3" s="46"/>
      <c r="F3" s="46" t="s">
        <v>669</v>
      </c>
      <c r="G3" s="47"/>
      <c r="H3" s="48"/>
      <c r="I3" s="48"/>
      <c r="J3" s="48"/>
      <c r="L3" s="49" t="s">
        <v>573</v>
      </c>
      <c r="M3" s="50"/>
      <c r="N3" s="48"/>
      <c r="O3" s="48"/>
      <c r="P3" s="48"/>
      <c r="Q3" s="48"/>
      <c r="R3" s="48"/>
    </row>
    <row r="4" spans="1:18" x14ac:dyDescent="0.3">
      <c r="B4" s="5" t="s">
        <v>481</v>
      </c>
      <c r="C4" s="5">
        <f>KPI_TotalSites</f>
        <v>100</v>
      </c>
    </row>
    <row r="5" spans="1:18" x14ac:dyDescent="0.3">
      <c r="B5" s="53" t="s">
        <v>566</v>
      </c>
      <c r="C5" s="54">
        <f>'C. Deployment KPIs'!D53</f>
        <v>10</v>
      </c>
      <c r="D5" s="162"/>
    </row>
    <row r="6" spans="1:18" x14ac:dyDescent="0.3">
      <c r="B6" s="53" t="s">
        <v>567</v>
      </c>
      <c r="C6" s="54">
        <f>'C. Deployment KPIs'!D54</f>
        <v>90</v>
      </c>
      <c r="D6" s="162"/>
    </row>
    <row r="7" spans="1:18" x14ac:dyDescent="0.3">
      <c r="B7" s="53" t="str">
        <f>"% Progress Planned at week "&amp;KPI_CurWeekFocus</f>
        <v>% Progress Planned at week 30</v>
      </c>
      <c r="C7" s="55">
        <f>'C. Deployment KPIs'!D43</f>
        <v>0.50376623376623375</v>
      </c>
      <c r="D7" s="162"/>
    </row>
    <row r="8" spans="1:18" x14ac:dyDescent="0.3">
      <c r="B8" s="53" t="str">
        <f>"% Progress Achieved at week "&amp;KPI_CurWeekFocus</f>
        <v>% Progress Achieved at week 30</v>
      </c>
      <c r="C8" s="55">
        <f>KPI_PercentCompleteProject</f>
        <v>0.55831168831168831</v>
      </c>
      <c r="D8" s="13"/>
    </row>
    <row r="9" spans="1:18" x14ac:dyDescent="0.3">
      <c r="B9" s="53" t="str">
        <f>"Value of Work Completed (EV) at Week "&amp;KPI_CurWeekFocus</f>
        <v>Value of Work Completed (EV) at Week 30</v>
      </c>
      <c r="C9" s="56">
        <f>KPI_EV_Accumulated</f>
        <v>429900</v>
      </c>
      <c r="D9" s="12"/>
    </row>
    <row r="10" spans="1:18" x14ac:dyDescent="0.3">
      <c r="B10" s="53" t="str">
        <f>"Actual Costs (AC) at Week "&amp;KPI_CurWeekFocus</f>
        <v>Actual Costs (AC) at Week 30</v>
      </c>
      <c r="C10" s="56">
        <f>'C. Deployment KPIs'!D34</f>
        <v>296400</v>
      </c>
      <c r="D10" s="12"/>
    </row>
    <row r="11" spans="1:18" x14ac:dyDescent="0.3">
      <c r="B11" s="53" t="str">
        <f>"Planned Value (PV) at Week "&amp;KPI_CurWeekFocus</f>
        <v>Planned Value (PV) at Week 30</v>
      </c>
      <c r="C11" s="56">
        <f>'C. Deployment KPIs'!D35</f>
        <v>387900</v>
      </c>
      <c r="D11" s="12"/>
      <c r="N11" t="s">
        <v>580</v>
      </c>
    </row>
    <row r="12" spans="1:18" x14ac:dyDescent="0.3">
      <c r="B12" s="53" t="s">
        <v>539</v>
      </c>
      <c r="C12" s="56">
        <f>KPI_BAC</f>
        <v>770000</v>
      </c>
      <c r="D12" s="12"/>
    </row>
    <row r="13" spans="1:18" x14ac:dyDescent="0.3">
      <c r="B13" s="53" t="str">
        <f>"Schedule Variance (SV) at Week "&amp;KPI_CurWeekFocus</f>
        <v>Schedule Variance (SV) at Week 30</v>
      </c>
      <c r="C13" s="56">
        <f>'C. Deployment KPIs'!D37</f>
        <v>-91500</v>
      </c>
      <c r="D13" s="161">
        <f>C13</f>
        <v>-91500</v>
      </c>
    </row>
    <row r="14" spans="1:18" x14ac:dyDescent="0.3">
      <c r="B14" s="53" t="str">
        <f>"Cost Variance (CV) at Week "&amp;KPI_CurWeekFocus</f>
        <v>Cost Variance (CV) at Week 30</v>
      </c>
      <c r="C14" s="56">
        <f>'C. Deployment KPIs'!D38</f>
        <v>-17905</v>
      </c>
      <c r="D14" s="161">
        <f>C14</f>
        <v>-17905</v>
      </c>
    </row>
    <row r="15" spans="1:18" x14ac:dyDescent="0.3">
      <c r="B15" s="53" t="s">
        <v>433</v>
      </c>
      <c r="C15" s="57">
        <f>'C. Deployment KPIs'!D39</f>
        <v>0.76411446249033255</v>
      </c>
      <c r="D15" s="161">
        <f>C15</f>
        <v>0.76411446249033255</v>
      </c>
    </row>
    <row r="16" spans="1:18" x14ac:dyDescent="0.3">
      <c r="B16" s="53" t="s">
        <v>402</v>
      </c>
      <c r="C16" s="57">
        <f>'C. Deployment KPIs'!D40</f>
        <v>0.94303304115429276</v>
      </c>
      <c r="D16" s="161">
        <f>C16</f>
        <v>0.94303304115429276</v>
      </c>
    </row>
    <row r="17" spans="2:3" x14ac:dyDescent="0.3">
      <c r="B17" s="53" t="s">
        <v>581</v>
      </c>
      <c r="C17" s="56">
        <f>'C. Deployment KPIs'!D41</f>
        <v>816514.33873144398</v>
      </c>
    </row>
    <row r="18" spans="2:3" x14ac:dyDescent="0.3">
      <c r="B18" s="53"/>
      <c r="C18" s="54"/>
    </row>
    <row r="19" spans="2:3" x14ac:dyDescent="0.3">
      <c r="B19" s="53"/>
      <c r="C19" s="53"/>
    </row>
    <row r="33" spans="2:6" ht="15.6" x14ac:dyDescent="0.3">
      <c r="B33" s="49" t="s">
        <v>583</v>
      </c>
      <c r="C33" s="51"/>
      <c r="D33" s="51"/>
      <c r="E33" s="51"/>
      <c r="F33" s="51"/>
    </row>
    <row r="34" spans="2:6" x14ac:dyDescent="0.3">
      <c r="B34" s="58" t="s">
        <v>577</v>
      </c>
      <c r="C34" s="58" t="s">
        <v>574</v>
      </c>
      <c r="D34" s="58" t="s">
        <v>575</v>
      </c>
      <c r="E34" s="58" t="s">
        <v>576</v>
      </c>
      <c r="F34" s="58" t="s">
        <v>34</v>
      </c>
    </row>
    <row r="35" spans="2:6" x14ac:dyDescent="0.3">
      <c r="B35" s="58">
        <f>1</f>
        <v>1</v>
      </c>
      <c r="C35" s="98" t="str" cm="1">
        <f t="array" ref="C35">INDEX('C. Deployment KPIs'!$H$98:$H$127,SMALL(IF('C. Deployment KPIs'!$D$98:$D$127='D. Dashboard'!E35,ROW('C. Deployment KPIs'!$D$98:$D$127)-ROW('C. Deployment KPIs'!$D$97)),COUNTIF(E35:E35,E35)))</f>
        <v>CA00257</v>
      </c>
      <c r="D35" s="98" t="str" cm="1">
        <f t="array" ref="D35">INDEX('C. Deployment KPIs'!$G$98:$G$127,SMALL(IF('C. Deployment KPIs'!$D$98:$D$127='D. Dashboard'!E35,ROW('C. Deployment KPIs'!$D$98:$D$127)-ROW('C. Deployment KPIs'!$D$97)),
COUNTIF(E35:E35,E35)))</f>
        <v>SiteInOperations</v>
      </c>
      <c r="E35" s="58">
        <f>LARGE(('C. Deployment KPIs'!D99,'C. Deployment KPIs'!D102,'C. Deployment KPIs'!D105,'C. Deployment KPIs'!D108,'C. Deployment KPIs'!D111,'C. Deployment KPIs'!D114,'C. Deployment KPIs'!D117,'C. Deployment KPIs'!D120,'C. Deployment KPIs'!D123,'C. Deployment KPIs'!D126),1)</f>
        <v>18</v>
      </c>
      <c r="F35" s="98" t="str" cm="1">
        <f t="array" ref="F35">INDEX('C. Deployment KPIs'!$I$98:$I$127,SMALL(IF('C. Deployment KPIs'!$D$98:$D$127='D. Dashboard'!E35,ROW('C. Deployment KPIs'!$D$98:$D$127)-ROW('C. Deployment KPIs'!$D$97)),COUNTIF(E35:E35,E35)))</f>
        <v>Center</v>
      </c>
    </row>
    <row r="36" spans="2:6" x14ac:dyDescent="0.3">
      <c r="B36" s="58">
        <f>2</f>
        <v>2</v>
      </c>
      <c r="C36" s="98" t="str" cm="1">
        <f t="array" ref="C36">INDEX('C. Deployment KPIs'!$H$98:$H$127,SMALL(IF('C. Deployment KPIs'!$D$98:$D$127='D. Dashboard'!E36,ROW('C. Deployment KPIs'!$D$98:$D$127)-ROW('C. Deployment KPIs'!$D$97)),COUNTIF(E36:E36,E36)))</f>
        <v>AN00262</v>
      </c>
      <c r="D36" s="98" t="str" cm="1">
        <f t="array" ref="D36">INDEX('C. Deployment KPIs'!$G$98:$G$127,SMALL(IF('C. Deployment KPIs'!$D$98:$D$127='D. Dashboard'!E36,ROW('C. Deployment KPIs'!$D$98:$D$127)-ROW('C. Deployment KPIs'!$D$97)),
COUNTIF(E36:E36,E36)))</f>
        <v>TX_Ready</v>
      </c>
      <c r="E36" s="58">
        <f>IF(LARGE(('C. Deployment KPIs'!D99,'C. Deployment KPIs'!D102,'C. Deployment KPIs'!D105,'C. Deployment KPIs'!D108,'C. Deployment KPIs'!D111,'C. Deployment KPIs'!D114,'C. Deployment KPIs'!D117,'C. Deployment KPIs'!D120,'C. Deployment KPIs'!D123,'C. Deployment KPIs'!D126),2)=E35,LARGE(('C. Deployment KPIs'!D99,'C. Deployment KPIs'!D102,'C. Deployment KPIs'!D105,'C. Deployment KPIs'!D108,'C. Deployment KPIs'!D111,'C. Deployment KPIs'!D114,'C. Deployment KPIs'!D117,'C. Deployment KPIs'!D120,'C. Deployment KPIs'!D123,'C. Deployment KPIs'!D126),3),LARGE(('C. Deployment KPIs'!D99,'C. Deployment KPIs'!D102,'C. Deployment KPIs'!D105,'C. Deployment KPIs'!D108,'C. Deployment KPIs'!D111,'C. Deployment KPIs'!D114,'C. Deployment KPIs'!D117,'C. Deployment KPIs'!D120,'C. Deployment KPIs'!D123,'C. Deployment KPIs'!D126),2))</f>
        <v>17</v>
      </c>
      <c r="F36" s="98" t="str" cm="1">
        <f t="array" ref="F36">INDEX('C. Deployment KPIs'!$I$98:$I$127,SMALL(IF('C. Deployment KPIs'!$D$98:$D$127='D. Dashboard'!E36,ROW('C. Deployment KPIs'!$D$98:$D$127)-ROW('C. Deployment KPIs'!$D$97)),COUNTIF(E36:E36,E36)))</f>
        <v>South</v>
      </c>
    </row>
    <row r="37" spans="2:6" x14ac:dyDescent="0.3">
      <c r="B37" s="58">
        <f>3</f>
        <v>3</v>
      </c>
      <c r="C37" s="98" t="str" cm="1">
        <f t="array" ref="C37">INDEX('C. Deployment KPIs'!$H$98:$H$127,SMALL(IF('C. Deployment KPIs'!$D$98:$D$127='D. Dashboard'!E37,ROW('C. Deployment KPIs'!$D$98:$D$127)-ROW('C. Deployment KPIs'!$D$97)),COUNTIF(E37:E37,E37)))</f>
        <v>CA00135</v>
      </c>
      <c r="D37" s="98" t="str" cm="1">
        <f t="array" ref="D37">INDEX('C. Deployment KPIs'!$G$98:$G$127,SMALL(IF('C. Deployment KPIs'!$D$98:$D$127='D. Dashboard'!E37,ROW('C. Deployment KPIs'!$D$98:$D$127)-ROW('C. Deployment KPIs'!$D$97)),
COUNTIF(E37:E37,E37)))</f>
        <v>SiteReadyForIntegration</v>
      </c>
      <c r="E37" s="58">
        <f>IF(LARGE(('C. Deployment KPIs'!D99,'C. Deployment KPIs'!D102,'C. Deployment KPIs'!D105,'C. Deployment KPIs'!D108,'C. Deployment KPIs'!D111,'C. Deployment KPIs'!D114,'C. Deployment KPIs'!D117,'C. Deployment KPIs'!D120,'C. Deployment KPIs'!D123,'C. Deployment KPIs'!D126),2)=E36,LARGE(('C. Deployment KPIs'!D99,'C. Deployment KPIs'!D102,'C. Deployment KPIs'!D105,'C. Deployment KPIs'!D108,'C. Deployment KPIs'!D111,'C. Deployment KPIs'!D114,'C. Deployment KPIs'!D117,'C. Deployment KPIs'!D120,'C. Deployment KPIs'!D123,'C. Deployment KPIs'!D126),4),LARGE(('C. Deployment KPIs'!D99,'C. Deployment KPIs'!D102,'C. Deployment KPIs'!D105,'C. Deployment KPIs'!D108,'C. Deployment KPIs'!D111,'C. Deployment KPIs'!D114,'C. Deployment KPIs'!D117,'C. Deployment KPIs'!D120,'C. Deployment KPIs'!D123,'C. Deployment KPIs'!D126),3))</f>
        <v>9</v>
      </c>
      <c r="F37" s="98" t="str" cm="1">
        <f t="array" ref="F37">INDEX('C. Deployment KPIs'!$I$98:$I$127,SMALL(IF('C. Deployment KPIs'!$D$98:$D$127='D. Dashboard'!E37,ROW('C. Deployment KPIs'!$D$98:$D$127)-ROW('C. Deployment KPIs'!$D$97)),COUNTIF(E37:E37,E37)))</f>
        <v>North</v>
      </c>
    </row>
    <row r="38" spans="2:6" x14ac:dyDescent="0.3">
      <c r="B38" s="58">
        <f>4</f>
        <v>4</v>
      </c>
      <c r="C38" s="98" t="str" cm="1">
        <f t="array" ref="C38">INDEX('C. Deployment KPIs'!$H$98:$H$127,SMALL(IF('C. Deployment KPIs'!$D$98:$D$127='D. Dashboard'!E38,ROW('C. Deployment KPIs'!$D$98:$D$127)-ROW('C. Deployment KPIs'!$D$97)),COUNTIF(E38:E38,E38)))</f>
        <v>CA00135</v>
      </c>
      <c r="D38" s="98" t="str" cm="1">
        <f t="array" ref="D38">INDEX('C. Deployment KPIs'!$G$98:$G$127,SMALL(IF('C. Deployment KPIs'!$D$98:$D$127='D. Dashboard'!E38,ROW('C. Deployment KPIs'!$D$98:$D$127)-ROW('C. Deployment KPIs'!$D$97)),
COUNTIF(E38:E38,E38)))</f>
        <v>SiteReadyForIntegration</v>
      </c>
      <c r="E38" s="58">
        <f>IF(LARGE(('C. Deployment KPIs'!D99,'C. Deployment KPIs'!D102,'C. Deployment KPIs'!D105,'C. Deployment KPIs'!D108,'C. Deployment KPIs'!D111,'C. Deployment KPIs'!D114,'C. Deployment KPIs'!D117,'C. Deployment KPIs'!D120,'C. Deployment KPIs'!D123,'C. Deployment KPIs'!D126),2)=E37,LARGE(('C. Deployment KPIs'!D99,'C. Deployment KPIs'!D102,'C. Deployment KPIs'!D105,'C. Deployment KPIs'!D108,'C. Deployment KPIs'!D111,'C. Deployment KPIs'!D114,'C. Deployment KPIs'!D117,'C. Deployment KPIs'!D120,'C. Deployment KPIs'!D123,'C. Deployment KPIs'!D126),5),LARGE(('C. Deployment KPIs'!D99,'C. Deployment KPIs'!D102,'C. Deployment KPIs'!D105,'C. Deployment KPIs'!D108,'C. Deployment KPIs'!D111,'C. Deployment KPIs'!D114,'C. Deployment KPIs'!D117,'C. Deployment KPIs'!D120,'C. Deployment KPIs'!D123,'C. Deployment KPIs'!D126),4))</f>
        <v>9</v>
      </c>
      <c r="F38" s="98" t="str" cm="1">
        <f t="array" ref="F38">INDEX('C. Deployment KPIs'!$I$98:$I$127,SMALL(IF('C. Deployment KPIs'!$D$98:$D$127='D. Dashboard'!E38,ROW('C. Deployment KPIs'!$D$98:$D$127)-ROW('C. Deployment KPIs'!$D$97)),COUNTIF(E38:E38,E38)))</f>
        <v>North</v>
      </c>
    </row>
    <row r="39" spans="2:6" x14ac:dyDescent="0.3">
      <c r="B39" s="58">
        <f>5</f>
        <v>5</v>
      </c>
      <c r="C39" s="98" t="str" cm="1">
        <f t="array" ref="C39">INDEX('C. Deployment KPIs'!$H$98:$H$127,SMALL(IF('C. Deployment KPIs'!$D$98:$D$127='D. Dashboard'!E39,ROW('C. Deployment KPIs'!$D$98:$D$127)-ROW('C. Deployment KPIs'!$D$97)),COUNTIF(E39:E39,E39)))</f>
        <v>FE00941</v>
      </c>
      <c r="D39" s="98" t="str" cm="1">
        <f t="array" ref="D39">INDEX('C. Deployment KPIs'!$G$98:$G$127,SMALL(IF('C. Deployment KPIs'!$D$98:$D$127='D. Dashboard'!E39,ROW('C. Deployment KPIs'!$D$98:$D$127)-ROW('C. Deployment KPIs'!$D$97)),
COUNTIF(E39:E39,E39)))</f>
        <v>SiteReadyForCW</v>
      </c>
      <c r="E39" s="58">
        <f>IF(LARGE(('C. Deployment KPIs'!D99,'C. Deployment KPIs'!D102,'C. Deployment KPIs'!D105,'C. Deployment KPIs'!D108,'C. Deployment KPIs'!D111,'C. Deployment KPIs'!D114,'C. Deployment KPIs'!D117,'C. Deployment KPIs'!D120,'C. Deployment KPIs'!D123,'C. Deployment KPIs'!D126),5)=E38,LARGE(('C. Deployment KPIs'!D99,'C. Deployment KPIs'!D102,'C. Deployment KPIs'!D105,'C. Deployment KPIs'!D108,'C. Deployment KPIs'!D111,'C. Deployment KPIs'!D114,'C. Deployment KPIs'!D117,'C. Deployment KPIs'!D120,'C. Deployment KPIs'!D123,'C. Deployment KPIs'!D126),6),LARGE(('C. Deployment KPIs'!D99,'C. Deployment KPIs'!D102,'C. Deployment KPIs'!D105,'C. Deployment KPIs'!D108,'C. Deployment KPIs'!D111,'C. Deployment KPIs'!D114,'C. Deployment KPIs'!D117,'C. Deployment KPIs'!D120,'C. Deployment KPIs'!D123,'C. Deployment KPIs'!D126),5))</f>
        <v>8</v>
      </c>
      <c r="F39" s="98" t="str" cm="1">
        <f t="array" ref="F39">INDEX('C. Deployment KPIs'!$I$98:$I$127,SMALL(IF('C. Deployment KPIs'!$D$98:$D$127='D. Dashboard'!E39,ROW('C. Deployment KPIs'!$D$98:$D$127)-ROW('C. Deployment KPIs'!$D$97)),COUNTIF(E39:E39,E39)))</f>
        <v>Center</v>
      </c>
    </row>
  </sheetData>
  <conditionalFormatting sqref="D15">
    <cfRule type="iconSet" priority="4">
      <iconSet>
        <cfvo type="percent" val="0"/>
        <cfvo type="num" val="0.7"/>
        <cfvo type="num" val="0.9"/>
      </iconSet>
    </cfRule>
  </conditionalFormatting>
  <conditionalFormatting sqref="D16">
    <cfRule type="iconSet" priority="3">
      <iconSet>
        <cfvo type="percent" val="0"/>
        <cfvo type="num" val="0.7"/>
        <cfvo type="num" val="0.9"/>
      </iconSet>
    </cfRule>
  </conditionalFormatting>
  <conditionalFormatting sqref="D13">
    <cfRule type="iconSet" priority="2">
      <iconSet>
        <cfvo type="percent" val="0"/>
        <cfvo type="num" val="-1000"/>
        <cfvo type="num" val="0"/>
      </iconSet>
    </cfRule>
  </conditionalFormatting>
  <conditionalFormatting sqref="D14">
    <cfRule type="iconSet" priority="1">
      <iconSet>
        <cfvo type="percent" val="0"/>
        <cfvo type="num" val="-1000"/>
        <cfvo type="num" val="0"/>
      </iconSet>
    </cfRule>
  </conditionalFormatting>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669DFC-E931-426C-B23F-A8AEA2B60351}">
  <dimension ref="A1:B14"/>
  <sheetViews>
    <sheetView workbookViewId="0">
      <selection activeCell="F24" sqref="F24"/>
    </sheetView>
  </sheetViews>
  <sheetFormatPr defaultColWidth="8.88671875" defaultRowHeight="14.4" x14ac:dyDescent="0.3"/>
  <cols>
    <col min="1" max="1" width="17.5546875" customWidth="1"/>
    <col min="2" max="2" width="26.88671875" customWidth="1"/>
  </cols>
  <sheetData>
    <row r="1" spans="1:2" x14ac:dyDescent="0.3">
      <c r="A1" t="s">
        <v>445</v>
      </c>
      <c r="B1" t="s">
        <v>444</v>
      </c>
    </row>
    <row r="2" spans="1:2" x14ac:dyDescent="0.3">
      <c r="A2">
        <f>ROW()-2</f>
        <v>0</v>
      </c>
      <c r="B2" t="s">
        <v>472</v>
      </c>
    </row>
    <row r="3" spans="1:2" x14ac:dyDescent="0.3">
      <c r="A3">
        <f t="shared" ref="A3:A14" si="0">ROW()-2</f>
        <v>1</v>
      </c>
      <c r="B3" t="s">
        <v>446</v>
      </c>
    </row>
    <row r="4" spans="1:2" x14ac:dyDescent="0.3">
      <c r="A4">
        <f t="shared" si="0"/>
        <v>2</v>
      </c>
      <c r="B4" t="s">
        <v>447</v>
      </c>
    </row>
    <row r="5" spans="1:2" x14ac:dyDescent="0.3">
      <c r="A5">
        <f t="shared" si="0"/>
        <v>3</v>
      </c>
      <c r="B5" t="s">
        <v>541</v>
      </c>
    </row>
    <row r="6" spans="1:2" x14ac:dyDescent="0.3">
      <c r="A6">
        <f t="shared" si="0"/>
        <v>4</v>
      </c>
      <c r="B6" t="s">
        <v>542</v>
      </c>
    </row>
    <row r="7" spans="1:2" x14ac:dyDescent="0.3">
      <c r="A7">
        <f t="shared" si="0"/>
        <v>5</v>
      </c>
      <c r="B7" t="s">
        <v>448</v>
      </c>
    </row>
    <row r="8" spans="1:2" x14ac:dyDescent="0.3">
      <c r="A8">
        <f t="shared" si="0"/>
        <v>6</v>
      </c>
      <c r="B8" t="s">
        <v>453</v>
      </c>
    </row>
    <row r="9" spans="1:2" x14ac:dyDescent="0.3">
      <c r="A9">
        <f t="shared" si="0"/>
        <v>7</v>
      </c>
      <c r="B9" t="s">
        <v>454</v>
      </c>
    </row>
    <row r="10" spans="1:2" x14ac:dyDescent="0.3">
      <c r="A10">
        <f t="shared" si="0"/>
        <v>8</v>
      </c>
      <c r="B10" t="s">
        <v>455</v>
      </c>
    </row>
    <row r="11" spans="1:2" x14ac:dyDescent="0.3">
      <c r="A11">
        <f t="shared" si="0"/>
        <v>9</v>
      </c>
      <c r="B11" t="s">
        <v>458</v>
      </c>
    </row>
    <row r="12" spans="1:2" x14ac:dyDescent="0.3">
      <c r="A12">
        <f t="shared" si="0"/>
        <v>10</v>
      </c>
      <c r="B12" t="s">
        <v>459</v>
      </c>
    </row>
    <row r="13" spans="1:2" x14ac:dyDescent="0.3">
      <c r="A13">
        <f t="shared" si="0"/>
        <v>11</v>
      </c>
      <c r="B13" t="s">
        <v>460</v>
      </c>
    </row>
    <row r="14" spans="1:2" x14ac:dyDescent="0.3">
      <c r="A14">
        <f t="shared" si="0"/>
        <v>12</v>
      </c>
      <c r="B14" t="s">
        <v>461</v>
      </c>
    </row>
  </sheetData>
  <sheetProtection sheet="1" objects="1" scenarios="1"/>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_rels/item9.xml.rels><?xml version="1.0" encoding="UTF-8" standalone="yes"?>
<Relationships xmlns="http://schemas.openxmlformats.org/package/2006/relationships"><Relationship Id="rId1" Type="http://schemas.openxmlformats.org/officeDocument/2006/relationships/customXmlProps" Target="itemProps9.xml"/></Relationships>
</file>

<file path=customXml/_rels/item10.xml.rels><?xml version="1.0" encoding="UTF-8" standalone="yes"?>
<Relationships xmlns="http://schemas.openxmlformats.org/package/2006/relationships"><Relationship Id="rId1" Type="http://schemas.openxmlformats.org/officeDocument/2006/relationships/customXmlProps" Target="itemProps10.xml"/></Relationships>
</file>

<file path=customXml/_rels/item11.xml.rels><?xml version="1.0" encoding="UTF-8" standalone="yes"?>
<Relationships xmlns="http://schemas.openxmlformats.org/package/2006/relationships"><Relationship Id="rId1" Type="http://schemas.openxmlformats.org/officeDocument/2006/relationships/customXmlProps" Target="itemProps11.xml"/></Relationships>
</file>

<file path=customXml/_rels/item12.xml.rels><?xml version="1.0" encoding="UTF-8" standalone="yes"?>
<Relationships xmlns="http://schemas.openxmlformats.org/package/2006/relationships"><Relationship Id="rId1" Type="http://schemas.openxmlformats.org/officeDocument/2006/relationships/customXmlProps" Target="itemProps12.xml"/></Relationships>
</file>

<file path=customXml/_rels/item13.xml.rels><?xml version="1.0" encoding="UTF-8" standalone="yes"?>
<Relationships xmlns="http://schemas.openxmlformats.org/package/2006/relationships"><Relationship Id="rId1" Type="http://schemas.openxmlformats.org/officeDocument/2006/relationships/customXmlProps" Target="itemProps13.xml"/></Relationships>
</file>

<file path=customXml/_rels/item14.xml.rels><?xml version="1.0" encoding="UTF-8" standalone="yes"?>
<Relationships xmlns="http://schemas.openxmlformats.org/package/2006/relationships"><Relationship Id="rId1" Type="http://schemas.openxmlformats.org/officeDocument/2006/relationships/customXmlProps" Target="itemProps14.xml"/></Relationships>
</file>

<file path=customXml/_rels/item15.xml.rels><?xml version="1.0" encoding="UTF-8" standalone="yes"?>
<Relationships xmlns="http://schemas.openxmlformats.org/package/2006/relationships"><Relationship Id="rId1" Type="http://schemas.openxmlformats.org/officeDocument/2006/relationships/customXmlProps" Target="itemProps15.xml"/></Relationships>
</file>

<file path=customXml/_rels/item16.xml.rels><?xml version="1.0" encoding="UTF-8" standalone="yes"?>
<Relationships xmlns="http://schemas.openxmlformats.org/package/2006/relationships"><Relationship Id="rId1" Type="http://schemas.openxmlformats.org/officeDocument/2006/relationships/customXmlProps" Target="itemProps16.xml"/></Relationships>
</file>

<file path=customXml/item1.xml>��
</file>

<file path=customXml/item2.xml>��
</file>

<file path=customXml/item3.xml>��
</file>

<file path=customXml/item4.xml>��
</file>

<file path=customXml/item5.xml>��
</file>

<file path=customXml/item6.xml>��
</file>

<file path=customXml/item7.xml>��
</file>

<file path=customXml/item8.xml>��
</file>

<file path=customXml/item9.xml>��
</file>

<file path=customXml/item10.xml>��
</file>

<file path=customXml/item11.xml>��
</file>

<file path=customXml/item12.xml>��
</file>

<file path=customXml/item13.xml>��
</file>

<file path=customXml/item14.xml>��
</file>

<file path=customXml/item15.xml>��
</file>

<file path=customXml/item16.xml>��
</file>

<file path=customXml/itemProps1.xml><?xml version="1.0" encoding="utf-8"?>
<ds:datastoreItem xmlns:ds="http://schemas.openxmlformats.org/officeDocument/2006/customXml" ds:itemID="{C4DDAE0D-0E15-4BC2-B894-29AFC870FF80}">
  <ds:schemaRefs/>
</ds:datastoreItem>
</file>

<file path=customXml/itemProps2.xml><?xml version="1.0" encoding="utf-8"?>
<ds:datastoreItem xmlns:ds="http://schemas.openxmlformats.org/officeDocument/2006/customXml" ds:itemID="{51B36228-28A0-40FE-B1D4-CE39CA210FD3}">
  <ds:schemaRefs/>
</ds:datastoreItem>
</file>

<file path=customXml/itemProps3.xml><?xml version="1.0" encoding="utf-8"?>
<ds:datastoreItem xmlns:ds="http://schemas.openxmlformats.org/officeDocument/2006/customXml" ds:itemID="{358A1442-1DDF-4E56-A659-25F1A8EDA0E3}">
  <ds:schemaRefs/>
</ds:datastoreItem>
</file>

<file path=customXml/itemProps4.xml><?xml version="1.0" encoding="utf-8"?>
<ds:datastoreItem xmlns:ds="http://schemas.openxmlformats.org/officeDocument/2006/customXml" ds:itemID="{B981EED6-217D-4F74-ACD0-261AFC4B1042}">
  <ds:schemaRefs/>
</ds:datastoreItem>
</file>

<file path=customXml/itemProps5.xml><?xml version="1.0" encoding="utf-8"?>
<ds:datastoreItem xmlns:ds="http://schemas.openxmlformats.org/officeDocument/2006/customXml" ds:itemID="{E56F2350-87D6-4D0A-854F-551F05CE0139}">
  <ds:schemaRefs/>
</ds:datastoreItem>
</file>

<file path=customXml/itemProps6.xml><?xml version="1.0" encoding="utf-8"?>
<ds:datastoreItem xmlns:ds="http://schemas.openxmlformats.org/officeDocument/2006/customXml" ds:itemID="{EBE18ABF-1047-4A81-AC34-B2AEEF47EA33}">
  <ds:schemaRefs/>
</ds:datastoreItem>
</file>

<file path=customXml/itemProps7.xml><?xml version="1.0" encoding="utf-8"?>
<ds:datastoreItem xmlns:ds="http://schemas.openxmlformats.org/officeDocument/2006/customXml" ds:itemID="{16BC099D-25F7-4678-8D61-34AD2C238792}">
  <ds:schemaRefs/>
</ds:datastoreItem>
</file>

<file path=customXml/itemProps8.xml><?xml version="1.0" encoding="utf-8"?>
<ds:datastoreItem xmlns:ds="http://schemas.openxmlformats.org/officeDocument/2006/customXml" ds:itemID="{7762E311-E8B3-4AB3-90E4-8D8BC5B3C53C}">
  <ds:schemaRefs/>
</ds:datastoreItem>
</file>

<file path=customXml/itemProps9.xml><?xml version="1.0" encoding="utf-8"?>
<ds:datastoreItem xmlns:ds="http://schemas.openxmlformats.org/officeDocument/2006/customXml" ds:itemID="{FC9F0443-6698-49F5-90B6-EC83BBAA0793}">
  <ds:schemaRefs/>
</ds:datastoreItem>
</file>

<file path=customXml/itemProps10.xml><?xml version="1.0" encoding="utf-8"?>
<ds:datastoreItem xmlns:ds="http://schemas.openxmlformats.org/officeDocument/2006/customXml" ds:itemID="{55803509-1268-4E48-8D59-A68DCB7EA401}">
  <ds:schemaRefs/>
</ds:datastoreItem>
</file>

<file path=customXml/itemProps11.xml><?xml version="1.0" encoding="utf-8"?>
<ds:datastoreItem xmlns:ds="http://schemas.openxmlformats.org/officeDocument/2006/customXml" ds:itemID="{86E663D9-0C93-4CA7-99C4-F7CD44DE5A30}">
  <ds:schemaRefs/>
</ds:datastoreItem>
</file>

<file path=customXml/itemProps12.xml><?xml version="1.0" encoding="utf-8"?>
<ds:datastoreItem xmlns:ds="http://schemas.openxmlformats.org/officeDocument/2006/customXml" ds:itemID="{458BF6EE-32E8-48CD-9DAB-235D07C1CD68}">
  <ds:schemaRefs/>
</ds:datastoreItem>
</file>

<file path=customXml/itemProps13.xml><?xml version="1.0" encoding="utf-8"?>
<ds:datastoreItem xmlns:ds="http://schemas.openxmlformats.org/officeDocument/2006/customXml" ds:itemID="{781A8F33-C817-481A-A83F-9322AC671319}">
  <ds:schemaRefs/>
</ds:datastoreItem>
</file>

<file path=customXml/itemProps14.xml><?xml version="1.0" encoding="utf-8"?>
<ds:datastoreItem xmlns:ds="http://schemas.openxmlformats.org/officeDocument/2006/customXml" ds:itemID="{3918314F-4DAF-412C-BC68-029BE4DF3076}">
  <ds:schemaRefs/>
</ds:datastoreItem>
</file>

<file path=customXml/itemProps15.xml><?xml version="1.0" encoding="utf-8"?>
<ds:datastoreItem xmlns:ds="http://schemas.openxmlformats.org/officeDocument/2006/customXml" ds:itemID="{DCBAD30E-18B1-4A9B-8EE4-3C31F3EA35C6}">
  <ds:schemaRefs/>
</ds:datastoreItem>
</file>

<file path=customXml/itemProps16.xml><?xml version="1.0" encoding="utf-8"?>
<ds:datastoreItem xmlns:ds="http://schemas.openxmlformats.org/officeDocument/2006/customXml" ds:itemID="{E235EA9D-15FC-43D8-9609-4F7E27CE85B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13</vt:i4>
      </vt:variant>
      <vt:variant>
        <vt:lpstr>Named Ranges</vt:lpstr>
      </vt:variant>
      <vt:variant>
        <vt:i4>19</vt:i4>
      </vt:variant>
    </vt:vector>
  </HeadingPairs>
  <TitlesOfParts>
    <vt:vector size="32" baseType="lpstr">
      <vt:lpstr>Table of Contents</vt:lpstr>
      <vt:lpstr>User Guide</vt:lpstr>
      <vt:lpstr>1. Duration Estimating</vt:lpstr>
      <vt:lpstr>2. Cost Estimating</vt:lpstr>
      <vt:lpstr>3. Design Tracking</vt:lpstr>
      <vt:lpstr>4. Design Tracking Summary</vt:lpstr>
      <vt:lpstr>5. Site Tracking Sheet</vt:lpstr>
      <vt:lpstr>6. Summary Tracking Sheet</vt:lpstr>
      <vt:lpstr>A. Schedule Visuals</vt:lpstr>
      <vt:lpstr>B. Cost &amp; Variance Visuals</vt:lpstr>
      <vt:lpstr>C. Deployment KPIs</vt:lpstr>
      <vt:lpstr>D. Dashboard</vt:lpstr>
      <vt:lpstr>E. Site_Milestones_List</vt:lpstr>
      <vt:lpstr>c0_SiteDesignCostBL</vt:lpstr>
      <vt:lpstr>KPI_BAC</vt:lpstr>
      <vt:lpstr>KPI_CurWeekFocus</vt:lpstr>
      <vt:lpstr>KPI_EV_Accumulated</vt:lpstr>
      <vt:lpstr>KPI_PercentCompleteProject</vt:lpstr>
      <vt:lpstr>KPI_TotalSites</vt:lpstr>
      <vt:lpstr>SiteDesignStarted_AC</vt:lpstr>
      <vt:lpstr>SiteDesignStarted_BL</vt:lpstr>
      <vt:lpstr>t0_SiteDesignDelayBL</vt:lpstr>
      <vt:lpstr>t1_SiteSurveyBL</vt:lpstr>
      <vt:lpstr>t2_SiteAcquisitionBL</vt:lpstr>
      <vt:lpstr>t2a_SiteCWReadinessBL</vt:lpstr>
      <vt:lpstr>t3_CivilWorksBL</vt:lpstr>
      <vt:lpstr>t4_PowerInstallBL</vt:lpstr>
      <vt:lpstr>t5_TxintegrationBL</vt:lpstr>
      <vt:lpstr>t6_InstallationBL</vt:lpstr>
      <vt:lpstr>t7_IntegrationBL</vt:lpstr>
      <vt:lpstr>t8_AcceptanceBL</vt:lpstr>
      <vt:lpstr>t9_HandoverBL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Valencia</dc:creator>
  <cp:lastModifiedBy>edgar ortiz</cp:lastModifiedBy>
  <dcterms:created xsi:type="dcterms:W3CDTF">2020-03-16T19:46:59Z</dcterms:created>
  <dcterms:modified xsi:type="dcterms:W3CDTF">2020-05-07T01:45:03Z</dcterms:modified>
</cp:coreProperties>
</file>