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3.Weekly Progress Reports - West Region\37.WPR-13Oct2026\JDH4-02-007\JHD4-02-007-ENJ-WPR-047-13-10-2026\JHD4-02-007-ENJ-WPR-047-13-10-2026\"/>
    </mc:Choice>
  </mc:AlternateContent>
  <xr:revisionPtr revIDLastSave="0" documentId="13_ncr:1_{92B73ABC-5F7D-4E56-BDB5-91BA0DF718B6}" xr6:coauthVersionLast="47" xr6:coauthVersionMax="47" xr10:uidLastSave="{00000000-0000-0000-0000-000000000000}"/>
  <bookViews>
    <workbookView xWindow="-108" yWindow="-108" windowWidth="23256" windowHeight="13896" tabRatio="895" firstSheet="1" activeTab="7" xr2:uid="{D1037EEC-27A1-4B6C-BDBD-E5FFCCABCA6A}"/>
  </bookViews>
  <sheets>
    <sheet name="DB" sheetId="33" state="hidden" r:id="rId1"/>
    <sheet name="Weekly Progress Report" sheetId="1" r:id="rId2"/>
    <sheet name="FIR summary " sheetId="39" r:id="rId3"/>
    <sheet name="FIR sum" sheetId="47" r:id="rId4"/>
    <sheet name="Progress" sheetId="31" r:id="rId5"/>
    <sheet name="Progress (2)" sheetId="40" state="hidden" r:id="rId6"/>
    <sheet name="General Information" sheetId="21" r:id="rId7"/>
    <sheet name="Weekly Photos" sheetId="34" r:id="rId8"/>
    <sheet name="Quality" sheetId="29" r:id="rId9"/>
    <sheet name="Quality-Stat" sheetId="38" r:id="rId10"/>
    <sheet name="HSE" sheetId="28" r:id="rId11"/>
    <sheet name="HSE-Stat" sheetId="20" r:id="rId12"/>
    <sheet name="Risk Register  " sheetId="66" r:id="rId13"/>
    <sheet name="Procurement" sheetId="41" r:id="rId14"/>
    <sheet name="Milestones" sheetId="19" r:id="rId15"/>
    <sheet name="Major Quantities" sheetId="25" r:id="rId16"/>
    <sheet name="CCO" sheetId="23" r:id="rId17"/>
    <sheet name="Issue " sheetId="64" r:id="rId18"/>
    <sheet name="Invoice Log" sheetId="12" r:id="rId19"/>
    <sheet name="EV-Chart Data" sheetId="2" r:id="rId20"/>
    <sheet name="Schedule" sheetId="27" r:id="rId21"/>
    <sheet name="Physical-Chart Data" sheetId="11" r:id="rId22"/>
    <sheet name="Manpower" sheetId="6" r:id="rId23"/>
    <sheet name="Testing" sheetId="32" r:id="rId24"/>
    <sheet name="Progress Summary" sheetId="42" r:id="rId25"/>
    <sheet name="LOOK AHEAD " sheetId="43" r:id="rId26"/>
    <sheet name="Codes" sheetId="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_____________ccr1" localSheetId="9" hidden="1">{#N/A,#N/A,TRUE,"Cover";#N/A,#N/A,TRUE,"Conts";#N/A,#N/A,TRUE,"VOS";#N/A,#N/A,TRUE,"Warrington";#N/A,#N/A,TRUE,"Widnes"}</definedName>
    <definedName name="_____________ccr1" localSheetId="12" hidden="1">{#N/A,#N/A,TRUE,"Cover";#N/A,#N/A,TRUE,"Conts";#N/A,#N/A,TRUE,"VOS";#N/A,#N/A,TRUE,"Warrington";#N/A,#N/A,TRUE,"Widnes"}</definedName>
    <definedName name="_____________ccr1" hidden="1">{#N/A,#N/A,TRUE,"Cover";#N/A,#N/A,TRUE,"Conts";#N/A,#N/A,TRUE,"VOS";#N/A,#N/A,TRUE,"Warrington";#N/A,#N/A,TRUE,"Widnes"}</definedName>
    <definedName name="___________ccr1" localSheetId="9" hidden="1">{#N/A,#N/A,TRUE,"Cover";#N/A,#N/A,TRUE,"Conts";#N/A,#N/A,TRUE,"VOS";#N/A,#N/A,TRUE,"Warrington";#N/A,#N/A,TRUE,"Widnes"}</definedName>
    <definedName name="___________ccr1" localSheetId="12" hidden="1">{#N/A,#N/A,TRUE,"Cover";#N/A,#N/A,TRUE,"Conts";#N/A,#N/A,TRUE,"VOS";#N/A,#N/A,TRUE,"Warrington";#N/A,#N/A,TRUE,"Widnes"}</definedName>
    <definedName name="___________ccr1" hidden="1">{#N/A,#N/A,TRUE,"Cover";#N/A,#N/A,TRUE,"Conts";#N/A,#N/A,TRUE,"VOS";#N/A,#N/A,TRUE,"Warrington";#N/A,#N/A,TRUE,"Widnes"}</definedName>
    <definedName name="__________ccr1" localSheetId="9" hidden="1">{#N/A,#N/A,TRUE,"Cover";#N/A,#N/A,TRUE,"Conts";#N/A,#N/A,TRUE,"VOS";#N/A,#N/A,TRUE,"Warrington";#N/A,#N/A,TRUE,"Widnes"}</definedName>
    <definedName name="__________ccr1" localSheetId="12" hidden="1">{#N/A,#N/A,TRUE,"Cover";#N/A,#N/A,TRUE,"Conts";#N/A,#N/A,TRUE,"VOS";#N/A,#N/A,TRUE,"Warrington";#N/A,#N/A,TRUE,"Widnes"}</definedName>
    <definedName name="__________ccr1" hidden="1">{#N/A,#N/A,TRUE,"Cover";#N/A,#N/A,TRUE,"Conts";#N/A,#N/A,TRUE,"VOS";#N/A,#N/A,TRUE,"Warrington";#N/A,#N/A,TRUE,"Widnes"}</definedName>
    <definedName name="_________ccr1" localSheetId="9" hidden="1">{#N/A,#N/A,TRUE,"Cover";#N/A,#N/A,TRUE,"Conts";#N/A,#N/A,TRUE,"VOS";#N/A,#N/A,TRUE,"Warrington";#N/A,#N/A,TRUE,"Widnes"}</definedName>
    <definedName name="_________ccr1" localSheetId="12" hidden="1">{#N/A,#N/A,TRUE,"Cover";#N/A,#N/A,TRUE,"Conts";#N/A,#N/A,TRUE,"VOS";#N/A,#N/A,TRUE,"Warrington";#N/A,#N/A,TRUE,"Widnes"}</definedName>
    <definedName name="_________ccr1" hidden="1">{#N/A,#N/A,TRUE,"Cover";#N/A,#N/A,TRUE,"Conts";#N/A,#N/A,TRUE,"VOS";#N/A,#N/A,TRUE,"Warrington";#N/A,#N/A,TRUE,"Widnes"}</definedName>
    <definedName name="________ccr1" localSheetId="9" hidden="1">{#N/A,#N/A,TRUE,"Cover";#N/A,#N/A,TRUE,"Conts";#N/A,#N/A,TRUE,"VOS";#N/A,#N/A,TRUE,"Warrington";#N/A,#N/A,TRUE,"Widnes"}</definedName>
    <definedName name="________ccr1" localSheetId="12" hidden="1">{#N/A,#N/A,TRUE,"Cover";#N/A,#N/A,TRUE,"Conts";#N/A,#N/A,TRUE,"VOS";#N/A,#N/A,TRUE,"Warrington";#N/A,#N/A,TRUE,"Widnes"}</definedName>
    <definedName name="________ccr1" hidden="1">{#N/A,#N/A,TRUE,"Cover";#N/A,#N/A,TRUE,"Conts";#N/A,#N/A,TRUE,"VOS";#N/A,#N/A,TRUE,"Warrington";#N/A,#N/A,TRUE,"Widnes"}</definedName>
    <definedName name="_______ccr1" localSheetId="9" hidden="1">{#N/A,#N/A,TRUE,"Cover";#N/A,#N/A,TRUE,"Conts";#N/A,#N/A,TRUE,"VOS";#N/A,#N/A,TRUE,"Warrington";#N/A,#N/A,TRUE,"Widnes"}</definedName>
    <definedName name="_______ccr1" localSheetId="12" hidden="1">{#N/A,#N/A,TRUE,"Cover";#N/A,#N/A,TRUE,"Conts";#N/A,#N/A,TRUE,"VOS";#N/A,#N/A,TRUE,"Warrington";#N/A,#N/A,TRUE,"Widnes"}</definedName>
    <definedName name="_______ccr1" hidden="1">{#N/A,#N/A,TRUE,"Cover";#N/A,#N/A,TRUE,"Conts";#N/A,#N/A,TRUE,"VOS";#N/A,#N/A,TRUE,"Warrington";#N/A,#N/A,TRUE,"Widnes"}</definedName>
    <definedName name="______ccr1" localSheetId="9" hidden="1">{#N/A,#N/A,TRUE,"Cover";#N/A,#N/A,TRUE,"Conts";#N/A,#N/A,TRUE,"VOS";#N/A,#N/A,TRUE,"Warrington";#N/A,#N/A,TRUE,"Widnes"}</definedName>
    <definedName name="______ccr1" localSheetId="12" hidden="1">{#N/A,#N/A,TRUE,"Cover";#N/A,#N/A,TRUE,"Conts";#N/A,#N/A,TRUE,"VOS";#N/A,#N/A,TRUE,"Warrington";#N/A,#N/A,TRUE,"Widnes"}</definedName>
    <definedName name="______ccr1" hidden="1">{#N/A,#N/A,TRUE,"Cover";#N/A,#N/A,TRUE,"Conts";#N/A,#N/A,TRUE,"VOS";#N/A,#N/A,TRUE,"Warrington";#N/A,#N/A,TRUE,"Widnes"}</definedName>
    <definedName name="_____ab1" localSheetId="9"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9" hidden="1">{#N/A,#N/A,TRUE,"Cover";#N/A,#N/A,TRUE,"Conts";#N/A,#N/A,TRUE,"VOS";#N/A,#N/A,TRUE,"Warrington";#N/A,#N/A,TRUE,"Widnes"}</definedName>
    <definedName name="_____ccr1" localSheetId="12" hidden="1">{#N/A,#N/A,TRUE,"Cover";#N/A,#N/A,TRUE,"Conts";#N/A,#N/A,TRUE,"VOS";#N/A,#N/A,TRUE,"Warrington";#N/A,#N/A,TRUE,"Widnes"}</definedName>
    <definedName name="_____ccr1" hidden="1">{#N/A,#N/A,TRUE,"Cover";#N/A,#N/A,TRUE,"Conts";#N/A,#N/A,TRUE,"VOS";#N/A,#N/A,TRUE,"Warrington";#N/A,#N/A,TRUE,"Widnes"}</definedName>
    <definedName name="_____old3" localSheetId="9"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9"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9" hidden="1">{#N/A,#N/A,TRUE,"Cover";#N/A,#N/A,TRUE,"Conts";#N/A,#N/A,TRUE,"VOS";#N/A,#N/A,TRUE,"Warrington";#N/A,#N/A,TRUE,"Widnes"}</definedName>
    <definedName name="____ccr1" localSheetId="12"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12" hidden="1">{#N/A,#N/A,TRUE,"Cover";#N/A,#N/A,TRUE,"Conts";#N/A,#N/A,TRUE,"VOS";#N/A,#N/A,TRUE,"Warrington";#N/A,#N/A,TRUE,"Widnes"}</definedName>
    <definedName name="____ccr2" hidden="1">{#N/A,#N/A,TRUE,"Cover";#N/A,#N/A,TRUE,"Conts";#N/A,#N/A,TRUE,"VOS";#N/A,#N/A,TRUE,"Warrington";#N/A,#N/A,TRUE,"Widnes"}</definedName>
    <definedName name="____old3" localSheetId="9"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9"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9" hidden="1">{#N/A,#N/A,TRUE,"Cover";#N/A,#N/A,TRUE,"Conts";#N/A,#N/A,TRUE,"VOS";#N/A,#N/A,TRUE,"Warrington";#N/A,#N/A,TRUE,"Widnes"}</definedName>
    <definedName name="___ccr1" localSheetId="12"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12" hidden="1">{#N/A,#N/A,TRUE,"Cover";#N/A,#N/A,TRUE,"Conts";#N/A,#N/A,TRUE,"VOS";#N/A,#N/A,TRUE,"Warrington";#N/A,#N/A,TRUE,"Widnes"}</definedName>
    <definedName name="___ccr2" hidden="1">{#N/A,#N/A,TRUE,"Cover";#N/A,#N/A,TRUE,"Conts";#N/A,#N/A,TRUE,"VOS";#N/A,#N/A,TRUE,"Warrington";#N/A,#N/A,TRUE,"Widnes"}</definedName>
    <definedName name="___old3" localSheetId="9"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9" hidden="1">{#N/A,#N/A,TRUE,"Cover";#N/A,#N/A,TRUE,"Conts";#N/A,#N/A,TRUE,"VOS";#N/A,#N/A,TRUE,"Warrington";#N/A,#N/A,TRUE,"Widnes"}</definedName>
    <definedName name="__ccr1" localSheetId="12" hidden="1">{#N/A,#N/A,TRUE,"Cover";#N/A,#N/A,TRUE,"Conts";#N/A,#N/A,TRUE,"VOS";#N/A,#N/A,TRUE,"Warrington";#N/A,#N/A,TRUE,"Widnes"}</definedName>
    <definedName name="__ccr1" hidden="1">{#N/A,#N/A,TRUE,"Cover";#N/A,#N/A,TRUE,"Conts";#N/A,#N/A,TRUE,"VOS";#N/A,#N/A,TRUE,"Warrington";#N/A,#N/A,TRUE,"Widnes"}</definedName>
    <definedName name="_1B.05.M.010.0010" localSheetId="9">#REF!</definedName>
    <definedName name="_1B.05.M.010.0010">#REF!</definedName>
    <definedName name="_1B.05.M.010.0050" localSheetId="9">#REF!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9"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9"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9" hidden="1">{#N/A,#N/A,TRUE,"Cover";#N/A,#N/A,TRUE,"Conts";#N/A,#N/A,TRUE,"VOS";#N/A,#N/A,TRUE,"Warrington";#N/A,#N/A,TRUE,"Widnes"}</definedName>
    <definedName name="_ccr1" localSheetId="12"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12"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hidden="1">#REF!</definedName>
    <definedName name="_Fill" localSheetId="9" hidden="1">[4]GRSummary!#REF!</definedName>
    <definedName name="_Fill" localSheetId="12" hidden="1">[5]GRSummary!#REF!</definedName>
    <definedName name="_Fill" hidden="1">[4]GRSummary!#REF!</definedName>
    <definedName name="_xlnm._FilterDatabase" localSheetId="2" hidden="1">'FIR summary '!$A$5:$L$43</definedName>
    <definedName name="_xlnm._FilterDatabase" localSheetId="17" hidden="1">'Issue '!$A$4:$Z$137</definedName>
    <definedName name="_xlnm._FilterDatabase" localSheetId="25" hidden="1">'LOOK AHEAD '!#REF!</definedName>
    <definedName name="_xlnm._FilterDatabase" localSheetId="15" hidden="1">'Major Quantities'!$A$1:$ZN$52</definedName>
    <definedName name="_xlnm._FilterDatabase" localSheetId="13" hidden="1">Procurement!$A$1:$X$37</definedName>
    <definedName name="_xlnm._FilterDatabase" localSheetId="4" hidden="1">Progress!$A$6:$U$42</definedName>
    <definedName name="_xlnm._FilterDatabase" localSheetId="9" hidden="1">#REF!</definedName>
    <definedName name="_xlnm._FilterDatabase" localSheetId="12" hidden="1">'Risk Register  '!$A$4:$AA$250</definedName>
    <definedName name="_xlnm._FilterDatabase" hidden="1">#REF!</definedName>
    <definedName name="_jj300" localSheetId="9">#REF!</definedName>
    <definedName name="_jj300">#REF!</definedName>
    <definedName name="_Key1" localSheetId="9" hidden="1">#REF!</definedName>
    <definedName name="_Key1" hidden="1">#REF!</definedName>
    <definedName name="_Key2" localSheetId="9" hidden="1">'[6]LTR-2'!#REF!</definedName>
    <definedName name="_Key2" hidden="1">'[6]LTR-2'!#REF!</definedName>
    <definedName name="_old3" localSheetId="9"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9" hidden="1">[7]PriceSummary!#REF!</definedName>
    <definedName name="_Parse_In" localSheetId="12" hidden="1">[8]PriceSummary!#REF!</definedName>
    <definedName name="_Parse_In" hidden="1">[7]PriceSummary!#REF!</definedName>
    <definedName name="_Parse_Out" localSheetId="9" hidden="1">#REF!</definedName>
    <definedName name="_Parse_Out" hidden="1">#REF!</definedName>
    <definedName name="_Regression_Int" hidden="1">1</definedName>
    <definedName name="_Sort" localSheetId="9" hidden="1">#REF!</definedName>
    <definedName name="_Sort" hidden="1">#REF!</definedName>
    <definedName name="_WT" localSheetId="2">#REF!</definedName>
    <definedName name="_WT" localSheetId="9">#REF!</definedName>
    <definedName name="_WT">#REF!</definedName>
    <definedName name="A" localSheetId="9">#REF!</definedName>
    <definedName name="A">#REF!</definedName>
    <definedName name="a\sdasdf" localSheetId="9" hidden="1">{#N/A,#N/A,TRUE,"Cover";#N/A,#N/A,TRUE,"Conts";#N/A,#N/A,TRUE,"VOS";#N/A,#N/A,TRUE,"Warrington";#N/A,#N/A,TRUE,"Widnes"}</definedName>
    <definedName name="a\sdasdf" localSheetId="12" hidden="1">{#N/A,#N/A,TRUE,"Cover";#N/A,#N/A,TRUE,"Conts";#N/A,#N/A,TRUE,"VOS";#N/A,#N/A,TRUE,"Warrington";#N/A,#N/A,TRUE,"Widnes"}</definedName>
    <definedName name="a\sdasdf" hidden="1">{#N/A,#N/A,TRUE,"Cover";#N/A,#N/A,TRUE,"Conts";#N/A,#N/A,TRUE,"VOS";#N/A,#N/A,TRUE,"Warrington";#N/A,#N/A,TRUE,"Widnes"}</definedName>
    <definedName name="AAA" localSheetId="9" hidden="1">#REF!</definedName>
    <definedName name="AAA" hidden="1">#REF!</definedName>
    <definedName name="aaaaaaaa" localSheetId="9" hidden="1">{#N/A,#N/A,TRUE,"Cover";#N/A,#N/A,TRUE,"Conts";#N/A,#N/A,TRUE,"VOS";#N/A,#N/A,TRUE,"Warrington";#N/A,#N/A,TRUE,"Widnes"}</definedName>
    <definedName name="aaaaaaaa" localSheetId="12" hidden="1">{#N/A,#N/A,TRUE,"Cover";#N/A,#N/A,TRUE,"Conts";#N/A,#N/A,TRUE,"VOS";#N/A,#N/A,TRUE,"Warrington";#N/A,#N/A,TRUE,"Widnes"}</definedName>
    <definedName name="aaaaaaaa" hidden="1">{#N/A,#N/A,TRUE,"Cover";#N/A,#N/A,TRUE,"Conts";#N/A,#N/A,TRUE,"VOS";#N/A,#N/A,TRUE,"Warrington";#N/A,#N/A,TRUE,"Widnes"}</definedName>
    <definedName name="ACC" localSheetId="9" hidden="1">{#N/A,#N/A,TRUE,"Cover";#N/A,#N/A,TRUE,"Conts";#N/A,#N/A,TRUE,"VOS";#N/A,#N/A,TRUE,"Warrington";#N/A,#N/A,TRUE,"Widnes"}</definedName>
    <definedName name="ACC" localSheetId="12"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9" hidden="1">#REF!</definedName>
    <definedName name="accomation" hidden="1">#REF!</definedName>
    <definedName name="ACT" localSheetId="2">[9]WorkBreakDown!#REF!</definedName>
    <definedName name="ACT" localSheetId="9">[9]WorkBreakDown!#REF!</definedName>
    <definedName name="ACT" localSheetId="12">[10]WorkBreakDown!#REF!</definedName>
    <definedName name="ACT">[9]WorkBreakDown!#REF!</definedName>
    <definedName name="aegrgas" localSheetId="9" hidden="1">{#N/A,#N/A,TRUE,"Cover";#N/A,#N/A,TRUE,"Conts";#N/A,#N/A,TRUE,"VOS";#N/A,#N/A,TRUE,"Warrington";#N/A,#N/A,TRUE,"Widnes"}</definedName>
    <definedName name="aegrgas" localSheetId="12"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12"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12"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12"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12" hidden="1">{#N/A,#N/A,TRUE,"Cover";#N/A,#N/A,TRUE,"Conts";#N/A,#N/A,TRUE,"VOS";#N/A,#N/A,TRUE,"Warrington";#N/A,#N/A,TRUE,"Widnes"}</definedName>
    <definedName name="aetertryh" hidden="1">{#N/A,#N/A,TRUE,"Cover";#N/A,#N/A,TRUE,"Conts";#N/A,#N/A,TRUE,"VOS";#N/A,#N/A,TRUE,"Warrington";#N/A,#N/A,TRUE,"Widnes"}</definedName>
    <definedName name="anvoice1" localSheetId="9" hidden="1">#REF!</definedName>
    <definedName name="anvoice1" hidden="1">#REF!</definedName>
    <definedName name="APPO" localSheetId="9" hidden="1">#REF!</definedName>
    <definedName name="APPO" hidden="1">#REF!</definedName>
    <definedName name="appraisal" localSheetId="9" hidden="1">{#N/A,#N/A,TRUE,"Cover";#N/A,#N/A,TRUE,"Conts";#N/A,#N/A,TRUE,"VOS";#N/A,#N/A,TRUE,"Warrington";#N/A,#N/A,TRUE,"Widnes"}</definedName>
    <definedName name="appraisal" localSheetId="12"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hidden="1">#REF!</definedName>
    <definedName name="asdfsa" localSheetId="9" hidden="1">#REF!</definedName>
    <definedName name="asdfsa" hidden="1">#REF!</definedName>
    <definedName name="asgseg" localSheetId="9" hidden="1">{#N/A,#N/A,TRUE,"Cover";#N/A,#N/A,TRUE,"Conts";#N/A,#N/A,TRUE,"VOS";#N/A,#N/A,TRUE,"Warrington";#N/A,#N/A,TRUE,"Widnes"}</definedName>
    <definedName name="asgseg" localSheetId="12"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12" hidden="1">{#N/A,#N/A,TRUE,"Cover";#N/A,#N/A,TRUE,"Conts";#N/A,#N/A,TRUE,"VOS";#N/A,#N/A,TRUE,"Warrington";#N/A,#N/A,TRUE,"Widnes"}</definedName>
    <definedName name="asrasnrjutu" hidden="1">{#N/A,#N/A,TRUE,"Cover";#N/A,#N/A,TRUE,"Conts";#N/A,#N/A,TRUE,"VOS";#N/A,#N/A,TRUE,"Warrington";#N/A,#N/A,TRUE,"Widnes"}</definedName>
    <definedName name="At_risk" localSheetId="9">[11]Assumptions!$B$1</definedName>
    <definedName name="At_risk" localSheetId="12">[12]Assumptions!$B$1</definedName>
    <definedName name="At_risk">[11]Assumptions!$B$1</definedName>
    <definedName name="atrisk_total_net_rent_for_cashflow" localSheetId="9">'[11]@risk rents and incentives'!$W$25:$AL$26</definedName>
    <definedName name="atrisk_total_net_rent_for_cashflow" localSheetId="12">'[12]@risk rents and incentives'!$W$25:$AL$26</definedName>
    <definedName name="atrisk_total_net_rent_for_cashflow">'[11]@risk rents and incentives'!$W$25:$AL$26</definedName>
    <definedName name="Audit_Category" localSheetId="10">[13]Lookups!#REF!</definedName>
    <definedName name="Audit_Category" localSheetId="8">[13]Lookups!#REF!</definedName>
    <definedName name="Audit_Category" localSheetId="9">[13]Lookups!#REF!</definedName>
    <definedName name="Audit_Category" localSheetId="7">[13]Lookups!#REF!</definedName>
    <definedName name="Audit_Category">[13]Lookups!#REF!</definedName>
    <definedName name="awt" localSheetId="9" hidden="1">{#N/A,#N/A,TRUE,"Cover";#N/A,#N/A,TRUE,"Conts";#N/A,#N/A,TRUE,"VOS";#N/A,#N/A,TRUE,"Warrington";#N/A,#N/A,TRUE,"Widnes"}</definedName>
    <definedName name="awt" localSheetId="12"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12" hidden="1">{#N/A,#N/A,TRUE,"Cover";#N/A,#N/A,TRUE,"Conts";#N/A,#N/A,TRUE,"VOS";#N/A,#N/A,TRUE,"Warrington";#N/A,#N/A,TRUE,"Widnes"}</definedName>
    <definedName name="awyawghh" hidden="1">{#N/A,#N/A,TRUE,"Cover";#N/A,#N/A,TRUE,"Conts";#N/A,#N/A,TRUE,"VOS";#N/A,#N/A,TRUE,"Warrington";#N/A,#N/A,TRUE,"Widnes"}</definedName>
    <definedName name="BAB_Control" localSheetId="9" hidden="1">{"'TELEPHONE Nos'!$A$1:$D$55"}</definedName>
    <definedName name="BAB_Control" localSheetId="12" hidden="1">{"'TELEPHONE Nos'!$A$1:$D$55"}</definedName>
    <definedName name="BAB_Control" hidden="1">{"'TELEPHONE Nos'!$A$1:$D$55"}</definedName>
    <definedName name="bb" localSheetId="9" hidden="1">{#N/A,#N/A,TRUE,"Cover";#N/A,#N/A,TRUE,"Conts";#N/A,#N/A,TRUE,"VOS";#N/A,#N/A,TRUE,"Warrington";#N/A,#N/A,TRUE,"Widnes"}</definedName>
    <definedName name="bb" localSheetId="12"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hidden="1">#REF!</definedName>
    <definedName name="BC" localSheetId="12">[10]WorkBreakDown!$G$4</definedName>
    <definedName name="BC">[9]WorkBreakDown!$G$4</definedName>
    <definedName name="BCIS" localSheetId="9" hidden="1">{#N/A,#N/A,TRUE,"Cover";#N/A,#N/A,TRUE,"Conts";#N/A,#N/A,TRUE,"VOS";#N/A,#N/A,TRUE,"Warrington";#N/A,#N/A,TRUE,"Widnes"}</definedName>
    <definedName name="BCIS" localSheetId="12" hidden="1">{#N/A,#N/A,TRUE,"Cover";#N/A,#N/A,TRUE,"Conts";#N/A,#N/A,TRUE,"VOS";#N/A,#N/A,TRUE,"Warrington";#N/A,#N/A,TRUE,"Widnes"}</definedName>
    <definedName name="BCIS" hidden="1">{#N/A,#N/A,TRUE,"Cover";#N/A,#N/A,TRUE,"Conts";#N/A,#N/A,TRUE,"VOS";#N/A,#N/A,TRUE,"Warrington";#N/A,#N/A,TRUE,"Widnes"}</definedName>
    <definedName name="BCTemp" localSheetId="9">'[14]BC - Final Templates'!$G$5:$S$182</definedName>
    <definedName name="BCTemp" localSheetId="12">'[15]BC - Final Templates'!$G$5:$S$182</definedName>
    <definedName name="BCTemp">'[14]BC - Final Templates'!$G$5:$S$182</definedName>
    <definedName name="BQ" localSheetId="12">[10]WorkBreakDown!$F$4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 localSheetId="12">'[17]Build-up'!#REF!</definedName>
    <definedName name="BUILDER_S__PROFIT__AND__ATTENDANCE">'[16]Build-up'!#REF!</definedName>
    <definedName name="BuiltIn_Print_Area___0" localSheetId="9">#REF!</definedName>
    <definedName name="BuiltIn_Print_Area___0">#REF!</definedName>
    <definedName name="car_park_cash_flow" localSheetId="9">'[11]Car park lease'!$A$21:$G$161</definedName>
    <definedName name="car_park_cash_flow" localSheetId="12">'[12]Car park lease'!$A$21:$G$161</definedName>
    <definedName name="car_park_cash_flow">'[11]Car park lease'!$A$21:$G$161</definedName>
    <definedName name="CARGO" localSheetId="9"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12" hidden="1">{#N/A,#N/A,TRUE,"Cover";#N/A,#N/A,TRUE,"Conts";#N/A,#N/A,TRUE,"VOS";#N/A,#N/A,TRUE,"Warrington";#N/A,#N/A,TRUE,"Widnes"}</definedName>
    <definedName name="cashfl" hidden="1">{#N/A,#N/A,TRUE,"Cover";#N/A,#N/A,TRUE,"Conts";#N/A,#N/A,TRUE,"VOS";#N/A,#N/A,TRUE,"Warrington";#N/A,#N/A,TRUE,"Widnes"}</definedName>
    <definedName name="cccccc" localSheetId="9" hidden="1">{#N/A,#N/A,TRUE,"Cover";#N/A,#N/A,TRUE,"Conts";#N/A,#N/A,TRUE,"VOS";#N/A,#N/A,TRUE,"Warrington";#N/A,#N/A,TRUE,"Widnes"}</definedName>
    <definedName name="cccccc" localSheetId="12"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12" hidden="1">{#N/A,#N/A,TRUE,"Cover";#N/A,#N/A,TRUE,"Conts";#N/A,#N/A,TRUE,"VOS";#N/A,#N/A,TRUE,"Warrington";#N/A,#N/A,TRUE,"Widnes"}</definedName>
    <definedName name="CCR" hidden="1">{#N/A,#N/A,TRUE,"Cover";#N/A,#N/A,TRUE,"Conts";#N/A,#N/A,TRUE,"VOS";#N/A,#N/A,TRUE,"Warrington";#N/A,#N/A,TRUE,"Widnes"}</definedName>
    <definedName name="CEILING__FINISHES" localSheetId="12">'[17]Build-up'!#REF!</definedName>
    <definedName name="CEILING__FINISHES">'[16]Build-up'!#REF!</definedName>
    <definedName name="CEMP_Category" localSheetId="2">[13]Lookups!#REF!</definedName>
    <definedName name="CEMP_Category" localSheetId="10">[13]Lookups!#REF!</definedName>
    <definedName name="CEMP_Category" localSheetId="8">[13]Lookups!#REF!</definedName>
    <definedName name="CEMP_Category" localSheetId="7">[13]Lookups!#REF!</definedName>
    <definedName name="CEMP_Category">[13]Lookups!#REF!</definedName>
    <definedName name="CESMM3rdDiv">'[18]CESMM3 class'!$F$7:$H$14</definedName>
    <definedName name="Channel_Template" localSheetId="9">'[19]Channel - final template'!$I$2:$V$122</definedName>
    <definedName name="Channel_Template" localSheetId="12">'[20]Channel - final template'!$I$2:$V$122</definedName>
    <definedName name="Channel_Template">'[19]Channel - final template'!$I$2:$V$122</definedName>
    <definedName name="ChannelSched">'[21]Sched-Structure IFB'!$C$8:$P$33</definedName>
    <definedName name="chris" localSheetId="9" hidden="1">{#N/A,#N/A,TRUE,"Cover";#N/A,#N/A,TRUE,"Conts";#N/A,#N/A,TRUE,"VOS";#N/A,#N/A,TRUE,"Warrington";#N/A,#N/A,TRUE,"Widnes"}</definedName>
    <definedName name="chris" localSheetId="12" hidden="1">{#N/A,#N/A,TRUE,"Cover";#N/A,#N/A,TRUE,"Conts";#N/A,#N/A,TRUE,"VOS";#N/A,#N/A,TRUE,"Warrington";#N/A,#N/A,TRUE,"Widnes"}</definedName>
    <definedName name="chris" hidden="1">{#N/A,#N/A,TRUE,"Cover";#N/A,#N/A,TRUE,"Conts";#N/A,#N/A,TRUE,"VOS";#N/A,#N/A,TRUE,"Warrington";#N/A,#N/A,TRUE,"Widnes"}</definedName>
    <definedName name="Comp_ME" localSheetId="9">#REF!</definedName>
    <definedName name="Comp_ME">#REF!</definedName>
    <definedName name="complete" localSheetId="2">#REF!</definedName>
    <definedName name="complete" localSheetId="10">#REF!</definedName>
    <definedName name="complete" localSheetId="8">#REF!</definedName>
    <definedName name="complete" localSheetId="7">#REF!</definedName>
    <definedName name="complete">#REF!</definedName>
    <definedName name="completion_date" localSheetId="9">[11]Assumptions!$C$46</definedName>
    <definedName name="completion_date" localSheetId="12">[12]Assumptions!$C$46</definedName>
    <definedName name="completion_date">[11]Assumptions!$C$46</definedName>
    <definedName name="CON" localSheetId="9" hidden="1">{#N/A,#N/A,TRUE,"Cover";#N/A,#N/A,TRUE,"Conts";#N/A,#N/A,TRUE,"VOS";#N/A,#N/A,TRUE,"Warrington";#N/A,#N/A,TRUE,"Widnes"}</definedName>
    <definedName name="CON" localSheetId="12" hidden="1">{#N/A,#N/A,TRUE,"Cover";#N/A,#N/A,TRUE,"Conts";#N/A,#N/A,TRUE,"VOS";#N/A,#N/A,TRUE,"Warrington";#N/A,#N/A,TRUE,"Widnes"}</definedName>
    <definedName name="CON" hidden="1">{#N/A,#N/A,TRUE,"Cover";#N/A,#N/A,TRUE,"Conts";#N/A,#N/A,TRUE,"VOS";#N/A,#N/A,TRUE,"Warrington";#N/A,#N/A,TRUE,"Widnes"}</definedName>
    <definedName name="Conc_01">'[22]Structural Concrete'!$O$7</definedName>
    <definedName name="CONC_06">'[22]Structural Concrete'!$O$107</definedName>
    <definedName name="CONC_09">'[22]Structural Concrete'!$O$167</definedName>
    <definedName name="CONC_11">'[22]Structural Concrete'!$O$205</definedName>
    <definedName name="CONC_16">'[22]Structural Concrete'!$O$316</definedName>
    <definedName name="CONC_23">'[22]Structural Concrete'!$O$455</definedName>
    <definedName name="CONCOURSE" localSheetId="9" hidden="1">{#N/A,#N/A,TRUE,"Cover";#N/A,#N/A,TRUE,"Conts";#N/A,#N/A,TRUE,"VOS";#N/A,#N/A,TRUE,"Warrington";#N/A,#N/A,TRUE,"Widnes"}</definedName>
    <definedName name="CONCOURSE" localSheetId="12" hidden="1">{#N/A,#N/A,TRUE,"Cover";#N/A,#N/A,TRUE,"Conts";#N/A,#N/A,TRUE,"VOS";#N/A,#N/A,TRUE,"Warrington";#N/A,#N/A,TRUE,"Widnes"}</definedName>
    <definedName name="CONCOURSE" hidden="1">{#N/A,#N/A,TRUE,"Cover";#N/A,#N/A,TRUE,"Conts";#N/A,#N/A,TRUE,"VOS";#N/A,#N/A,TRUE,"Warrington";#N/A,#N/A,TRUE,"Widnes"}</definedName>
    <definedName name="CulType">'[21]Sched-Structure IFB'!$AD$29:$AI$31</definedName>
    <definedName name="CulvertSched">'[21]Sched-Structure IFB'!$R$8:$AJ$26</definedName>
    <definedName name="CUlvertType">'[21]Sched-Structure IFB'!$AD$29:$AI$35</definedName>
    <definedName name="CulvSched">'[21]Sched-Structure IFB'!$R$8:$AL$26</definedName>
    <definedName name="_xlnm.Database" localSheetId="9">#REF!</definedName>
    <definedName name="_xlnm.Database">#REF!</definedName>
    <definedName name="Date">'[23]Fill this out first...'!$D$14</definedName>
    <definedName name="dd" localSheetId="9" hidden="1">{#N/A,#N/A,TRUE,"Cover";#N/A,#N/A,TRUE,"Conts";#N/A,#N/A,TRUE,"VOS";#N/A,#N/A,TRUE,"Warrington";#N/A,#N/A,TRUE,"Widnes"}</definedName>
    <definedName name="dd" localSheetId="12"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12" hidden="1">{#N/A,#N/A,TRUE,"Cover";#N/A,#N/A,TRUE,"Conts";#N/A,#N/A,TRUE,"VOS";#N/A,#N/A,TRUE,"Warrington";#N/A,#N/A,TRUE,"Widnes"}</definedName>
    <definedName name="ddddd" hidden="1">{#N/A,#N/A,TRUE,"Cover";#N/A,#N/A,TRUE,"Conts";#N/A,#N/A,TRUE,"VOS";#N/A,#N/A,TRUE,"Warrington";#N/A,#N/A,TRUE,"Widnes"}</definedName>
    <definedName name="DEPTH" localSheetId="9">#REF!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[24]Micro!#REF!</definedName>
    <definedName name="dfffff" localSheetId="9"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12"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12" hidden="1">{#N/A,#N/A,TRUE,"Cover";#N/A,#N/A,TRUE,"Conts";#N/A,#N/A,TRUE,"VOS";#N/A,#N/A,TRUE,"Warrington";#N/A,#N/A,TRUE,"Widnes"}</definedName>
    <definedName name="djjii" hidden="1">{#N/A,#N/A,TRUE,"Cover";#N/A,#N/A,TRUE,"Conts";#N/A,#N/A,TRUE,"VOS";#N/A,#N/A,TRUE,"Warrington";#N/A,#N/A,TRUE,"Widnes"}</definedName>
    <definedName name="DRAINAGE" localSheetId="12">'[17]Build-up'!#REF!</definedName>
    <definedName name="DRAINAGE">'[16]Build-up'!#REF!</definedName>
    <definedName name="drytytuyu" localSheetId="9" hidden="1">{#N/A,#N/A,TRUE,"Cover";#N/A,#N/A,TRUE,"Conts";#N/A,#N/A,TRUE,"VOS";#N/A,#N/A,TRUE,"Warrington";#N/A,#N/A,TRUE,"Widnes"}</definedName>
    <definedName name="drytytuyu" localSheetId="12" hidden="1">{#N/A,#N/A,TRUE,"Cover";#N/A,#N/A,TRUE,"Conts";#N/A,#N/A,TRUE,"VOS";#N/A,#N/A,TRUE,"Warrington";#N/A,#N/A,TRUE,"Widnes"}</definedName>
    <definedName name="drytytuyu" hidden="1">{#N/A,#N/A,TRUE,"Cover";#N/A,#N/A,TRUE,"Conts";#N/A,#N/A,TRUE,"VOS";#N/A,#N/A,TRUE,"Warrington";#N/A,#N/A,TRUE,"Widnes"}</definedName>
    <definedName name="dtdry" localSheetId="9" hidden="1">{#N/A,#N/A,TRUE,"Cover";#N/A,#N/A,TRUE,"Conts";#N/A,#N/A,TRUE,"VOS";#N/A,#N/A,TRUE,"Warrington";#N/A,#N/A,TRUE,"Widnes"}</definedName>
    <definedName name="dtdry" localSheetId="12"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12"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12"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9" hidden="1">{#N/A,#N/A,TRUE,"Cover";#N/A,#N/A,TRUE,"Conts";#N/A,#N/A,TRUE,"VOS";#N/A,#N/A,TRUE,"Warrington";#N/A,#N/A,TRUE,"Widnes"}</definedName>
    <definedName name="dydfugfuj" localSheetId="12"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12" hidden="1">{#N/A,#N/A,TRUE,"Cover";#N/A,#N/A,TRUE,"Conts";#N/A,#N/A,TRUE,"VOS";#N/A,#N/A,TRUE,"Warrington";#N/A,#N/A,TRUE,"Widnes"}</definedName>
    <definedName name="dyuiuouo" hidden="1">{#N/A,#N/A,TRUE,"Cover";#N/A,#N/A,TRUE,"Conts";#N/A,#N/A,TRUE,"VOS";#N/A,#N/A,TRUE,"Warrington";#N/A,#N/A,TRUE,"Widnes"}</definedName>
    <definedName name="eagrga" localSheetId="9" hidden="1">{#N/A,#N/A,TRUE,"Cover";#N/A,#N/A,TRUE,"Conts";#N/A,#N/A,TRUE,"VOS";#N/A,#N/A,TRUE,"Warrington";#N/A,#N/A,TRUE,"Widnes"}</definedName>
    <definedName name="eagrga" localSheetId="12" hidden="1">{#N/A,#N/A,TRUE,"Cover";#N/A,#N/A,TRUE,"Conts";#N/A,#N/A,TRUE,"VOS";#N/A,#N/A,TRUE,"Warrington";#N/A,#N/A,TRUE,"Widnes"}</definedName>
    <definedName name="eagrga" hidden="1">{#N/A,#N/A,TRUE,"Cover";#N/A,#N/A,TRUE,"Conts";#N/A,#N/A,TRUE,"VOS";#N/A,#N/A,TRUE,"Warrington";#N/A,#N/A,TRUE,"Widnes"}</definedName>
    <definedName name="ee" localSheetId="9" hidden="1">{#N/A,#N/A,TRUE,"Cover";#N/A,#N/A,TRUE,"Conts";#N/A,#N/A,TRUE,"VOS";#N/A,#N/A,TRUE,"Warrington";#N/A,#N/A,TRUE,"Widnes"}</definedName>
    <definedName name="ee" localSheetId="12"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12" hidden="1">{#N/A,#N/A,TRUE,"Cover";#N/A,#N/A,TRUE,"Conts";#N/A,#N/A,TRUE,"VOS";#N/A,#N/A,TRUE,"Warrington";#N/A,#N/A,TRUE,"Widnes"}</definedName>
    <definedName name="eeeee" hidden="1">{#N/A,#N/A,TRUE,"Cover";#N/A,#N/A,TRUE,"Conts";#N/A,#N/A,TRUE,"VOS";#N/A,#N/A,TRUE,"Warrington";#N/A,#N/A,TRUE,"Widnes"}</definedName>
    <definedName name="egag" localSheetId="9" hidden="1">{#N/A,#N/A,TRUE,"Cover";#N/A,#N/A,TRUE,"Conts";#N/A,#N/A,TRUE,"VOS";#N/A,#N/A,TRUE,"Warrington";#N/A,#N/A,TRUE,"Widnes"}</definedName>
    <definedName name="egag" localSheetId="12" hidden="1">{#N/A,#N/A,TRUE,"Cover";#N/A,#N/A,TRUE,"Conts";#N/A,#N/A,TRUE,"VOS";#N/A,#N/A,TRUE,"Warrington";#N/A,#N/A,TRUE,"Widnes"}</definedName>
    <definedName name="egag" hidden="1">{#N/A,#N/A,TRUE,"Cover";#N/A,#N/A,TRUE,"Conts";#N/A,#N/A,TRUE,"VOS";#N/A,#N/A,TRUE,"Warrington";#N/A,#N/A,TRUE,"Widnes"}</definedName>
    <definedName name="ELECTRICAL__INSTALLATIONS" localSheetId="12">'[17]Build-up'!#REF!</definedName>
    <definedName name="ELECTRICAL__INSTALLATIONS">'[16]Build-up'!#REF!</definedName>
    <definedName name="EMP_Category" localSheetId="2">[13]Lookups!#REF!</definedName>
    <definedName name="EMP_Category" localSheetId="10">[13]Lookups!#REF!</definedName>
    <definedName name="EMP_Category" localSheetId="8">[13]Lookups!#REF!</definedName>
    <definedName name="EMP_Category" localSheetId="7">[13]Lookups!#REF!</definedName>
    <definedName name="EMP_Category">[13]Lookups!#REF!</definedName>
    <definedName name="er" localSheetId="9"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12"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12"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12"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12"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12"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12"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12"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12"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12"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12"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12"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12" hidden="1">{#N/A,#N/A,TRUE,"Cover";#N/A,#N/A,TRUE,"Conts";#N/A,#N/A,TRUE,"VOS";#N/A,#N/A,TRUE,"Warrington";#N/A,#N/A,TRUE,"Widnes"}</definedName>
    <definedName name="eryytrysy" hidden="1">{#N/A,#N/A,TRUE,"Cover";#N/A,#N/A,TRUE,"Conts";#N/A,#N/A,TRUE,"VOS";#N/A,#N/A,TRUE,"Warrington";#N/A,#N/A,TRUE,"Widnes"}</definedName>
    <definedName name="estetystry" localSheetId="9" hidden="1">{#N/A,#N/A,TRUE,"Cover";#N/A,#N/A,TRUE,"Conts";#N/A,#N/A,TRUE,"VOS";#N/A,#N/A,TRUE,"Warrington";#N/A,#N/A,TRUE,"Widnes"}</definedName>
    <definedName name="estetystry" localSheetId="12"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12"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12"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12"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12"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12"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12"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12" hidden="1">{#N/A,#N/A,TRUE,"Cover";#N/A,#N/A,TRUE,"Conts";#N/A,#N/A,TRUE,"VOS";#N/A,#N/A,TRUE,"Warrington";#N/A,#N/A,TRUE,"Widnes"}</definedName>
    <definedName name="etyytr" hidden="1">{#N/A,#N/A,TRUE,"Cover";#N/A,#N/A,TRUE,"Conts";#N/A,#N/A,TRUE,"VOS";#N/A,#N/A,TRUE,"Warrington";#N/A,#N/A,TRUE,"Widnes"}</definedName>
    <definedName name="ewateryryxyz" localSheetId="9" hidden="1">{#N/A,#N/A,TRUE,"Cover";#N/A,#N/A,TRUE,"Conts";#N/A,#N/A,TRUE,"VOS";#N/A,#N/A,TRUE,"Warrington";#N/A,#N/A,TRUE,"Widnes"}</definedName>
    <definedName name="ewateryryxyz" localSheetId="12"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12"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12" hidden="1">{#N/A,#N/A,TRUE,"Cover";#N/A,#N/A,TRUE,"Conts";#N/A,#N/A,TRUE,"VOS";#N/A,#N/A,TRUE,"Warrington";#N/A,#N/A,TRUE,"Widnes"}</definedName>
    <definedName name="ewtateryry" hidden="1">{#N/A,#N/A,TRUE,"Cover";#N/A,#N/A,TRUE,"Conts";#N/A,#N/A,TRUE,"VOS";#N/A,#N/A,TRUE,"Warrington";#N/A,#N/A,TRUE,"Widnes"}</definedName>
    <definedName name="Exclusions">[25]Summary!$A$1:$B$43</definedName>
    <definedName name="EXTERNAL__SERVICES" localSheetId="9">'[16]Build-up'!#REF!</definedName>
    <definedName name="EXTERNAL__SERVICES" localSheetId="12">'[17]Build-up'!#REF!</definedName>
    <definedName name="EXTERNAL__SERVICES">'[16]Build-up'!#REF!</definedName>
    <definedName name="EXTERNAL__WALLS" localSheetId="9">'[16]Build-up'!#REF!</definedName>
    <definedName name="EXTERNAL__WALLS" localSheetId="12">'[17]Build-up'!#REF!</definedName>
    <definedName name="EXTERNAL__WALLS">'[16]Build-up'!#REF!</definedName>
    <definedName name="eyy" localSheetId="9" hidden="1">{#N/A,#N/A,TRUE,"Cover";#N/A,#N/A,TRUE,"Conts";#N/A,#N/A,TRUE,"VOS";#N/A,#N/A,TRUE,"Warrington";#N/A,#N/A,TRUE,"Widnes"}</definedName>
    <definedName name="eyy" localSheetId="12" hidden="1">{#N/A,#N/A,TRUE,"Cover";#N/A,#N/A,TRUE,"Conts";#N/A,#N/A,TRUE,"VOS";#N/A,#N/A,TRUE,"Warrington";#N/A,#N/A,TRUE,"Widnes"}</definedName>
    <definedName name="eyy" hidden="1">{#N/A,#N/A,TRUE,"Cover";#N/A,#N/A,TRUE,"Conts";#N/A,#N/A,TRUE,"VOS";#N/A,#N/A,TRUE,"Warrington";#N/A,#N/A,TRUE,"Widnes"}</definedName>
    <definedName name="fdff" localSheetId="9"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12" hidden="1">{#N/A,#N/A,TRUE,"Cover";#N/A,#N/A,TRUE,"Conts";#N/A,#N/A,TRUE,"VOS";#N/A,#N/A,TRUE,"Warrington";#N/A,#N/A,TRUE,"Widnes"}</definedName>
    <definedName name="Fees.1" hidden="1">{#N/A,#N/A,TRUE,"Cover";#N/A,#N/A,TRUE,"Conts";#N/A,#N/A,TRUE,"VOS";#N/A,#N/A,TRUE,"Warrington";#N/A,#N/A,TRUE,"Widnes"}</definedName>
    <definedName name="fg" localSheetId="9" hidden="1">{#N/A,#N/A,TRUE,"Cover";#N/A,#N/A,TRUE,"Conts";#N/A,#N/A,TRUE,"VOS";#N/A,#N/A,TRUE,"Warrington";#N/A,#N/A,TRUE,"Widnes"}</definedName>
    <definedName name="fg" localSheetId="12"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9"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12"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12"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12" hidden="1">{#N/A,#N/A,TRUE,"Cover";#N/A,#N/A,TRUE,"Conts";#N/A,#N/A,TRUE,"VOS";#N/A,#N/A,TRUE,"Warrington";#N/A,#N/A,TRUE,"Widnes"}</definedName>
    <definedName name="fhjsjs" hidden="1">{#N/A,#N/A,TRUE,"Cover";#N/A,#N/A,TRUE,"Conts";#N/A,#N/A,TRUE,"VOS";#N/A,#N/A,TRUE,"Warrington";#N/A,#N/A,TRUE,"Widnes"}</definedName>
    <definedName name="fkfkvhikkhju" localSheetId="9" hidden="1">{#N/A,#N/A,TRUE,"Cover";#N/A,#N/A,TRUE,"Conts";#N/A,#N/A,TRUE,"VOS";#N/A,#N/A,TRUE,"Warrington";#N/A,#N/A,TRUE,"Widnes"}</definedName>
    <definedName name="fkfkvhikkhju" localSheetId="12" hidden="1">{#N/A,#N/A,TRUE,"Cover";#N/A,#N/A,TRUE,"Conts";#N/A,#N/A,TRUE,"VOS";#N/A,#N/A,TRUE,"Warrington";#N/A,#N/A,TRUE,"Widnes"}</definedName>
    <definedName name="fkfkvhikkhju" hidden="1">{#N/A,#N/A,TRUE,"Cover";#N/A,#N/A,TRUE,"Conts";#N/A,#N/A,TRUE,"VOS";#N/A,#N/A,TRUE,"Warrington";#N/A,#N/A,TRUE,"Widnes"}</definedName>
    <definedName name="FLOOR__FINISHES" localSheetId="12">'[17]Build-up'!#REF!</definedName>
    <definedName name="FLOOR__FINISHES">'[16]Build-up'!#REF!</definedName>
    <definedName name="FRAME" localSheetId="12">'[17]Build-up'!#REF!</definedName>
    <definedName name="FRAME">'[16]Build-up'!#REF!</definedName>
    <definedName name="frjj" localSheetId="9" hidden="1">{#N/A,#N/A,TRUE,"Cover";#N/A,#N/A,TRUE,"Conts";#N/A,#N/A,TRUE,"VOS";#N/A,#N/A,TRUE,"Warrington";#N/A,#N/A,TRUE,"Widnes"}</definedName>
    <definedName name="frjj" localSheetId="12" hidden="1">{#N/A,#N/A,TRUE,"Cover";#N/A,#N/A,TRUE,"Conts";#N/A,#N/A,TRUE,"VOS";#N/A,#N/A,TRUE,"Warrington";#N/A,#N/A,TRUE,"Widnes"}</definedName>
    <definedName name="frjj" hidden="1">{#N/A,#N/A,TRUE,"Cover";#N/A,#N/A,TRUE,"Conts";#N/A,#N/A,TRUE,"VOS";#N/A,#N/A,TRUE,"Warrington";#N/A,#N/A,TRUE,"Widnes"}</definedName>
    <definedName name="gaeg" localSheetId="9" hidden="1">{#N/A,#N/A,TRUE,"Cover";#N/A,#N/A,TRUE,"Conts";#N/A,#N/A,TRUE,"VOS";#N/A,#N/A,TRUE,"Warrington";#N/A,#N/A,TRUE,"Widnes"}</definedName>
    <definedName name="gaeg" localSheetId="12"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12" hidden="1">{#N/A,#N/A,TRUE,"Cover";#N/A,#N/A,TRUE,"Conts";#N/A,#N/A,TRUE,"VOS";#N/A,#N/A,TRUE,"Warrington";#N/A,#N/A,TRUE,"Widnes"}</definedName>
    <definedName name="gaegg" hidden="1">{#N/A,#N/A,TRUE,"Cover";#N/A,#N/A,TRUE,"Conts";#N/A,#N/A,TRUE,"VOS";#N/A,#N/A,TRUE,"Warrington";#N/A,#N/A,TRUE,"Widnes"}</definedName>
    <definedName name="geag" localSheetId="9" hidden="1">{#N/A,#N/A,TRUE,"Cover";#N/A,#N/A,TRUE,"Conts";#N/A,#N/A,TRUE,"VOS";#N/A,#N/A,TRUE,"Warrington";#N/A,#N/A,TRUE,"Widnes"}</definedName>
    <definedName name="geag" localSheetId="12"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12"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12"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'[26]GEN PROG'!$A$1:$P$27</definedName>
    <definedName name="ggdrgdfhyyj" localSheetId="9" hidden="1">{#N/A,#N/A,TRUE,"Cover";#N/A,#N/A,TRUE,"Conts";#N/A,#N/A,TRUE,"VOS";#N/A,#N/A,TRUE,"Warrington";#N/A,#N/A,TRUE,"Widnes"}</definedName>
    <definedName name="ggdrgdfhyyj" localSheetId="12"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12"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12"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12"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12" hidden="1">{#N/A,#N/A,TRUE,"Cover";#N/A,#N/A,TRUE,"Conts";#N/A,#N/A,TRUE,"VOS";#N/A,#N/A,TRUE,"Warrington";#N/A,#N/A,TRUE,"Widnes"}</definedName>
    <definedName name="gjkkl" hidden="1">{#N/A,#N/A,TRUE,"Cover";#N/A,#N/A,TRUE,"Conts";#N/A,#N/A,TRUE,"VOS";#N/A,#N/A,TRUE,"Warrington";#N/A,#N/A,TRUE,"Widnes"}</definedName>
    <definedName name="gtrghr" localSheetId="9" hidden="1">{#N/A,#N/A,TRUE,"Cover";#N/A,#N/A,TRUE,"Conts";#N/A,#N/A,TRUE,"VOS";#N/A,#N/A,TRUE,"Warrington";#N/A,#N/A,TRUE,"Widnes"}</definedName>
    <definedName name="gtrghr" localSheetId="12" hidden="1">{#N/A,#N/A,TRUE,"Cover";#N/A,#N/A,TRUE,"Conts";#N/A,#N/A,TRUE,"VOS";#N/A,#N/A,TRUE,"Warrington";#N/A,#N/A,TRUE,"Widnes"}</definedName>
    <definedName name="gtrghr" hidden="1">{#N/A,#N/A,TRUE,"Cover";#N/A,#N/A,TRUE,"Conts";#N/A,#N/A,TRUE,"VOS";#N/A,#N/A,TRUE,"Warrington";#N/A,#N/A,TRUE,"Widnes"}</definedName>
    <definedName name="gwgtergyr" localSheetId="9" hidden="1">{#N/A,#N/A,TRUE,"Cover";#N/A,#N/A,TRUE,"Conts";#N/A,#N/A,TRUE,"VOS";#N/A,#N/A,TRUE,"Warrington";#N/A,#N/A,TRUE,"Widnes"}</definedName>
    <definedName name="gwgtergyr" localSheetId="12" hidden="1">{#N/A,#N/A,TRUE,"Cover";#N/A,#N/A,TRUE,"Conts";#N/A,#N/A,TRUE,"VOS";#N/A,#N/A,TRUE,"Warrington";#N/A,#N/A,TRUE,"Widnes"}</definedName>
    <definedName name="gwgtergyr" hidden="1">{#N/A,#N/A,TRUE,"Cover";#N/A,#N/A,TRUE,"Conts";#N/A,#N/A,TRUE,"VOS";#N/A,#N/A,TRUE,"Warrington";#N/A,#N/A,TRUE,"Widnes"}</definedName>
    <definedName name="hfhgf" localSheetId="9" hidden="1">{#N/A,#N/A,TRUE,"Cover";#N/A,#N/A,TRUE,"Conts";#N/A,#N/A,TRUE,"VOS";#N/A,#N/A,TRUE,"Warrington";#N/A,#N/A,TRUE,"Widnes"}</definedName>
    <definedName name="hfhgf" localSheetId="12" hidden="1">{#N/A,#N/A,TRUE,"Cover";#N/A,#N/A,TRUE,"Conts";#N/A,#N/A,TRUE,"VOS";#N/A,#N/A,TRUE,"Warrington";#N/A,#N/A,TRUE,"Widnes"}</definedName>
    <definedName name="hfhgf" hidden="1">{#N/A,#N/A,TRUE,"Cover";#N/A,#N/A,TRUE,"Conts";#N/A,#N/A,TRUE,"VOS";#N/A,#N/A,TRUE,"Warrington";#N/A,#N/A,TRUE,"Widnes"}</definedName>
    <definedName name="hgkhkg" localSheetId="9" hidden="1">{#N/A,#N/A,TRUE,"Cover";#N/A,#N/A,TRUE,"Conts";#N/A,#N/A,TRUE,"VOS";#N/A,#N/A,TRUE,"Warrington";#N/A,#N/A,TRUE,"Widnes"}</definedName>
    <definedName name="hgkhkg" localSheetId="12" hidden="1">{#N/A,#N/A,TRUE,"Cover";#N/A,#N/A,TRUE,"Conts";#N/A,#N/A,TRUE,"VOS";#N/A,#N/A,TRUE,"Warrington";#N/A,#N/A,TRUE,"Widnes"}</definedName>
    <definedName name="hgkhkg" hidden="1">{#N/A,#N/A,TRUE,"Cover";#N/A,#N/A,TRUE,"Conts";#N/A,#N/A,TRUE,"VOS";#N/A,#N/A,TRUE,"Warrington";#N/A,#N/A,TRUE,"Widnes"}</definedName>
    <definedName name="hjdj" localSheetId="9" hidden="1">{#N/A,#N/A,TRUE,"Cover";#N/A,#N/A,TRUE,"Conts";#N/A,#N/A,TRUE,"VOS";#N/A,#N/A,TRUE,"Warrington";#N/A,#N/A,TRUE,"Widnes"}</definedName>
    <definedName name="hjdj" localSheetId="12" hidden="1">{#N/A,#N/A,TRUE,"Cover";#N/A,#N/A,TRUE,"Conts";#N/A,#N/A,TRUE,"VOS";#N/A,#N/A,TRUE,"Warrington";#N/A,#N/A,TRUE,"Widnes"}</definedName>
    <definedName name="hjdj" hidden="1">{#N/A,#N/A,TRUE,"Cover";#N/A,#N/A,TRUE,"Conts";#N/A,#N/A,TRUE,"VOS";#N/A,#N/A,TRUE,"Warrington";#N/A,#N/A,TRUE,"Widnes"}</definedName>
    <definedName name="HOME" localSheetId="9">#REF!</definedName>
    <definedName name="HOME">#REF!</definedName>
    <definedName name="HPTAL" localSheetId="9" hidden="1">#REF!</definedName>
    <definedName name="HPTAL" hidden="1">#REF!</definedName>
    <definedName name="hshjy" localSheetId="9" hidden="1">{#N/A,#N/A,TRUE,"Cover";#N/A,#N/A,TRUE,"Conts";#N/A,#N/A,TRUE,"VOS";#N/A,#N/A,TRUE,"Warrington";#N/A,#N/A,TRUE,"Widnes"}</definedName>
    <definedName name="hshjy" localSheetId="12"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12"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12"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9" hidden="1">{"'Appendix 3 Currency'!$A$1:$U$96"}</definedName>
    <definedName name="HTML_Control" localSheetId="12"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12"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12"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12"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12"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12" hidden="1">{#N/A,#N/A,TRUE,"Cover";#N/A,#N/A,TRUE,"Conts";#N/A,#N/A,TRUE,"VOS";#N/A,#N/A,TRUE,"Warrington";#N/A,#N/A,TRUE,"Widnes"}</definedName>
    <definedName name="iho" hidden="1">{#N/A,#N/A,TRUE,"Cover";#N/A,#N/A,TRUE,"Conts";#N/A,#N/A,TRUE,"VOS";#N/A,#N/A,TRUE,"Warrington";#N/A,#N/A,TRUE,"Widnes"}</definedName>
    <definedName name="Incident_Tier" localSheetId="2">[13]Lookups!#REF!</definedName>
    <definedName name="Incident_Tier" localSheetId="10">[13]Lookups!#REF!</definedName>
    <definedName name="Incident_Tier" localSheetId="7">[13]Lookups!#REF!</definedName>
    <definedName name="Incident_Tier">[13]Lookups!#REF!</definedName>
    <definedName name="Incident_Type" localSheetId="10">[13]Lookups!#REF!</definedName>
    <definedName name="Incident_Type" localSheetId="7">[13]Lookups!#REF!</definedName>
    <definedName name="Incident_Type">[13]Lookups!#REF!</definedName>
    <definedName name="Inside_Dia__ID" localSheetId="9">'[27]Pipe Schedule'!$C$7:$E$15</definedName>
    <definedName name="Inside_Dia__ID" localSheetId="12">'[28]Pipe Schedule'!$C$7:$E$15</definedName>
    <definedName name="Inside_Dia__ID">'[27]Pipe Schedule'!$C$7:$E$15</definedName>
    <definedName name="Interior" localSheetId="9">#REF!</definedName>
    <definedName name="Interior">#REF!</definedName>
    <definedName name="INTERNAL__WALLS__AND__PARTITIONS" localSheetId="9">'[16]Build-up'!#REF!</definedName>
    <definedName name="INTERNAL__WALLS__AND__PARTITIONS" localSheetId="12">'[17]Build-up'!#REF!</definedName>
    <definedName name="INTERNAL__WALLS__AND__PARTITIONS">'[16]Build-up'!#REF!</definedName>
    <definedName name="INVOICE2" localSheetId="9" hidden="1">#REF!</definedName>
    <definedName name="INVOICE2" hidden="1">#REF!</definedName>
    <definedName name="io" localSheetId="9" hidden="1">{#N/A,#N/A,TRUE,"Cover";#N/A,#N/A,TRUE,"Conts";#N/A,#N/A,TRUE,"VOS";#N/A,#N/A,TRUE,"Warrington";#N/A,#N/A,TRUE,"Widnes"}</definedName>
    <definedName name="io" localSheetId="12"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12"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12"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12"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9">#REF!</definedName>
    <definedName name="IRR">#REF!</definedName>
    <definedName name="IssEscStatus1" localSheetId="2">'[29]#1'!$B$10:$B$14</definedName>
    <definedName name="IssEscStatus1" localSheetId="9">'[30]#1'!$B$10:$B$14</definedName>
    <definedName name="IssEscStatus1" localSheetId="12">'[31]#1'!$B$10:$B$14</definedName>
    <definedName name="IssEscStatus1" localSheetId="7">'[32]#1'!$B$10:$B$14</definedName>
    <definedName name="IssEscStatus1">'[30]#1'!$B$10:$B$14</definedName>
    <definedName name="Item_Range" localSheetId="9">#REF!</definedName>
    <definedName name="Item_Range">#REF!</definedName>
    <definedName name="iu" localSheetId="9" hidden="1">{#N/A,#N/A,TRUE,"Cover";#N/A,#N/A,TRUE,"Conts";#N/A,#N/A,TRUE,"VOS";#N/A,#N/A,TRUE,"Warrington";#N/A,#N/A,TRUE,"Widnes"}</definedName>
    <definedName name="iu" localSheetId="12"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12"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12"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12"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12"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12"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12"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12"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12"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12"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12"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12"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12"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12"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12"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12"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12"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12" hidden="1">{#N/A,#N/A,TRUE,"Cover";#N/A,#N/A,TRUE,"Conts";#N/A,#N/A,TRUE,"VOS";#N/A,#N/A,TRUE,"Warrington";#N/A,#N/A,TRUE,"Widnes"}</definedName>
    <definedName name="jtyhjswjy" hidden="1">{#N/A,#N/A,TRUE,"Cover";#N/A,#N/A,TRUE,"Conts";#N/A,#N/A,TRUE,"VOS";#N/A,#N/A,TRUE,"Warrington";#N/A,#N/A,TRUE,"Widnes"}</definedName>
    <definedName name="k" localSheetId="9" hidden="1">{#N/A,#N/A,TRUE,"Cover";#N/A,#N/A,TRUE,"Conts";#N/A,#N/A,TRUE,"VOS";#N/A,#N/A,TRUE,"Warrington";#N/A,#N/A,TRUE,"Widnes"}</definedName>
    <definedName name="k" localSheetId="12" hidden="1">{#N/A,#N/A,TRUE,"Cover";#N/A,#N/A,TRUE,"Conts";#N/A,#N/A,TRUE,"VOS";#N/A,#N/A,TRUE,"Warrington";#N/A,#N/A,TRUE,"Widnes"}</definedName>
    <definedName name="k" hidden="1">{#N/A,#N/A,TRUE,"Cover";#N/A,#N/A,TRUE,"Conts";#N/A,#N/A,TRUE,"VOS";#N/A,#N/A,TRUE,"Warrington";#N/A,#N/A,TRUE,"Widnes"}</definedName>
    <definedName name="K9B_1" localSheetId="9">'[33]Channel Invert'!$D$11:$E$543</definedName>
    <definedName name="K9B_1" localSheetId="12">'[34]Channel Invert'!$D$11:$E$543</definedName>
    <definedName name="K9B_1">'[33]Channel Invert'!$D$11:$E$543</definedName>
    <definedName name="K9B_2" localSheetId="9">'[33]Channel Invert'!$D$544:$E$1393</definedName>
    <definedName name="K9B_2" localSheetId="12">'[34]Channel Invert'!$D$544:$E$1393</definedName>
    <definedName name="K9B_2">'[33]Channel Invert'!$D$544:$E$1393</definedName>
    <definedName name="kgjfgjgj" localSheetId="9" hidden="1">{#N/A,#N/A,TRUE,"Cover";#N/A,#N/A,TRUE,"Conts";#N/A,#N/A,TRUE,"VOS";#N/A,#N/A,TRUE,"Warrington";#N/A,#N/A,TRUE,"Widnes"}</definedName>
    <definedName name="kgjfgjgj" localSheetId="12"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12"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12"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'[26]TOTAL MHRS'!$A$3:$O$68</definedName>
    <definedName name="kklmlk" localSheetId="9" hidden="1">{#N/A,#N/A,TRUE,"Cover";#N/A,#N/A,TRUE,"Conts";#N/A,#N/A,TRUE,"VOS";#N/A,#N/A,TRUE,"Warrington";#N/A,#N/A,TRUE,"Widnes"}</definedName>
    <definedName name="kklmlk" localSheetId="12"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10">#REF!</definedName>
    <definedName name="kpi" localSheetId="8">#REF!</definedName>
    <definedName name="kpi" localSheetId="9">#REF!</definedName>
    <definedName name="kpi" localSheetId="7">#REF!</definedName>
    <definedName name="kpi">#REF!</definedName>
    <definedName name="kryk" localSheetId="9" hidden="1">{#N/A,#N/A,TRUE,"Cover";#N/A,#N/A,TRUE,"Conts";#N/A,#N/A,TRUE,"VOS";#N/A,#N/A,TRUE,"Warrington";#N/A,#N/A,TRUE,"Widnes"}</definedName>
    <definedName name="kryk" localSheetId="12" hidden="1">{#N/A,#N/A,TRUE,"Cover";#N/A,#N/A,TRUE,"Conts";#N/A,#N/A,TRUE,"VOS";#N/A,#N/A,TRUE,"Warrington";#N/A,#N/A,TRUE,"Widnes"}</definedName>
    <definedName name="kryk" hidden="1">{#N/A,#N/A,TRUE,"Cover";#N/A,#N/A,TRUE,"Conts";#N/A,#N/A,TRUE,"VOS";#N/A,#N/A,TRUE,"Warrington";#N/A,#N/A,TRUE,"Widnes"}</definedName>
    <definedName name="KYSTH" localSheetId="9" hidden="1">{#N/A,#N/A,TRUE,"Cover";#N/A,#N/A,TRUE,"Conts";#N/A,#N/A,TRUE,"VOS";#N/A,#N/A,TRUE,"Warrington";#N/A,#N/A,TRUE,"Widnes"}</definedName>
    <definedName name="KYSTH" localSheetId="12"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12" hidden="1">{#N/A,#N/A,TRUE,"Cover";#N/A,#N/A,TRUE,"Conts";#N/A,#N/A,TRUE,"VOS";#N/A,#N/A,TRUE,"Warrington";#N/A,#N/A,TRUE,"Widnes"}</definedName>
    <definedName name="l" hidden="1">{#N/A,#N/A,TRUE,"Cover";#N/A,#N/A,TRUE,"Conts";#N/A,#N/A,TRUE,"VOS";#N/A,#N/A,TRUE,"Warrington";#N/A,#N/A,TRUE,"Widnes"}</definedName>
    <definedName name="Lab">#N/A</definedName>
    <definedName name="LAB_PART">[35]RATES!$E$65</definedName>
    <definedName name="LAB_UPLIFT">[35]RATES!$G$65</definedName>
    <definedName name="level" localSheetId="9" hidden="1">{#N/A,#N/A,TRUE,"Cover";#N/A,#N/A,TRUE,"Conts";#N/A,#N/A,TRUE,"VOS";#N/A,#N/A,TRUE,"Warrington";#N/A,#N/A,TRUE,"Widnes"}</definedName>
    <definedName name="level" localSheetId="12"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12"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12" hidden="1">{#N/A,#N/A,TRUE,"Cover";#N/A,#N/A,TRUE,"Conts";#N/A,#N/A,TRUE,"VOS";#N/A,#N/A,TRUE,"Warrington";#N/A,#N/A,TRUE,"Widnes"}</definedName>
    <definedName name="lgoguliu" hidden="1">{#N/A,#N/A,TRUE,"Cover";#N/A,#N/A,TRUE,"Conts";#N/A,#N/A,TRUE,"VOS";#N/A,#N/A,TRUE,"Warrington";#N/A,#N/A,TRUE,"Widnes"}</definedName>
    <definedName name="Lib_Range" localSheetId="9">#REF!</definedName>
    <definedName name="Lib_Range">#REF!</definedName>
    <definedName name="lkjikjoi" localSheetId="9" hidden="1">{#N/A,#N/A,TRUE,"Cover";#N/A,#N/A,TRUE,"Conts";#N/A,#N/A,TRUE,"VOS";#N/A,#N/A,TRUE,"Warrington";#N/A,#N/A,TRUE,"Widnes"}</definedName>
    <definedName name="lkjikjoi" localSheetId="12"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9">City&amp;" "&amp;State</definedName>
    <definedName name="Location" localSheetId="12">City&amp;" "&amp;State</definedName>
    <definedName name="Location">City&amp;" "&amp;State</definedName>
    <definedName name="m" localSheetId="9" hidden="1">#REF!</definedName>
    <definedName name="m" hidden="1">#REF!</definedName>
    <definedName name="ma" localSheetId="9" hidden="1">{#N/A,#N/A,TRUE,"Cover";#N/A,#N/A,TRUE,"Conts";#N/A,#N/A,TRUE,"VOS";#N/A,#N/A,TRUE,"Warrington";#N/A,#N/A,TRUE,"Widnes"}</definedName>
    <definedName name="ma" localSheetId="12" hidden="1">{#N/A,#N/A,TRUE,"Cover";#N/A,#N/A,TRUE,"Conts";#N/A,#N/A,TRUE,"VOS";#N/A,#N/A,TRUE,"Warrington";#N/A,#N/A,TRUE,"Widnes"}</definedName>
    <definedName name="ma" hidden="1">{#N/A,#N/A,TRUE,"Cover";#N/A,#N/A,TRUE,"Conts";#N/A,#N/A,TRUE,"VOS";#N/A,#N/A,TRUE,"Warrington";#N/A,#N/A,TRUE,"Widnes"}</definedName>
    <definedName name="Manhole" localSheetId="9">'[36]Manhole Sch'!$F$12:$Q$20</definedName>
    <definedName name="Manhole" localSheetId="12">'[37]Manhole Sch'!$F$12:$Q$20</definedName>
    <definedName name="Manhole">'[36]Manhole Sch'!$F$12:$Q$20</definedName>
    <definedName name="MANUEL_INPUT" localSheetId="9">#REF!</definedName>
    <definedName name="MANUEL_INPUT">#REF!</definedName>
    <definedName name="masontry" localSheetId="9"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9">City&amp;" "&amp;State</definedName>
    <definedName name="Material" localSheetId="12">City&amp;" "&amp;State</definedName>
    <definedName name="Material">City&amp;" "&amp;State</definedName>
    <definedName name="MATL_PART">[35]RATES!$E$67</definedName>
    <definedName name="MEP" localSheetId="9"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12">'[17]Build-up'!#REF!</definedName>
    <definedName name="MINOR__BUILDING__WORKS">'[16]Build-up'!#REF!</definedName>
    <definedName name="mortor">#N/A</definedName>
    <definedName name="MS_DW_1">'[38]D Wall ~ Moorgate Shaft'!$O$6</definedName>
    <definedName name="MS_DW_10">'[38]D Wall ~ Moorgate Shaft'!$O$190</definedName>
    <definedName name="MS_DW_13">'[38]D Wall ~ Moorgate Shaft'!$O$229</definedName>
    <definedName name="MS_DW_14">'[38]D Wall ~ Moorgate Shaft'!$O$246</definedName>
    <definedName name="MS_DW_15">'[38]D Wall ~ Moorgate Shaft'!$O$281</definedName>
    <definedName name="MS_DW_16">'[38]D Wall ~ Moorgate Shaft'!$O$288</definedName>
    <definedName name="MS_DW_2">'[38]D Wall ~ Moorgate Shaft'!$O$24</definedName>
    <definedName name="MS_DW_3">'[38]D Wall ~ Moorgate Shaft'!$O$59</definedName>
    <definedName name="MS_DW_4">'[38]D Wall ~ Moorgate Shaft'!$O$102</definedName>
    <definedName name="MS_DW_5">'[38]D Wall ~ Moorgate Shaft'!$O$110</definedName>
    <definedName name="MS_DW_6">'[38]D Wall ~ Moorgate Shaft'!$O$126</definedName>
    <definedName name="MS_DW_7">'[38]D Wall ~ Moorgate Shaft'!$O$146</definedName>
    <definedName name="MS_DW_8">'[38]D Wall ~ Moorgate Shaft'!$O$161</definedName>
    <definedName name="MS_DW_9">'[38]D Wall ~ Moorgate Shaft'!$O$177</definedName>
    <definedName name="MST">#REF!</definedName>
    <definedName name="nddddddddf" localSheetId="9" hidden="1">{#N/A,#N/A,TRUE,"Cover";#N/A,#N/A,TRUE,"Conts";#N/A,#N/A,TRUE,"VOS";#N/A,#N/A,TRUE,"Warrington";#N/A,#N/A,TRUE,"Widnes"}</definedName>
    <definedName name="nddddddddf" localSheetId="12" hidden="1">{#N/A,#N/A,TRUE,"Cover";#N/A,#N/A,TRUE,"Conts";#N/A,#N/A,TRUE,"VOS";#N/A,#N/A,TRUE,"Warrington";#N/A,#N/A,TRUE,"Widnes"}</definedName>
    <definedName name="nddddddddf" hidden="1">{#N/A,#N/A,TRUE,"Cover";#N/A,#N/A,TRUE,"Conts";#N/A,#N/A,TRUE,"VOS";#N/A,#N/A,TRUE,"Warrington";#N/A,#N/A,TRUE,"Widnes"}</definedName>
    <definedName name="nnn" localSheetId="9"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9" hidden="1">{#N/A,#N/A,TRUE,"Cover";#N/A,#N/A,TRUE,"Conts";#N/A,#N/A,TRUE,"VOS";#N/A,#N/A,TRUE,"Warrington";#N/A,#N/A,TRUE,"Widnes"}</definedName>
    <definedName name="no.1" localSheetId="12"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12" hidden="1">{#N/A,#N/A,TRUE,"Cover";#N/A,#N/A,TRUE,"Conts";#N/A,#N/A,TRUE,"VOS";#N/A,#N/A,TRUE,"Warrington";#N/A,#N/A,TRUE,"Widnes"}</definedName>
    <definedName name="o9u0piupi" hidden="1">{#N/A,#N/A,TRUE,"Cover";#N/A,#N/A,TRUE,"Conts";#N/A,#N/A,TRUE,"VOS";#N/A,#N/A,TRUE,"Warrington";#N/A,#N/A,TRUE,"Widnes"}</definedName>
    <definedName name="oi" localSheetId="9" hidden="1">{#N/A,#N/A,TRUE,"Cover";#N/A,#N/A,TRUE,"Conts";#N/A,#N/A,TRUE,"VOS";#N/A,#N/A,TRUE,"Warrington";#N/A,#N/A,TRUE,"Widnes"}</definedName>
    <definedName name="oi" localSheetId="12"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12"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9">#REF!</definedName>
    <definedName name="ORBC">#REF!</definedName>
    <definedName name="ORBQ" localSheetId="2">#REF!</definedName>
    <definedName name="ORBQ" localSheetId="9">#REF!</definedName>
    <definedName name="ORBQ">#REF!</definedName>
    <definedName name="osdnvkls" hidden="1">'[39]Labor abs-NMR'!$I$1:$I$7</definedName>
    <definedName name="p" localSheetId="9" hidden="1">#REF!</definedName>
    <definedName name="p" hidden="1">#REF!</definedName>
    <definedName name="P1R" localSheetId="9">'[23]Fill this out first...'!#REF!</definedName>
    <definedName name="P1R">'[23]Fill this out first...'!#REF!</definedName>
    <definedName name="P2R">'[23]Fill this out first...'!#REF!</definedName>
    <definedName name="P3R">'[23]Fill this out first...'!#REF!</definedName>
    <definedName name="P4R">'[23]Fill this out first...'!#REF!</definedName>
    <definedName name="P5R">'[23]Fill this out first...'!#REF!</definedName>
    <definedName name="p7y" localSheetId="9" hidden="1">{#N/A,#N/A,TRUE,"Cover";#N/A,#N/A,TRUE,"Conts";#N/A,#N/A,TRUE,"VOS";#N/A,#N/A,TRUE,"Warrington";#N/A,#N/A,TRUE,"Widnes"}</definedName>
    <definedName name="p7y" localSheetId="12"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12" hidden="1">{#N/A,#N/A,TRUE,"Cover";#N/A,#N/A,TRUE,"Conts";#N/A,#N/A,TRUE,"VOS";#N/A,#N/A,TRUE,"Warrington";#N/A,#N/A,TRUE,"Widnes"}</definedName>
    <definedName name="pafegseg" hidden="1">{#N/A,#N/A,TRUE,"Cover";#N/A,#N/A,TRUE,"Conts";#N/A,#N/A,TRUE,"VOS";#N/A,#N/A,TRUE,"Warrington";#N/A,#N/A,TRUE,"Widnes"}</definedName>
    <definedName name="PAN_TILES" localSheetId="9">#REF!</definedName>
    <definedName name="PAN_TILES">#REF!</definedName>
    <definedName name="Pavement_Type">[18]Road_Schedule!$Q$4:$X$6</definedName>
    <definedName name="PCA" localSheetId="9"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9" hidden="1">{#N/A,#N/A,FALSE,"intag";#N/A,#N/A,FALSE,"budg";#N/A,#N/A,FALSE,"samtl"}</definedName>
    <definedName name="perbolag" localSheetId="12"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12" hidden="1">{#N/A,#N/A,FALSE,"intag";#N/A,#N/A,FALSE,"budg";#N/A,#N/A,FALSE,"samtl"}</definedName>
    <definedName name="perbolagneu" hidden="1">{#N/A,#N/A,FALSE,"intag";#N/A,#N/A,FALSE,"budg";#N/A,#N/A,FALSE,"samtl"}</definedName>
    <definedName name="PhaseCode">'[23]Fill this out first...'!$D$17</definedName>
    <definedName name="PILE_1_MOOR">'[38]Moorgate Piling'!$O$5</definedName>
    <definedName name="PILE_10_Moor">'[38]Moorgate Piling'!$O$236</definedName>
    <definedName name="PILE_11_Moor">'[38]Moorgate Piling'!$O$250</definedName>
    <definedName name="PILE_12_Moor">'[38]Moorgate Piling'!$O$264</definedName>
    <definedName name="PILE_2_LUL">'[38]Moorgate Piling'!$O$85</definedName>
    <definedName name="PILE_2_Moor">'[38]Moorgate Piling'!$O$45</definedName>
    <definedName name="PILE_2a_LUL">'[38]Moorgate Piling'!$O$125</definedName>
    <definedName name="PILE_3_Moor">'[38]Moorgate Piling'!$O$170</definedName>
    <definedName name="PILE_4_Moor">'[38]Moorgate Piling'!$O$192</definedName>
    <definedName name="PILE_5_Moor">'[38]Moorgate Piling'!$O$201</definedName>
    <definedName name="PILE_6_Moor">'[38]Moorgate Piling'!$O$208</definedName>
    <definedName name="PILE_7_Moor">'[38]Moorgate Piling'!$O$215</definedName>
    <definedName name="PILE_8_Moor">'[38]Moorgate Piling'!$O$222</definedName>
    <definedName name="PILE_9_Moor">'[38]Moorgate Piling'!$O$229</definedName>
    <definedName name="PipeClass">'[18]CESMM3 class'!$B$7:$C$14</definedName>
    <definedName name="PipeSize" localSheetId="9">'[40]Pipe Schedule'!$C$7:$W$15</definedName>
    <definedName name="PipeSize" localSheetId="12">'[41]Pipe Schedule'!$C$7:$W$15</definedName>
    <definedName name="PipeSize">'[40]Pipe Schedule'!$C$7:$W$15</definedName>
    <definedName name="PipeSizeFRP" localSheetId="9">'[40]Pipe Schedule'!$B$44:$Q$88</definedName>
    <definedName name="PipeSizeFRP" localSheetId="12">'[41]Pipe Schedule'!$B$44:$Q$88</definedName>
    <definedName name="PipeSizeFRP">'[40]Pipe Schedule'!$B$44:$Q$88</definedName>
    <definedName name="Pkg_col" localSheetId="9">#REF!</definedName>
    <definedName name="Pkg_col">#REF!</definedName>
    <definedName name="pkml" localSheetId="9" hidden="1">{#N/A,#N/A,TRUE,"Cover";#N/A,#N/A,TRUE,"Conts";#N/A,#N/A,TRUE,"VOS";#N/A,#N/A,TRUE,"Warrington";#N/A,#N/A,TRUE,"Widnes"}</definedName>
    <definedName name="pkml" localSheetId="12" hidden="1">{#N/A,#N/A,TRUE,"Cover";#N/A,#N/A,TRUE,"Conts";#N/A,#N/A,TRUE,"VOS";#N/A,#N/A,TRUE,"Warrington";#N/A,#N/A,TRUE,"Widnes"}</definedName>
    <definedName name="pkml" hidden="1">{#N/A,#N/A,TRUE,"Cover";#N/A,#N/A,TRUE,"Conts";#N/A,#N/A,TRUE,"VOS";#N/A,#N/A,TRUE,"Warrington";#N/A,#N/A,TRUE,"Widnes"}</definedName>
    <definedName name="PLANT_PART">[35]RATES!$E$66</definedName>
    <definedName name="PLANT_UPLIFT">[35]RATES!$G$66</definedName>
    <definedName name="PLAT" localSheetId="9" hidden="1">{#N/A,#N/A,TRUE,"Cover";#N/A,#N/A,TRUE,"Conts";#N/A,#N/A,TRUE,"VOS";#N/A,#N/A,TRUE,"Warrington";#N/A,#N/A,TRUE,"Widnes"}</definedName>
    <definedName name="PLAT" localSheetId="12"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12" hidden="1">{#N/A,#N/A,TRUE,"Cover";#N/A,#N/A,TRUE,"Conts";#N/A,#N/A,TRUE,"VOS";#N/A,#N/A,TRUE,"Warrington";#N/A,#N/A,TRUE,"Widnes"}</definedName>
    <definedName name="PLATFORM" hidden="1">{#N/A,#N/A,TRUE,"Cover";#N/A,#N/A,TRUE,"Conts";#N/A,#N/A,TRUE,"VOS";#N/A,#N/A,TRUE,"Warrington";#N/A,#N/A,TRUE,"Widnes"}</definedName>
    <definedName name="pmlr27">[42]Rates!$M$252</definedName>
    <definedName name="pmlr28">[42]Rates!$M$257</definedName>
    <definedName name="pmlr29">[42]Rates!$M$262</definedName>
    <definedName name="pmlr63">[42]Rates!$M$770</definedName>
    <definedName name="point1" localSheetId="9">#REF!</definedName>
    <definedName name="point1">#REF!</definedName>
    <definedName name="pojboijioljn" localSheetId="9" hidden="1">{#N/A,#N/A,TRUE,"Cover";#N/A,#N/A,TRUE,"Conts";#N/A,#N/A,TRUE,"VOS";#N/A,#N/A,TRUE,"Warrington";#N/A,#N/A,TRUE,"Widnes"}</definedName>
    <definedName name="pojboijioljn" localSheetId="12"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10">#REF!</definedName>
    <definedName name="Pos_Neg_Obs" localSheetId="9">#REF!</definedName>
    <definedName name="Pos_Neg_Obs" localSheetId="7">#REF!</definedName>
    <definedName name="Pos_Neg_Obs">#REF!</definedName>
    <definedName name="ppok" localSheetId="9" hidden="1">{#N/A,#N/A,TRUE,"Cover";#N/A,#N/A,TRUE,"Conts";#N/A,#N/A,TRUE,"VOS";#N/A,#N/A,TRUE,"Warrington";#N/A,#N/A,TRUE,"Widnes"}</definedName>
    <definedName name="ppok" localSheetId="12" hidden="1">{#N/A,#N/A,TRUE,"Cover";#N/A,#N/A,TRUE,"Conts";#N/A,#N/A,TRUE,"VOS";#N/A,#N/A,TRUE,"Warrington";#N/A,#N/A,TRUE,"Widnes"}</definedName>
    <definedName name="ppok" hidden="1">{#N/A,#N/A,TRUE,"Cover";#N/A,#N/A,TRUE,"Conts";#N/A,#N/A,TRUE,"VOS";#N/A,#N/A,TRUE,"Warrington";#N/A,#N/A,TRUE,"Widnes"}</definedName>
    <definedName name="PrevYears">'[23]Fill this out first...'!#REF!</definedName>
    <definedName name="_xlnm.Print_Area" localSheetId="2">'FIR summary '!$A$1:$I$43</definedName>
    <definedName name="_xlnm.Print_Area" localSheetId="10">HSE!$B$1:$AH$29</definedName>
    <definedName name="_xlnm.Print_Area" localSheetId="18">'Invoice Log'!$B$5:$AB$59</definedName>
    <definedName name="_xlnm.Print_Area" localSheetId="15">'Major Quantities'!$A$1:$J$10</definedName>
    <definedName name="_xlnm.Print_Area" localSheetId="22">Manpower!$A$1:$Z$20</definedName>
    <definedName name="_xlnm.Print_Area" localSheetId="4">Progress!$A$1:$P$42</definedName>
    <definedName name="_xlnm.Print_Area" localSheetId="24">'Progress Summary'!$A$1:$O$32</definedName>
    <definedName name="_xlnm.Print_Area" localSheetId="8">Quality!$A$1:$AD$53</definedName>
    <definedName name="_xlnm.Print_Area" localSheetId="9">#REF!</definedName>
    <definedName name="_xlnm.Print_Area" localSheetId="7">#REF!</definedName>
    <definedName name="_xlnm.Print_Area" localSheetId="1">'Weekly Progress Report'!$A$1:$AH$101</definedName>
    <definedName name="_xlnm.Print_Area">#REF!</definedName>
    <definedName name="PRINT_AREA_MI" localSheetId="2">#REF!</definedName>
    <definedName name="PRINT_AREA_MI" localSheetId="10">#REF!</definedName>
    <definedName name="PRINT_AREA_MI" localSheetId="8">#REF!</definedName>
    <definedName name="PRINT_AREA_MI" localSheetId="9">#REF!</definedName>
    <definedName name="PRINT_AREA_MI" localSheetId="7">#REF!</definedName>
    <definedName name="PRINT_AREA_MI">#REF!</definedName>
    <definedName name="Print_Range">#REF!</definedName>
    <definedName name="_xlnm.Print_Titles" localSheetId="2">'FIR summary '!$5:$5</definedName>
    <definedName name="_xlnm.Print_Titles" localSheetId="9">#REF!</definedName>
    <definedName name="_xlnm.Print_Titles">#REF!</definedName>
    <definedName name="Print_Titles_MI" localSheetId="9">#REF!</definedName>
    <definedName name="Print_Titles_MI">#REF!</definedName>
    <definedName name="ProjectLocation">'[23]Fill this out first...'!$D$10</definedName>
    <definedName name="ProjectNumber">'[23]Fill this out first...'!$D$16</definedName>
    <definedName name="ProjectSubtitle">'[23]Fill this out first...'!$D$9</definedName>
    <definedName name="ProjectTitle">'[23]Fill this out first...'!$D$8</definedName>
    <definedName name="pswyry" localSheetId="9" hidden="1">{#N/A,#N/A,TRUE,"Cover";#N/A,#N/A,TRUE,"Conts";#N/A,#N/A,TRUE,"VOS";#N/A,#N/A,TRUE,"Warrington";#N/A,#N/A,TRUE,"Widnes"}</definedName>
    <definedName name="pswyry" localSheetId="12"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12"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12"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12" hidden="1">{#N/A,#N/A,TRUE,"Cover";#N/A,#N/A,TRUE,"Conts";#N/A,#N/A,TRUE,"VOS";#N/A,#N/A,TRUE,"Warrington";#N/A,#N/A,TRUE,"Widnes"}</definedName>
    <definedName name="q5ttyr" hidden="1">{#N/A,#N/A,TRUE,"Cover";#N/A,#N/A,TRUE,"Conts";#N/A,#N/A,TRUE,"VOS";#N/A,#N/A,TRUE,"Warrington";#N/A,#N/A,TRUE,"Widnes"}</definedName>
    <definedName name="qq">'[26]REG-BASIS'!$C$3:$S$150</definedName>
    <definedName name="qqq" localSheetId="9" hidden="1">{#N/A,#N/A,TRUE,"Cover";#N/A,#N/A,TRUE,"Conts";#N/A,#N/A,TRUE,"VOS";#N/A,#N/A,TRUE,"Warrington";#N/A,#N/A,TRUE,"Widnes"}</definedName>
    <definedName name="qqq" localSheetId="12"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12"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12"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12"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12"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12"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12" hidden="1">{#N/A,#N/A,TRUE,"Cover";#N/A,#N/A,TRUE,"Conts";#N/A,#N/A,TRUE,"VOS";#N/A,#N/A,TRUE,"Warrington";#N/A,#N/A,TRUE,"Widnes"}</definedName>
    <definedName name="qtyyyhh" hidden="1">{#N/A,#N/A,TRUE,"Cover";#N/A,#N/A,TRUE,"Conts";#N/A,#N/A,TRUE,"VOS";#N/A,#N/A,TRUE,"Warrington";#N/A,#N/A,TRUE,"Widnes"}</definedName>
    <definedName name="ra">#N/A</definedName>
    <definedName name="rasgg" localSheetId="9" hidden="1">{#N/A,#N/A,TRUE,"Cover";#N/A,#N/A,TRUE,"Conts";#N/A,#N/A,TRUE,"VOS";#N/A,#N/A,TRUE,"Warrington";#N/A,#N/A,TRUE,"Widnes"}</definedName>
    <definedName name="rasgg" localSheetId="12" hidden="1">{#N/A,#N/A,TRUE,"Cover";#N/A,#N/A,TRUE,"Conts";#N/A,#N/A,TRUE,"VOS";#N/A,#N/A,TRUE,"Warrington";#N/A,#N/A,TRUE,"Widnes"}</definedName>
    <definedName name="rasgg" hidden="1">{#N/A,#N/A,TRUE,"Cover";#N/A,#N/A,TRUE,"Conts";#N/A,#N/A,TRUE,"VOS";#N/A,#N/A,TRUE,"Warrington";#N/A,#N/A,TRUE,"Widnes"}</definedName>
    <definedName name="Rate">#N/A</definedName>
    <definedName name="RcpPipes" localSheetId="9">'[40]Pipe Schedule'!$C$5:$Z$19</definedName>
    <definedName name="RcpPipes" localSheetId="12">'[41]Pipe Schedule'!$C$5:$Z$19</definedName>
    <definedName name="RcpPipes">'[40]Pipe Schedule'!$C$5:$Z$19</definedName>
    <definedName name="RcpPipes2" localSheetId="9">'[40]Pipe Schedule'!$C$21:$Y$37</definedName>
    <definedName name="RcpPipes2" localSheetId="12">'[41]Pipe Schedule'!$C$21:$Y$37</definedName>
    <definedName name="RcpPipes2">'[40]Pipe Schedule'!$C$21:$Y$37</definedName>
    <definedName name="RD" localSheetId="2">#REF!</definedName>
    <definedName name="RD" localSheetId="9">#REF!</definedName>
    <definedName name="RD">#REF!</definedName>
    <definedName name="rdegsegrg" localSheetId="9" hidden="1">{#N/A,#N/A,TRUE,"Cover";#N/A,#N/A,TRUE,"Conts";#N/A,#N/A,TRUE,"VOS";#N/A,#N/A,TRUE,"Warrington";#N/A,#N/A,TRUE,"Widnes"}</definedName>
    <definedName name="rdegsegrg" localSheetId="12"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#REF!</definedName>
    <definedName name="Reinforcement" localSheetId="9">'[14]RCBC Reinforcement'!$G$5:$S$77</definedName>
    <definedName name="Reinforcement" localSheetId="12">'[15]RCBC Reinforcement'!$G$5:$S$77</definedName>
    <definedName name="Reinforcement">'[14]RCBC Reinforcement'!$G$5:$S$77</definedName>
    <definedName name="REMOVE">#N/A</definedName>
    <definedName name="rer" localSheetId="9" hidden="1">{#N/A,#N/A,TRUE,"Cover";#N/A,#N/A,TRUE,"Conts";#N/A,#N/A,TRUE,"VOS";#N/A,#N/A,TRUE,"Warrington";#N/A,#N/A,TRUE,"Widnes"}</definedName>
    <definedName name="rer" localSheetId="12" hidden="1">{#N/A,#N/A,TRUE,"Cover";#N/A,#N/A,TRUE,"Conts";#N/A,#N/A,TRUE,"VOS";#N/A,#N/A,TRUE,"Warrington";#N/A,#N/A,TRUE,"Widnes"}</definedName>
    <definedName name="rer" hidden="1">{#N/A,#N/A,TRUE,"Cover";#N/A,#N/A,TRUE,"Conts";#N/A,#N/A,TRUE,"VOS";#N/A,#N/A,TRUE,"Warrington";#N/A,#N/A,TRUE,"Widnes"}</definedName>
    <definedName name="RES" localSheetId="2">[9]WorkBreakDown!#REF!</definedName>
    <definedName name="RES" localSheetId="12">[10]WorkBreakDown!#REF!</definedName>
    <definedName name="RES">[9]WorkBreakDown!#REF!</definedName>
    <definedName name="rghhythy" localSheetId="9" hidden="1">{#N/A,#N/A,TRUE,"Cover";#N/A,#N/A,TRUE,"Conts";#N/A,#N/A,TRUE,"VOS";#N/A,#N/A,TRUE,"Warrington";#N/A,#N/A,TRUE,"Widnes"}</definedName>
    <definedName name="rghhythy" localSheetId="12"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12" hidden="1">{#N/A,#N/A,TRUE,"Cover";#N/A,#N/A,TRUE,"Conts";#N/A,#N/A,TRUE,"VOS";#N/A,#N/A,TRUE,"Warrington";#N/A,#N/A,TRUE,"Widnes"}</definedName>
    <definedName name="rhyuyi" hidden="1">{#N/A,#N/A,TRUE,"Cover";#N/A,#N/A,TRUE,"Conts";#N/A,#N/A,TRUE,"VOS";#N/A,#N/A,TRUE,"Warrington";#N/A,#N/A,TRUE,"Widnes"}</definedName>
    <definedName name="RID" localSheetId="2">[9]WorkBreakDown!#REF!</definedName>
    <definedName name="RID" localSheetId="12">[10]WorkBreakDown!#REF!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[18]Road_Schedule!$C$4:$L$59</definedName>
    <definedName name="rolly" localSheetId="9">#REF!</definedName>
    <definedName name="rolly">#REF!</definedName>
    <definedName name="ROOF" localSheetId="9">'[16]Build-up'!#REF!</definedName>
    <definedName name="ROOF" localSheetId="12">'[17]Build-up'!#REF!</definedName>
    <definedName name="ROOF">'[16]Build-up'!#REF!</definedName>
    <definedName name="RR" localSheetId="9"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12"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12"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12"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12"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12"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12"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12"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12"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12"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12"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12"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12" hidden="1">{#N/A,#N/A,TRUE,"Cover";#N/A,#N/A,TRUE,"Conts";#N/A,#N/A,TRUE,"VOS";#N/A,#N/A,TRUE,"Warrington";#N/A,#N/A,TRUE,"Widnes"}</definedName>
    <definedName name="rtysh" hidden="1">{#N/A,#N/A,TRUE,"Cover";#N/A,#N/A,TRUE,"Conts";#N/A,#N/A,TRUE,"VOS";#N/A,#N/A,TRUE,"Warrington";#N/A,#N/A,TRUE,"Widnes"}</definedName>
    <definedName name="RUT" localSheetId="2">[9]WorkBreakDown!#REF!</definedName>
    <definedName name="RUT" localSheetId="12">[10]WorkBreakDown!#REF!</definedName>
    <definedName name="RUT">[9]WorkBreakDown!#REF!</definedName>
    <definedName name="rwt" localSheetId="9" hidden="1">{#N/A,#N/A,TRUE,"Cover";#N/A,#N/A,TRUE,"Conts";#N/A,#N/A,TRUE,"VOS";#N/A,#N/A,TRUE,"Warrington";#N/A,#N/A,TRUE,"Widnes"}</definedName>
    <definedName name="rwt" localSheetId="12"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12"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12"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9"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9" hidden="1">{#N/A,#N/A,TRUE,"Cover";#N/A,#N/A,TRUE,"Conts";#N/A,#N/A,TRUE,"VOS";#N/A,#N/A,TRUE,"Warrington";#N/A,#N/A,TRUE,"Widnes"}</definedName>
    <definedName name="sdefegdeg" localSheetId="12"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12"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12" hidden="1">{#N/A,#N/A,TRUE,"Cover";#N/A,#N/A,TRUE,"Conts";#N/A,#N/A,TRUE,"VOS";#N/A,#N/A,TRUE,"Warrington";#N/A,#N/A,TRUE,"Widnes"}</definedName>
    <definedName name="sdhydfyftuu" hidden="1">{#N/A,#N/A,TRUE,"Cover";#N/A,#N/A,TRUE,"Conts";#N/A,#N/A,TRUE,"VOS";#N/A,#N/A,TRUE,"Warrington";#N/A,#N/A,TRUE,"Widnes"}</definedName>
    <definedName name="Selling_Price" localSheetId="12">'[43]5'!$AN$1</definedName>
    <definedName name="Selling_Price">'[44]5'!$AN$1</definedName>
    <definedName name="Services2" localSheetId="9"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12"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9">#REF!</definedName>
    <definedName name="Sewer">#REF!</definedName>
    <definedName name="sffff" localSheetId="9"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12" hidden="1">{#N/A,#N/A,TRUE,"Cover";#N/A,#N/A,TRUE,"Conts";#N/A,#N/A,TRUE,"VOS";#N/A,#N/A,TRUE,"Warrington";#N/A,#N/A,TRUE,"Widnes"}</definedName>
    <definedName name="sfhdfj" hidden="1">{#N/A,#N/A,TRUE,"Cover";#N/A,#N/A,TRUE,"Conts";#N/A,#N/A,TRUE,"VOS";#N/A,#N/A,TRUE,"Warrington";#N/A,#N/A,TRUE,"Widnes"}</definedName>
    <definedName name="sgsegegrt" localSheetId="9" hidden="1">{#N/A,#N/A,TRUE,"Cover";#N/A,#N/A,TRUE,"Conts";#N/A,#N/A,TRUE,"VOS";#N/A,#N/A,TRUE,"Warrington";#N/A,#N/A,TRUE,"Widnes"}</definedName>
    <definedName name="sgsegegrt" localSheetId="12"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12"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12"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12" hidden="1">{#N/A,#N/A,TRUE,"Cover";#N/A,#N/A,TRUE,"Conts";#N/A,#N/A,TRUE,"VOS";#N/A,#N/A,TRUE,"Warrington";#N/A,#N/A,TRUE,"Widnes"}</definedName>
    <definedName name="sheet" hidden="1">{#N/A,#N/A,TRUE,"Cover";#N/A,#N/A,TRUE,"Conts";#N/A,#N/A,TRUE,"VOS";#N/A,#N/A,TRUE,"Warrington";#N/A,#N/A,TRUE,"Widnes"}</definedName>
    <definedName name="shshgtr" localSheetId="9" hidden="1">{#N/A,#N/A,TRUE,"Cover";#N/A,#N/A,TRUE,"Conts";#N/A,#N/A,TRUE,"VOS";#N/A,#N/A,TRUE,"Warrington";#N/A,#N/A,TRUE,"Widnes"}</definedName>
    <definedName name="shshgtr" localSheetId="12" hidden="1">{#N/A,#N/A,TRUE,"Cover";#N/A,#N/A,TRUE,"Conts";#N/A,#N/A,TRUE,"VOS";#N/A,#N/A,TRUE,"Warrington";#N/A,#N/A,TRUE,"Widnes"}</definedName>
    <definedName name="shshgtr" hidden="1">{#N/A,#N/A,TRUE,"Cover";#N/A,#N/A,TRUE,"Conts";#N/A,#N/A,TRUE,"VOS";#N/A,#N/A,TRUE,"Warrington";#N/A,#N/A,TRUE,"Widnes"}</definedName>
    <definedName name="SITE__WORKS" localSheetId="12">'[17]Build-up'!#REF!</definedName>
    <definedName name="SITE__WORKS">'[16]Build-up'!#REF!</definedName>
    <definedName name="SOP">[18]data_sop!$E$9:$AJ$1574</definedName>
    <definedName name="specific">[13]Lookups!$A$2:$A$28</definedName>
    <definedName name="Specific_Category" localSheetId="2">#REF!</definedName>
    <definedName name="Specific_Category" localSheetId="10">#REF!</definedName>
    <definedName name="Specific_Category" localSheetId="8">#REF!</definedName>
    <definedName name="Specific_Category" localSheetId="9">#REF!</definedName>
    <definedName name="Specific_Category" localSheetId="7">#REF!</definedName>
    <definedName name="Specific_Category">#REF!</definedName>
    <definedName name="srhrh" localSheetId="9" hidden="1">{#N/A,#N/A,TRUE,"Cover";#N/A,#N/A,TRUE,"Conts";#N/A,#N/A,TRUE,"VOS";#N/A,#N/A,TRUE,"Warrington";#N/A,#N/A,TRUE,"Widnes"}</definedName>
    <definedName name="srhrh" localSheetId="12"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12"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12"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12" hidden="1">{#N/A,#N/A,TRUE,"Cover";#N/A,#N/A,TRUE,"Conts";#N/A,#N/A,TRUE,"VOS";#N/A,#N/A,TRUE,"Warrington";#N/A,#N/A,TRUE,"Widnes"}</definedName>
    <definedName name="sryeysr" hidden="1">{#N/A,#N/A,TRUE,"Cover";#N/A,#N/A,TRUE,"Conts";#N/A,#N/A,TRUE,"VOS";#N/A,#N/A,TRUE,"Warrington";#N/A,#N/A,TRUE,"Widnes"}</definedName>
    <definedName name="ssshhh" localSheetId="9"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'[23]Fill this out first...'!$D$12</definedName>
    <definedName name="STAIRS" localSheetId="9">'[16]Build-up'!#REF!</definedName>
    <definedName name="STAIRS" localSheetId="12">'[17]Build-up'!#REF!</definedName>
    <definedName name="STAIRS">'[16]Build-up'!#REF!</definedName>
    <definedName name="start" localSheetId="9">#REF!</definedName>
    <definedName name="start">#REF!</definedName>
    <definedName name="Status">[13]Lookups!$C$2:$C$3</definedName>
    <definedName name="steps" localSheetId="9"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9">#REF!</definedName>
    <definedName name="Storm">#REF!</definedName>
    <definedName name="stormwater_pipe_network">'[18]Stormwater Pipe Network'!$D$13:$F$1575</definedName>
    <definedName name="stryt5u8h87" localSheetId="9" hidden="1">{#N/A,#N/A,TRUE,"Cover";#N/A,#N/A,TRUE,"Conts";#N/A,#N/A,TRUE,"VOS";#N/A,#N/A,TRUE,"Warrington";#N/A,#N/A,TRUE,"Widnes"}</definedName>
    <definedName name="stryt5u8h87" localSheetId="12" hidden="1">{#N/A,#N/A,TRUE,"Cover";#N/A,#N/A,TRUE,"Conts";#N/A,#N/A,TRUE,"VOS";#N/A,#N/A,TRUE,"Warrington";#N/A,#N/A,TRUE,"Widnes"}</definedName>
    <definedName name="stryt5u8h87" hidden="1">{#N/A,#N/A,TRUE,"Cover";#N/A,#N/A,TRUE,"Conts";#N/A,#N/A,TRUE,"VOS";#N/A,#N/A,TRUE,"Warrington";#N/A,#N/A,TRUE,"Widnes"}</definedName>
    <definedName name="Su">'[45]Prev'' Summary'!$M$52</definedName>
    <definedName name="SUBSTRUCTIRE" localSheetId="9">'[16]Build-up'!#REF!</definedName>
    <definedName name="SUBSTRUCTIRE" localSheetId="12">'[17]Build-up'!#REF!</definedName>
    <definedName name="SUBSTRUCTIRE">'[16]Build-up'!#REF!</definedName>
    <definedName name="sum6b" localSheetId="9">#REF!</definedName>
    <definedName name="sum6b">#REF!</definedName>
    <definedName name="sum6C" localSheetId="9">#REF!</definedName>
    <definedName name="sum6C">#REF!</definedName>
    <definedName name="summary" localSheetId="9">#REF!</definedName>
    <definedName name="summary">#REF!</definedName>
    <definedName name="swsdfa" localSheetId="9" hidden="1">{#N/A,#N/A,TRUE,"Cover";#N/A,#N/A,TRUE,"Conts";#N/A,#N/A,TRUE,"VOS";#N/A,#N/A,TRUE,"Warrington";#N/A,#N/A,TRUE,"Widnes"}</definedName>
    <definedName name="swsdfa" localSheetId="12"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12" hidden="1">{#N/A,#N/A,TRUE,"Cover";#N/A,#N/A,TRUE,"Conts";#N/A,#N/A,TRUE,"VOS";#N/A,#N/A,TRUE,"Warrington";#N/A,#N/A,TRUE,"Widnes"}</definedName>
    <definedName name="syu" hidden="1">{#N/A,#N/A,TRUE,"Cover";#N/A,#N/A,TRUE,"Conts";#N/A,#N/A,TRUE,"VOS";#N/A,#N/A,TRUE,"Warrington";#N/A,#N/A,TRUE,"Widnes"}</definedName>
    <definedName name="test" localSheetId="9"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12" hidden="1">{#N/A,#N/A,TRUE,"Cover";#N/A,#N/A,TRUE,"Conts";#N/A,#N/A,TRUE,"VOS";#N/A,#N/A,TRUE,"Warrington";#N/A,#N/A,TRUE,"Widnes"}</definedName>
    <definedName name="thwghrt" hidden="1">{#N/A,#N/A,TRUE,"Cover";#N/A,#N/A,TRUE,"Conts";#N/A,#N/A,TRUE,"VOS";#N/A,#N/A,TRUE,"Warrington";#N/A,#N/A,TRUE,"Widnes"}</definedName>
    <definedName name="TITLE" localSheetId="2">[9]WorkBreakDown!#REF!</definedName>
    <definedName name="TITLE" localSheetId="12">[10]WorkBreakDown!#REF!</definedName>
    <definedName name="TITLE">[9]WorkBreakDown!#REF!</definedName>
    <definedName name="Total" localSheetId="3">'FIR sum'!$J$396</definedName>
    <definedName name="Total" localSheetId="2">'FIR summary '!$I$43</definedName>
    <definedName name="Total" localSheetId="9">#REF!</definedName>
    <definedName name="Total">#REF!</definedName>
    <definedName name="total_net_rent_for_cashflow" localSheetId="9">'[11]Net rent analysis'!$J$190:$X$191</definedName>
    <definedName name="total_net_rent_for_cashflow" localSheetId="12">'[12]Net rent analysis'!$J$190:$X$191</definedName>
    <definedName name="total_net_rent_for_cashflow">'[11]Net rent analysis'!$J$190:$X$191</definedName>
    <definedName name="TP">'[26]TENDER PROG.'!$A$1:$P$17</definedName>
    <definedName name="trbnuomi" localSheetId="9" hidden="1">{#N/A,#N/A,TRUE,"Cover";#N/A,#N/A,TRUE,"Conts";#N/A,#N/A,TRUE,"VOS";#N/A,#N/A,TRUE,"Warrington";#N/A,#N/A,TRUE,"Widnes"}</definedName>
    <definedName name="trbnuomi" localSheetId="12"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12"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12"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12"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12" hidden="1">{#N/A,#N/A,TRUE,"Cover";#N/A,#N/A,TRUE,"Conts";#N/A,#N/A,TRUE,"VOS";#N/A,#N/A,TRUE,"Warrington";#N/A,#N/A,TRUE,"Widnes"}</definedName>
    <definedName name="trhsw" hidden="1">{#N/A,#N/A,TRUE,"Cover";#N/A,#N/A,TRUE,"Conts";#N/A,#N/A,TRUE,"VOS";#N/A,#N/A,TRUE,"Warrington";#N/A,#N/A,TRUE,"Widnes"}</definedName>
    <definedName name="TT">[26]PROC.PROG!$A$1:$R$33</definedName>
    <definedName name="ttl" localSheetId="12">'[46]EV-Chart Data'!$B$1</definedName>
    <definedName name="ttl">'[47]EV-Chart Data'!$B$1</definedName>
    <definedName name="tui" localSheetId="9" hidden="1">{#N/A,#N/A,TRUE,"Cover";#N/A,#N/A,TRUE,"Conts";#N/A,#N/A,TRUE,"VOS";#N/A,#N/A,TRUE,"Warrington";#N/A,#N/A,TRUE,"Widnes"}</definedName>
    <definedName name="tui" localSheetId="12"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12"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12"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12" hidden="1">{#N/A,#N/A,TRUE,"Cover";#N/A,#N/A,TRUE,"Conts";#N/A,#N/A,TRUE,"VOS";#N/A,#N/A,TRUE,"Warrington";#N/A,#N/A,TRUE,"Widnes"}</definedName>
    <definedName name="ty" hidden="1">{#N/A,#N/A,TRUE,"Cover";#N/A,#N/A,TRUE,"Conts";#N/A,#N/A,TRUE,"VOS";#N/A,#N/A,TRUE,"Warrington";#N/A,#N/A,TRUE,"Widnes"}</definedName>
    <definedName name="type">'[23]Fill this out first...'!$D$13</definedName>
    <definedName name="Type_of_Incident" localSheetId="2">[13]Lookups!#REF!</definedName>
    <definedName name="Type_of_Incident" localSheetId="10">[13]Lookups!#REF!</definedName>
    <definedName name="Type_of_Incident" localSheetId="9">[13]Lookups!#REF!</definedName>
    <definedName name="Type_of_Incident" localSheetId="7">[13]Lookups!#REF!</definedName>
    <definedName name="Type_of_Incident">[13]Lookups!#REF!</definedName>
    <definedName name="Type_of_Inspection" localSheetId="2">#REF!</definedName>
    <definedName name="Type_of_Inspection" localSheetId="10">#REF!</definedName>
    <definedName name="Type_of_Inspection" localSheetId="9">#REF!</definedName>
    <definedName name="Type_of_Inspection" localSheetId="7">#REF!</definedName>
    <definedName name="Type_of_Inspection">#REF!</definedName>
    <definedName name="TypeOfFinish" localSheetId="9">'[40]CESMM3 class'!$B$19:$B$20</definedName>
    <definedName name="TypeOfFinish" localSheetId="12">'[41]CESMM3 class'!$B$19:$B$20</definedName>
    <definedName name="TypeOfFinish">'[40]CESMM3 class'!$B$19:$B$20</definedName>
    <definedName name="TypeOfPipes">'[18]CESMM3 class'!$B$7:$B$14</definedName>
    <definedName name="tyutri" localSheetId="9" hidden="1">{#N/A,#N/A,TRUE,"Cover";#N/A,#N/A,TRUE,"Conts";#N/A,#N/A,TRUE,"VOS";#N/A,#N/A,TRUE,"Warrington";#N/A,#N/A,TRUE,"Widnes"}</definedName>
    <definedName name="tyutri" localSheetId="12"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12" hidden="1">{#N/A,#N/A,TRUE,"Cover";#N/A,#N/A,TRUE,"Conts";#N/A,#N/A,TRUE,"VOS";#N/A,#N/A,TRUE,"Warrington";#N/A,#N/A,TRUE,"Widnes"}</definedName>
    <definedName name="u" hidden="1">{#N/A,#N/A,TRUE,"Cover";#N/A,#N/A,TRUE,"Conts";#N/A,#N/A,TRUE,"VOS";#N/A,#N/A,TRUE,"Warrington";#N/A,#N/A,TRUE,"Widnes"}</definedName>
    <definedName name="uhhtrytrs" localSheetId="9" hidden="1">{#N/A,#N/A,TRUE,"Cover";#N/A,#N/A,TRUE,"Conts";#N/A,#N/A,TRUE,"VOS";#N/A,#N/A,TRUE,"Warrington";#N/A,#N/A,TRUE,"Widnes"}</definedName>
    <definedName name="uhhtrytrs" localSheetId="12"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12"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12"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12"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12"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12"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12"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9" hidden="1">{#N/A,#N/A,TRUE,"Cover";#N/A,#N/A,TRUE,"Conts";#N/A,#N/A,TRUE,"VOS";#N/A,#N/A,TRUE,"Warrington";#N/A,#N/A,TRUE,"Widnes"}</definedName>
    <definedName name="ulppuipui" localSheetId="12"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12" hidden="1">{#N/A,#N/A,TRUE,"Cover";#N/A,#N/A,TRUE,"Conts";#N/A,#N/A,TRUE,"VOS";#N/A,#N/A,TRUE,"Warrington";#N/A,#N/A,TRUE,"Widnes"}</definedName>
    <definedName name="undo" hidden="1">{#N/A,#N/A,TRUE,"Cover";#N/A,#N/A,TRUE,"Conts";#N/A,#N/A,TRUE,"VOS";#N/A,#N/A,TRUE,"Warrington";#N/A,#N/A,TRUE,"Widnes"}</definedName>
    <definedName name="uolougouio" localSheetId="9" hidden="1">{#N/A,#N/A,TRUE,"Cover";#N/A,#N/A,TRUE,"Conts";#N/A,#N/A,TRUE,"VOS";#N/A,#N/A,TRUE,"Warrington";#N/A,#N/A,TRUE,"Widnes"}</definedName>
    <definedName name="uolougouio" localSheetId="12" hidden="1">{#N/A,#N/A,TRUE,"Cover";#N/A,#N/A,TRUE,"Conts";#N/A,#N/A,TRUE,"VOS";#N/A,#N/A,TRUE,"Warrington";#N/A,#N/A,TRUE,"Widnes"}</definedName>
    <definedName name="uolougouio" hidden="1">{#N/A,#N/A,TRUE,"Cover";#N/A,#N/A,TRUE,"Conts";#N/A,#N/A,TRUE,"VOS";#N/A,#N/A,TRUE,"Warrington";#N/A,#N/A,TRUE,"Widnes"}</definedName>
    <definedName name="UPT" localSheetId="2">[9]WorkBreakDown!#REF!</definedName>
    <definedName name="UPT" localSheetId="12">[10]WorkBreakDown!#REF!</definedName>
    <definedName name="UPT">[9]WorkBreakDown!#REF!</definedName>
    <definedName name="uy" localSheetId="9" hidden="1">{#N/A,#N/A,TRUE,"Cover";#N/A,#N/A,TRUE,"Conts";#N/A,#N/A,TRUE,"VOS";#N/A,#N/A,TRUE,"Warrington";#N/A,#N/A,TRUE,"Widnes"}</definedName>
    <definedName name="uy" localSheetId="12"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12" hidden="1">{#N/A,#N/A,TRUE,"Cover";#N/A,#N/A,TRUE,"Conts";#N/A,#N/A,TRUE,"VOS";#N/A,#N/A,TRUE,"Warrington";#N/A,#N/A,TRUE,"Widnes"}</definedName>
    <definedName name="v" hidden="1">{#N/A,#N/A,TRUE,"Cover";#N/A,#N/A,TRUE,"Conts";#N/A,#N/A,TRUE,"VOS";#N/A,#N/A,TRUE,"Warrington";#N/A,#N/A,TRUE,"Widnes"}</definedName>
    <definedName name="Value_Col" localSheetId="9">#REF!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12" hidden="1">{#N/A,#N/A,TRUE,"Cover";#N/A,#N/A,TRUE,"Conts";#N/A,#N/A,TRUE,"VOS";#N/A,#N/A,TRUE,"Warrington";#N/A,#N/A,TRUE,"Widnes"}</definedName>
    <definedName name="VENT" hidden="1">{#N/A,#N/A,TRUE,"Cover";#N/A,#N/A,TRUE,"Conts";#N/A,#N/A,TRUE,"VOS";#N/A,#N/A,TRUE,"Warrington";#N/A,#N/A,TRUE,"Widnes"}</definedName>
    <definedName name="vj" localSheetId="9" hidden="1">{#N/A,#N/A,TRUE,"Cover";#N/A,#N/A,TRUE,"Conts";#N/A,#N/A,TRUE,"VOS";#N/A,#N/A,TRUE,"Warrington";#N/A,#N/A,TRUE,"Widnes"}</definedName>
    <definedName name="vj" localSheetId="12"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9">#REF!</definedName>
    <definedName name="VO">#REF!</definedName>
    <definedName name="W" localSheetId="2">#REF!</definedName>
    <definedName name="W" localSheetId="9">#REF!</definedName>
    <definedName name="W">#REF!</definedName>
    <definedName name="w26te" localSheetId="9" hidden="1">{#N/A,#N/A,TRUE,"Cover";#N/A,#N/A,TRUE,"Conts";#N/A,#N/A,TRUE,"VOS";#N/A,#N/A,TRUE,"Warrington";#N/A,#N/A,TRUE,"Widnes"}</definedName>
    <definedName name="w26te" localSheetId="12"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12"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12" hidden="1">{#N/A,#N/A,TRUE,"Cover";#N/A,#N/A,TRUE,"Conts";#N/A,#N/A,TRUE,"VOS";#N/A,#N/A,TRUE,"Warrington";#N/A,#N/A,TRUE,"Widnes"}</definedName>
    <definedName name="waff" hidden="1">{#N/A,#N/A,TRUE,"Cover";#N/A,#N/A,TRUE,"Conts";#N/A,#N/A,TRUE,"VOS";#N/A,#N/A,TRUE,"Warrington";#N/A,#N/A,TRUE,"Widnes"}</definedName>
    <definedName name="WALL__FINISHES" localSheetId="12">'[17]Build-up'!#REF!</definedName>
    <definedName name="WALL__FINISHES">'[16]Build-up'!#REF!</definedName>
    <definedName name="warergtrjyiu" localSheetId="9" hidden="1">{#N/A,#N/A,TRUE,"Cover";#N/A,#N/A,TRUE,"Conts";#N/A,#N/A,TRUE,"VOS";#N/A,#N/A,TRUE,"Warrington";#N/A,#N/A,TRUE,"Widnes"}</definedName>
    <definedName name="warergtrjyiu" localSheetId="12" hidden="1">{#N/A,#N/A,TRUE,"Cover";#N/A,#N/A,TRUE,"Conts";#N/A,#N/A,TRUE,"VOS";#N/A,#N/A,TRUE,"Warrington";#N/A,#N/A,TRUE,"Widnes"}</definedName>
    <definedName name="warergtrjyiu" hidden="1">{#N/A,#N/A,TRUE,"Cover";#N/A,#N/A,TRUE,"Conts";#N/A,#N/A,TRUE,"VOS";#N/A,#N/A,TRUE,"Warrington";#N/A,#N/A,TRUE,"Widnes"}</definedName>
    <definedName name="Water_Level">'[18]Trench data'!$H$7:$H$8</definedName>
    <definedName name="wawst" localSheetId="9" hidden="1">{#N/A,#N/A,TRUE,"Cover";#N/A,#N/A,TRUE,"Conts";#N/A,#N/A,TRUE,"VOS";#N/A,#N/A,TRUE,"Warrington";#N/A,#N/A,TRUE,"Widnes"}</definedName>
    <definedName name="wawst" localSheetId="12" hidden="1">{#N/A,#N/A,TRUE,"Cover";#N/A,#N/A,TRUE,"Conts";#N/A,#N/A,TRUE,"VOS";#N/A,#N/A,TRUE,"Warrington";#N/A,#N/A,TRUE,"Widnes"}</definedName>
    <definedName name="wawst" hidden="1">{#N/A,#N/A,TRUE,"Cover";#N/A,#N/A,TRUE,"Conts";#N/A,#N/A,TRUE,"VOS";#N/A,#N/A,TRUE,"Warrington";#N/A,#N/A,TRUE,"Widnes"}</definedName>
    <definedName name="wegywegt" localSheetId="9" hidden="1">{#N/A,#N/A,TRUE,"Cover";#N/A,#N/A,TRUE,"Conts";#N/A,#N/A,TRUE,"VOS";#N/A,#N/A,TRUE,"Warrington";#N/A,#N/A,TRUE,"Widnes"}</definedName>
    <definedName name="wegywegt" localSheetId="12"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12"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12"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12" hidden="1">{#N/A,#N/A,TRUE,"Cover";#N/A,#N/A,TRUE,"Conts";#N/A,#N/A,TRUE,"VOS";#N/A,#N/A,TRUE,"Warrington";#N/A,#N/A,TRUE,"Widnes"}</definedName>
    <definedName name="wetyrutu" hidden="1">{#N/A,#N/A,TRUE,"Cover";#N/A,#N/A,TRUE,"Conts";#N/A,#N/A,TRUE,"VOS";#N/A,#N/A,TRUE,"Warrington";#N/A,#N/A,TRUE,"Widnes"}</definedName>
    <definedName name="WINDOWS__AND__EXTERNAL__DOORS" localSheetId="12">'[17]Build-up'!#REF!</definedName>
    <definedName name="WINDOWS__AND__EXTERNAL__DOORS">'[16]Build-up'!#REF!</definedName>
    <definedName name="wqer" localSheetId="9" hidden="1">{#N/A,#N/A,TRUE,"Cover";#N/A,#N/A,TRUE,"Conts";#N/A,#N/A,TRUE,"VOS";#N/A,#N/A,TRUE,"Warrington";#N/A,#N/A,TRUE,"Widnes"}</definedName>
    <definedName name="wqer" localSheetId="12" hidden="1">{#N/A,#N/A,TRUE,"Cover";#N/A,#N/A,TRUE,"Conts";#N/A,#N/A,TRUE,"VOS";#N/A,#N/A,TRUE,"Warrington";#N/A,#N/A,TRUE,"Widnes"}</definedName>
    <definedName name="wqer" hidden="1">{#N/A,#N/A,TRUE,"Cover";#N/A,#N/A,TRUE,"Conts";#N/A,#N/A,TRUE,"VOS";#N/A,#N/A,TRUE,"Warrington";#N/A,#N/A,TRUE,"Widnes"}</definedName>
    <definedName name="wrn.all." localSheetId="9"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9" hidden="1">{"Base Year Demand",#N/A,FALSE,"Demand-Base Year"}</definedName>
    <definedName name="wrn.BaseYearDemand." localSheetId="12" hidden="1">{"Base Year Demand",#N/A,FALSE,"Demand-Base Year"}</definedName>
    <definedName name="wrn.BaseYearDemand." hidden="1">{"Base Year Demand",#N/A,FALSE,"Demand-Base Year"}</definedName>
    <definedName name="wrn.Both._.Outputs." localSheetId="9" hidden="1">{"LTV Output",#N/A,FALSE,"Output";"DCR Output",#N/A,FALSE,"Output"}</definedName>
    <definedName name="wrn.Both._.Outputs." localSheetId="12" hidden="1">{"LTV Output",#N/A,FALSE,"Output";"DCR Output",#N/A,FALSE,"Output"}</definedName>
    <definedName name="wrn.Both._.Outputs." hidden="1">{"LTV Output",#N/A,FALSE,"Output";"DCR Output",#N/A,FALSE,"Output"}</definedName>
    <definedName name="wrn.COST_SHEETS." localSheetId="9" hidden="1">{#N/A,#N/A,FALSE,"WBS 1.06";#N/A,#N/A,FALSE,"WBS 1.14";#N/A,#N/A,FALSE,"WBS 1.17";#N/A,#N/A,FALSE,"WBS 1.18"}</definedName>
    <definedName name="wrn.COST_SHEETS." localSheetId="12" hidden="1">{#N/A,#N/A,FALSE,"WBS 1.06";#N/A,#N/A,FALSE,"WBS 1.14";#N/A,#N/A,FALSE,"WBS 1.17";#N/A,#N/A,FALSE,"WBS 1.18"}</definedName>
    <definedName name="wrn.COST_SHEETS." hidden="1">{#N/A,#N/A,FALSE,"WBS 1.06";#N/A,#N/A,FALSE,"WBS 1.14";#N/A,#N/A,FALSE,"WBS 1.17";#N/A,#N/A,FALSE,"WBS 1.18"}</definedName>
    <definedName name="wrn.DCR._.Output." localSheetId="9" hidden="1">{"DCR Output",#N/A,FALSE,"Output"}</definedName>
    <definedName name="wrn.DCR._.Output." localSheetId="12" hidden="1">{"DCR Output",#N/A,FALSE,"Output"}</definedName>
    <definedName name="wrn.DCR._.Output." hidden="1">{"DCR Output",#N/A,FALSE,"Output"}</definedName>
    <definedName name="wrn.Demand._.Calcs." localSheetId="9" hidden="1">{#N/A,#N/A,FALSE,"Demand Calcs"}</definedName>
    <definedName name="wrn.Demand._.Calcs." localSheetId="12" hidden="1">{#N/A,#N/A,FALSE,"Demand Calcs"}</definedName>
    <definedName name="wrn.Demand._.Calcs." hidden="1">{#N/A,#N/A,FALSE,"Demand Calcs"}</definedName>
    <definedName name="wrn.Demand._.Inputs." localSheetId="9" hidden="1">{#N/A,#N/A,FALSE,"Demand Inputs"}</definedName>
    <definedName name="wrn.Demand._.Inputs." localSheetId="12" hidden="1">{#N/A,#N/A,FALSE,"Demand Inputs"}</definedName>
    <definedName name="wrn.Demand._.Inputs." hidden="1">{#N/A,#N/A,FALSE,"Demand Inputs"}</definedName>
    <definedName name="wrn.Fair._.Share._.Calcs." localSheetId="9" hidden="1">{#N/A,#N/A,FALSE,"Fair Share"}</definedName>
    <definedName name="wrn.Fair._.Share._.Calcs." localSheetId="12" hidden="1">{#N/A,#N/A,FALSE,"Fair Share"}</definedName>
    <definedName name="wrn.Fair._.Share._.Calcs." hidden="1">{#N/A,#N/A,FALSE,"Fair Share"}</definedName>
    <definedName name="wrn.Final._.Output." localSheetId="9" hidden="1">{#N/A,#N/A,FALSE,"Final Output"}</definedName>
    <definedName name="wrn.Final._.Output." localSheetId="12" hidden="1">{#N/A,#N/A,FALSE,"Final Output"}</definedName>
    <definedName name="wrn.Final._.Output." hidden="1">{#N/A,#N/A,FALSE,"Final Output"}</definedName>
    <definedName name="wrn.Full._.Report." localSheetId="9"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9" hidden="1">{#N/A,#N/A,FALSE,"Input"}</definedName>
    <definedName name="wrn.Inputs." localSheetId="12" hidden="1">{#N/A,#N/A,FALSE,"Input"}</definedName>
    <definedName name="wrn.Inputs." hidden="1">{#N/A,#N/A,FALSE,"Input"}</definedName>
    <definedName name="wrn.Latent._.Demand._.Inputs." localSheetId="9" hidden="1">{#N/A,#N/A,FALSE,"Latent"}</definedName>
    <definedName name="wrn.Latent._.Demand._.Inputs." localSheetId="12" hidden="1">{#N/A,#N/A,FALSE,"Latent"}</definedName>
    <definedName name="wrn.Latent._.Demand._.Inputs." hidden="1">{#N/A,#N/A,FALSE,"Latent"}</definedName>
    <definedName name="wrn.LTV._.Output." localSheetId="9" hidden="1">{"LTV Output",#N/A,FALSE,"Output"}</definedName>
    <definedName name="wrn.LTV._.Output." localSheetId="12" hidden="1">{"LTV Output",#N/A,FALSE,"Output"}</definedName>
    <definedName name="wrn.LTV._.Output." hidden="1">{"LTV Output",#N/A,FALSE,"Output"}</definedName>
    <definedName name="wrn.Occupancy._.Calcs." localSheetId="9" hidden="1">{#N/A,#N/A,FALSE,"Occ. Calcs"}</definedName>
    <definedName name="wrn.Occupancy._.Calcs." localSheetId="12" hidden="1">{#N/A,#N/A,FALSE,"Occ. Calcs"}</definedName>
    <definedName name="wrn.Occupancy._.Calcs." hidden="1">{#N/A,#N/A,FALSE,"Occ. Calcs"}</definedName>
    <definedName name="wrn.Penetration." localSheetId="9" hidden="1">{#N/A,#N/A,FALSE,"Mkt Pen"}</definedName>
    <definedName name="wrn.Penetration." localSheetId="12" hidden="1">{#N/A,#N/A,FALSE,"Mkt Pen"}</definedName>
    <definedName name="wrn.Penetration." hidden="1">{#N/A,#N/A,FALSE,"Mkt Pen"}</definedName>
    <definedName name="wrn.pr3sty." localSheetId="9" hidden="1">{#N/A,#N/A,FALSE,"intag";#N/A,#N/A,FALSE,"budg";#N/A,#N/A,FALSE,"samtl"}</definedName>
    <definedName name="wrn.pr3sty." localSheetId="12"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12"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12"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9" hidden="1">{#N/A,#N/A,FALSE,"Secondary"}</definedName>
    <definedName name="wrn.Secondary._.Competition." localSheetId="12" hidden="1">{#N/A,#N/A,FALSE,"Secondary"}</definedName>
    <definedName name="wrn.Secondary._.Competition." hidden="1">{#N/A,#N/A,FALSE,"Secondary"}</definedName>
    <definedName name="wrn.STAMPA._.TUTTO." localSheetId="9"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9" hidden="1">{#N/A,#N/A,TRUE,"arnitower";#N/A,#N/A,TRUE,"arnigarage "}</definedName>
    <definedName name="wrn.struckgi." localSheetId="12" hidden="1">{#N/A,#N/A,TRUE,"arnitower";#N/A,#N/A,TRUE,"arnigarage "}</definedName>
    <definedName name="wrn.struckgi." hidden="1">{#N/A,#N/A,TRUE,"arnitower";#N/A,#N/A,TRUE,"arnigarage "}</definedName>
    <definedName name="wrn.Supply._.Additions." localSheetId="9" hidden="1">{#N/A,#N/A,FALSE,"Supply Addn"}</definedName>
    <definedName name="wrn.Supply._.Additions." localSheetId="12" hidden="1">{#N/A,#N/A,FALSE,"Supply Addn"}</definedName>
    <definedName name="wrn.Supply._.Additions." hidden="1">{#N/A,#N/A,FALSE,"Supply Addn"}</definedName>
    <definedName name="wrn.Warrington._.Widnes._.QS._.Costs." localSheetId="9"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hidden="1">{#N/A,#N/A,TRUE,"Cover";#N/A,#N/A,TRUE,"Conts";#N/A,#N/A,TRUE,"VOS";#N/A,#N/A,TRUE,"Warrington";#N/A,#N/A,TRUE,"Widnes"}</definedName>
    <definedName name="wrrwerwrew" localSheetId="9" hidden="1">{#N/A,#N/A,TRUE,"Cover";#N/A,#N/A,TRUE,"Conts";#N/A,#N/A,TRUE,"VOS";#N/A,#N/A,TRUE,"Warrington";#N/A,#N/A,TRUE,"Widnes"}</definedName>
    <definedName name="wrrwerwrew" localSheetId="12"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12" hidden="1">{#N/A,#N/A,TRUE,"Cover";#N/A,#N/A,TRUE,"Conts";#N/A,#N/A,TRUE,"VOS";#N/A,#N/A,TRUE,"Warrington";#N/A,#N/A,TRUE,"Widnes"}</definedName>
    <definedName name="wryuwyrututwys" hidden="1">{#N/A,#N/A,TRUE,"Cover";#N/A,#N/A,TRUE,"Conts";#N/A,#N/A,TRUE,"VOS";#N/A,#N/A,TRUE,"Warrington";#N/A,#N/A,TRUE,"Widnes"}</definedName>
    <definedName name="WT" localSheetId="9" hidden="1">{#N/A,#N/A,TRUE,"Cover";#N/A,#N/A,TRUE,"Conts";#N/A,#N/A,TRUE,"VOS";#N/A,#N/A,TRUE,"Warrington";#N/A,#N/A,TRUE,"Widnes"}</definedName>
    <definedName name="WT" localSheetId="12"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12"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12"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12"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12"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12"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12"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12"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hidden="1">#REF!</definedName>
    <definedName name="wy7u7y" localSheetId="9" hidden="1">{#N/A,#N/A,TRUE,"Cover";#N/A,#N/A,TRUE,"Conts";#N/A,#N/A,TRUE,"VOS";#N/A,#N/A,TRUE,"Warrington";#N/A,#N/A,TRUE,"Widnes"}</definedName>
    <definedName name="wy7u7y" localSheetId="12" hidden="1">{#N/A,#N/A,TRUE,"Cover";#N/A,#N/A,TRUE,"Conts";#N/A,#N/A,TRUE,"VOS";#N/A,#N/A,TRUE,"Warrington";#N/A,#N/A,TRUE,"Widnes"}</definedName>
    <definedName name="wy7u7y" hidden="1">{#N/A,#N/A,TRUE,"Cover";#N/A,#N/A,TRUE,"Conts";#N/A,#N/A,TRUE,"VOS";#N/A,#N/A,TRUE,"Warrington";#N/A,#N/A,TRUE,"Widnes"}</definedName>
    <definedName name="XWALL_XWALL">'[48]#REF'!$AM$191</definedName>
    <definedName name="yes" localSheetId="9"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12"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12"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12"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12"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12"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12"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12"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12"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12"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12"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[24]Micro!#REF!</definedName>
    <definedName name="Z_0C509CAE_4B28_497F_9463_E056D87AE422_.wvu.Rows" hidden="1">[24]Micro!#REF!</definedName>
    <definedName name="Z_0E5612F1_1C5C_4147_BE42_908BDE0B1405_.wvu.FilterData" localSheetId="9"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hidden="1">#REF!</definedName>
    <definedName name="Z_5A4CDE39_BC84_48C0_8208_6970E7A71896_.wvu.Cols" hidden="1">'[49]GM &amp; TA'!$F:$F,'[49]GM &amp; TA'!$G:$G,'[49]GM &amp; TA'!$I:$T</definedName>
    <definedName name="Z_64FBE21F_D610_4122_B662_C1CA556F0E6B_.wvu.Rows" hidden="1">[24]Macro!$9:$47,[24]Macro!$49:$49</definedName>
    <definedName name="Z_821080B5_A53F_46D5_A7A8_C550E9A6DB8E_.wvu.Rows" localSheetId="9" hidden="1">'[24]Scaff-Rose'!#REF!</definedName>
    <definedName name="Z_821080B5_A53F_46D5_A7A8_C550E9A6DB8E_.wvu.Rows" hidden="1">'[24]Scaff-Rose'!#REF!</definedName>
    <definedName name="Z_893D3CDD_E6EC_4FBE_9F4B_7C063AADDAA3_.wvu.FilterData" localSheetId="9"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hidden="1">#REF!</definedName>
    <definedName name="Z_893D3CDD_E6EC_4FBE_9F4B_7C063AADDAA3_.wvu.Rows" localSheetId="9" hidden="1">#REF!</definedName>
    <definedName name="Z_893D3CDD_E6EC_4FBE_9F4B_7C063AADDAA3_.wvu.Rows" hidden="1">#REF!</definedName>
    <definedName name="Z_89FC4C3A_6586_42BA_B0E6_F0959042E6A0_.wvu.Rows" localSheetId="9" hidden="1">'[24]Scaff-Rose'!#REF!</definedName>
    <definedName name="Z_89FC4C3A_6586_42BA_B0E6_F0959042E6A0_.wvu.Rows" hidden="1">'[24]Scaff-Rose'!#REF!</definedName>
    <definedName name="Z_8FCC9949_BB10_48DD_835F_9D6E68B3AE12_.wvu.PrintTitles" localSheetId="9" hidden="1">#REF!</definedName>
    <definedName name="Z_8FCC9949_BB10_48DD_835F_9D6E68B3AE12_.wvu.PrintTitles" hidden="1">#REF!</definedName>
    <definedName name="Z_8FCC9949_BB10_48DD_835F_9D6E68B3AE12_.wvu.Rows" localSheetId="9" hidden="1">'[49]GM &amp; TA'!#REF!,'[49]GM &amp; TA'!#REF!</definedName>
    <definedName name="Z_8FCC9949_BB10_48DD_835F_9D6E68B3AE12_.wvu.Rows" hidden="1">'[49]GM &amp; TA'!#REF!,'[49]GM &amp; TA'!#REF!</definedName>
    <definedName name="Z_911FCEE4_2CBF_4A90_9E55_ED72CBEECF9A_.wvu.FilterData" localSheetId="9"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hidden="1">#REF!</definedName>
    <definedName name="Z_E61184E6_4A82_48AD_BD46_AD03682B9E61_.wvu.Rows" localSheetId="9" hidden="1">[24]Micro!#REF!</definedName>
    <definedName name="Z_E61184E6_4A82_48AD_BD46_AD03682B9E61_.wvu.Rows" hidden="1">[24]Micro!#REF!</definedName>
    <definedName name="Z_F8A287BF_980C_4986_B08C_54EAB9AA17CB_.wvu.FilterData" localSheetId="9"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hidden="1">#REF!</definedName>
    <definedName name="zaed" localSheetId="9" hidden="1">{#N/A,#N/A,TRUE,"Cover";#N/A,#N/A,TRUE,"Conts";#N/A,#N/A,TRUE,"VOS";#N/A,#N/A,TRUE,"Warrington";#N/A,#N/A,TRUE,"Widnes"}</definedName>
    <definedName name="zaed" localSheetId="12"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12" hidden="1">{#N/A,#N/A,TRUE,"Cover";#N/A,#N/A,TRUE,"Conts";#N/A,#N/A,TRUE,"VOS";#N/A,#N/A,TRUE,"Warrington";#N/A,#N/A,TRUE,"Widnes"}</definedName>
    <definedName name="ZBDZBDFB" hidden="1">{#N/A,#N/A,TRUE,"Cover";#N/A,#N/A,TRUE,"Conts";#N/A,#N/A,TRUE,"VOS";#N/A,#N/A,TRUE,"Warrington";#N/A,#N/A,TRUE,"Widnes"}</definedName>
    <definedName name="zse" localSheetId="9"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9" hidden="1">{#N/A,#N/A,TRUE,"Cover";#N/A,#N/A,TRUE,"Conts";#N/A,#N/A,TRUE,"VOS";#N/A,#N/A,TRUE,"Warrington";#N/A,#N/A,TRUE,"Widnes"}</definedName>
    <definedName name="zxdvzdv" localSheetId="12" hidden="1">{#N/A,#N/A,TRUE,"Cover";#N/A,#N/A,TRUE,"Conts";#N/A,#N/A,TRUE,"VOS";#N/A,#N/A,TRUE,"Warrington";#N/A,#N/A,TRUE,"Widnes"}</definedName>
    <definedName name="zxdvzdv" hidden="1">{#N/A,#N/A,TRUE,"Cover";#N/A,#N/A,TRUE,"Conts";#N/A,#N/A,TRUE,"VOS";#N/A,#N/A,TRUE,"Warrington";#N/A,#N/A,TRUE,"Widnes"}</definedName>
    <definedName name="ZZ">'[26]DET.ENGG.PROG'!$A$1:$Q$23</definedName>
    <definedName name="zzz" localSheetId="9" hidden="1">{#N/A,#N/A,TRUE,"Cover";#N/A,#N/A,TRUE,"Conts";#N/A,#N/A,TRUE,"VOS";#N/A,#N/A,TRUE,"Warrington";#N/A,#N/A,TRUE,"Widnes"}</definedName>
    <definedName name="zzz" localSheetId="12"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7" l="1"/>
  <c r="B10" i="32"/>
  <c r="C10" i="32"/>
  <c r="D10" i="32"/>
  <c r="E10" i="32"/>
  <c r="L15" i="11"/>
  <c r="C70" i="20"/>
  <c r="F70" i="20" s="1"/>
  <c r="C96" i="38"/>
  <c r="F96" i="38" s="1"/>
  <c r="B48" i="47"/>
  <c r="D48" i="47"/>
  <c r="E48" i="47"/>
  <c r="C95" i="38"/>
  <c r="F95" i="38" s="1"/>
  <c r="C69" i="20"/>
  <c r="F69" i="20" s="1"/>
  <c r="H15" i="11"/>
  <c r="J15" i="11" s="1"/>
  <c r="O15" i="2"/>
  <c r="O16" i="2" s="1"/>
  <c r="H15" i="2"/>
  <c r="J15" i="2" s="1"/>
  <c r="D47" i="47"/>
  <c r="AH98" i="1"/>
  <c r="AH99" i="1"/>
  <c r="AH100" i="1"/>
  <c r="AH101" i="1"/>
  <c r="AH97" i="1"/>
  <c r="Q98" i="1"/>
  <c r="Q99" i="1"/>
  <c r="Q100" i="1"/>
  <c r="Q101" i="1"/>
  <c r="Q97" i="1"/>
  <c r="AG98" i="1"/>
  <c r="AG99" i="1"/>
  <c r="AG100" i="1"/>
  <c r="AG101" i="1"/>
  <c r="AG97" i="1"/>
  <c r="AF98" i="1"/>
  <c r="AF99" i="1"/>
  <c r="AF100" i="1"/>
  <c r="AF101" i="1"/>
  <c r="AF97" i="1"/>
  <c r="X98" i="1"/>
  <c r="X99" i="1"/>
  <c r="X100" i="1"/>
  <c r="X101" i="1"/>
  <c r="X97" i="1"/>
  <c r="S98" i="1"/>
  <c r="S99" i="1"/>
  <c r="S100" i="1"/>
  <c r="S101" i="1"/>
  <c r="S97" i="1"/>
  <c r="R98" i="1"/>
  <c r="R99" i="1"/>
  <c r="R100" i="1"/>
  <c r="R101" i="1"/>
  <c r="R97" i="1"/>
  <c r="S12" i="64"/>
  <c r="S11" i="64"/>
  <c r="S10" i="64"/>
  <c r="S9" i="64"/>
  <c r="S8" i="64"/>
  <c r="S7" i="64"/>
  <c r="S6" i="64"/>
  <c r="S5" i="64"/>
  <c r="C68" i="20"/>
  <c r="F68" i="20" s="1"/>
  <c r="C94" i="38"/>
  <c r="F94" i="38" s="1"/>
  <c r="M15" i="11"/>
  <c r="H14" i="11"/>
  <c r="L16" i="11"/>
  <c r="M16" i="11" s="1"/>
  <c r="I7" i="42"/>
  <c r="E5" i="27"/>
  <c r="D46" i="47"/>
  <c r="C67" i="20"/>
  <c r="F67" i="20" s="1"/>
  <c r="D45" i="47"/>
  <c r="O7" i="25"/>
  <c r="C93" i="38"/>
  <c r="F93" i="38" s="1"/>
  <c r="C22" i="21"/>
  <c r="C66" i="20"/>
  <c r="F66" i="20" s="1"/>
  <c r="C92" i="38"/>
  <c r="F92" i="38" s="1"/>
  <c r="H14" i="2"/>
  <c r="D44" i="47"/>
  <c r="I1" i="39"/>
  <c r="E4" i="19"/>
  <c r="E5" i="19"/>
  <c r="E6" i="19"/>
  <c r="E7" i="19"/>
  <c r="G15" i="19"/>
  <c r="C65" i="20"/>
  <c r="F65" i="20" s="1"/>
  <c r="D6" i="42"/>
  <c r="B6" i="42"/>
  <c r="C9" i="27"/>
  <c r="H27" i="25"/>
  <c r="D43" i="47"/>
  <c r="C91" i="38"/>
  <c r="F91" i="38" s="1"/>
  <c r="T10" i="12"/>
  <c r="T11" i="12"/>
  <c r="T12" i="12"/>
  <c r="V12" i="12" s="1"/>
  <c r="T13" i="12"/>
  <c r="V13" i="12" s="1"/>
  <c r="T14" i="12"/>
  <c r="V14" i="12" s="1"/>
  <c r="T15" i="12"/>
  <c r="V15" i="12" s="1"/>
  <c r="T9" i="12"/>
  <c r="N14" i="11" l="1"/>
  <c r="Q14" i="2"/>
  <c r="D42" i="47" l="1"/>
  <c r="F6" i="25"/>
  <c r="F5" i="25"/>
  <c r="E5" i="25"/>
  <c r="E4" i="25"/>
  <c r="C90" i="38"/>
  <c r="F90" i="38" s="1"/>
  <c r="K36" i="38"/>
  <c r="J36" i="38"/>
  <c r="H36" i="38"/>
  <c r="G36" i="38"/>
  <c r="F36" i="38"/>
  <c r="E36" i="38"/>
  <c r="L35" i="38"/>
  <c r="I35" i="38"/>
  <c r="L34" i="38"/>
  <c r="I34" i="38"/>
  <c r="D34" i="38"/>
  <c r="L33" i="38"/>
  <c r="L36" i="38" s="1"/>
  <c r="I33" i="38"/>
  <c r="D33" i="38" s="1"/>
  <c r="D32" i="38"/>
  <c r="D31" i="38"/>
  <c r="K25" i="38"/>
  <c r="H25" i="38"/>
  <c r="G25" i="38"/>
  <c r="F25" i="38"/>
  <c r="E25" i="38"/>
  <c r="I24" i="38"/>
  <c r="D24" i="38"/>
  <c r="J24" i="38" s="1"/>
  <c r="L24" i="38" s="1"/>
  <c r="L23" i="38"/>
  <c r="I23" i="38"/>
  <c r="D23" i="38"/>
  <c r="L22" i="38"/>
  <c r="I22" i="38"/>
  <c r="D22" i="38" s="1"/>
  <c r="I21" i="38"/>
  <c r="D21" i="38"/>
  <c r="J21" i="38" s="1"/>
  <c r="L21" i="38" s="1"/>
  <c r="I20" i="38"/>
  <c r="D20" i="38" s="1"/>
  <c r="J20" i="38" s="1"/>
  <c r="L20" i="38" s="1"/>
  <c r="I19" i="38"/>
  <c r="D19" i="38"/>
  <c r="J19" i="38" s="1"/>
  <c r="L19" i="38" s="1"/>
  <c r="I18" i="38"/>
  <c r="D18" i="38" s="1"/>
  <c r="J18" i="38" s="1"/>
  <c r="L18" i="38" s="1"/>
  <c r="I17" i="38"/>
  <c r="D17" i="38"/>
  <c r="J17" i="38" s="1"/>
  <c r="L17" i="38" s="1"/>
  <c r="I16" i="38"/>
  <c r="D16" i="38" s="1"/>
  <c r="J16" i="38" s="1"/>
  <c r="L16" i="38" s="1"/>
  <c r="I15" i="38"/>
  <c r="D15" i="38" s="1"/>
  <c r="J15" i="38" s="1"/>
  <c r="L15" i="38" s="1"/>
  <c r="I14" i="38"/>
  <c r="D14" i="38" s="1"/>
  <c r="I13" i="38"/>
  <c r="F8" i="38"/>
  <c r="F7" i="38"/>
  <c r="F6" i="38"/>
  <c r="F5" i="38"/>
  <c r="I25" i="38" l="1"/>
  <c r="D36" i="38"/>
  <c r="I36" i="38"/>
  <c r="D25" i="38"/>
  <c r="J14" i="38"/>
  <c r="L14" i="38" s="1"/>
  <c r="J13" i="38"/>
  <c r="J25" i="38" l="1"/>
  <c r="L13" i="38"/>
  <c r="L25" i="38" s="1"/>
  <c r="I23" i="40" l="1"/>
  <c r="B69" i="40"/>
  <c r="B70" i="40" s="1"/>
  <c r="D41" i="47" l="1"/>
  <c r="N14" i="21" l="1"/>
  <c r="M14" i="21"/>
  <c r="P14" i="21" s="1"/>
  <c r="N13" i="21"/>
  <c r="M13" i="21"/>
  <c r="N12" i="21" s="1"/>
  <c r="O15" i="21"/>
  <c r="J23" i="40" l="1"/>
  <c r="J24" i="40"/>
  <c r="J25" i="40"/>
  <c r="J26" i="40"/>
  <c r="J27" i="40"/>
  <c r="J28" i="40"/>
  <c r="J29" i="40"/>
  <c r="J30" i="40"/>
  <c r="J31" i="40"/>
  <c r="J32" i="40"/>
  <c r="J33" i="40"/>
  <c r="J34" i="40"/>
  <c r="J35" i="40"/>
  <c r="J36" i="40"/>
  <c r="J37" i="40"/>
  <c r="J38" i="40"/>
  <c r="J39" i="40"/>
  <c r="J40" i="40"/>
  <c r="I24" i="40"/>
  <c r="I25" i="40"/>
  <c r="I26" i="40"/>
  <c r="I27" i="40"/>
  <c r="I28" i="40"/>
  <c r="I29" i="40"/>
  <c r="I30" i="40"/>
  <c r="I31" i="40"/>
  <c r="I32" i="40"/>
  <c r="I33" i="40"/>
  <c r="I34" i="40"/>
  <c r="I35" i="40"/>
  <c r="I36" i="40"/>
  <c r="I37" i="40"/>
  <c r="I38" i="40"/>
  <c r="I39" i="40"/>
  <c r="I40" i="40"/>
  <c r="C63" i="20" l="1"/>
  <c r="F63" i="20" s="1"/>
  <c r="C89" i="38"/>
  <c r="F89" i="38" s="1"/>
  <c r="C61" i="20" l="1"/>
  <c r="F61" i="20" s="1"/>
  <c r="C62" i="20"/>
  <c r="F62" i="20" s="1"/>
  <c r="C88" i="38"/>
  <c r="F88" i="38" s="1"/>
  <c r="D40" i="47"/>
  <c r="M15" i="21" l="1"/>
  <c r="K3" i="40" l="1"/>
  <c r="E2" i="25"/>
  <c r="C87" i="38" l="1"/>
  <c r="F87" i="38"/>
  <c r="I45" i="38"/>
  <c r="I44" i="38"/>
  <c r="D39" i="47" l="1"/>
  <c r="N15" i="21"/>
  <c r="L15" i="21"/>
  <c r="K15" i="21"/>
  <c r="M16" i="21" s="1"/>
  <c r="L16" i="21" l="1"/>
  <c r="O16" i="21"/>
  <c r="C60" i="20"/>
  <c r="F60" i="20" s="1"/>
  <c r="D38" i="47" l="1"/>
  <c r="Z3" i="43" l="1"/>
  <c r="H6" i="11"/>
  <c r="H7" i="11"/>
  <c r="H8" i="11"/>
  <c r="H9" i="11"/>
  <c r="H10" i="11"/>
  <c r="H11" i="11"/>
  <c r="H12" i="11"/>
  <c r="H13" i="11"/>
  <c r="N13" i="11" s="1"/>
  <c r="H5" i="11"/>
  <c r="H13" i="2"/>
  <c r="H7" i="2"/>
  <c r="H8" i="2"/>
  <c r="H9" i="2"/>
  <c r="H10" i="2"/>
  <c r="H11" i="2"/>
  <c r="H12" i="2"/>
  <c r="Q12" i="2" s="1"/>
  <c r="H6" i="2"/>
  <c r="F2" i="25"/>
  <c r="L2" i="25" s="1"/>
  <c r="F4" i="25"/>
  <c r="C86" i="38"/>
  <c r="F86" i="38"/>
  <c r="Q13" i="2" l="1"/>
  <c r="K15" i="12"/>
  <c r="C85" i="38"/>
  <c r="F85" i="38" s="1"/>
  <c r="C59" i="20"/>
  <c r="F59" i="20" s="1"/>
  <c r="D37" i="47"/>
  <c r="C58" i="20"/>
  <c r="F58" i="20" s="1"/>
  <c r="C84" i="38"/>
  <c r="F84" i="38" s="1"/>
  <c r="D36" i="47"/>
  <c r="C83" i="38"/>
  <c r="F83" i="38" s="1"/>
  <c r="C57" i="20"/>
  <c r="F57" i="20" s="1"/>
  <c r="D35" i="47"/>
  <c r="K14" i="12"/>
  <c r="K13" i="12"/>
  <c r="G14" i="12"/>
  <c r="H14" i="12"/>
  <c r="J14" i="12"/>
  <c r="Y14" i="12" s="1"/>
  <c r="C56" i="20"/>
  <c r="F56" i="20" s="1"/>
  <c r="D34" i="47"/>
  <c r="C82" i="38"/>
  <c r="F82" i="38" s="1"/>
  <c r="I10" i="42"/>
  <c r="N11" i="11"/>
  <c r="N6" i="11"/>
  <c r="N12" i="11"/>
  <c r="Q11" i="2"/>
  <c r="AE6" i="28"/>
  <c r="J23" i="20" s="1"/>
  <c r="C81" i="38"/>
  <c r="F81" i="38" s="1"/>
  <c r="C55" i="20"/>
  <c r="F55" i="20" s="1"/>
  <c r="D33" i="47"/>
  <c r="C54" i="20"/>
  <c r="K59" i="25"/>
  <c r="K58" i="25"/>
  <c r="D32" i="47"/>
  <c r="C80" i="38"/>
  <c r="AB3" i="43"/>
  <c r="C21" i="42"/>
  <c r="I4" i="42"/>
  <c r="J4" i="42"/>
  <c r="Y3" i="12"/>
  <c r="G13" i="12"/>
  <c r="H13" i="12"/>
  <c r="W9" i="12"/>
  <c r="AA9" i="12"/>
  <c r="W10" i="12"/>
  <c r="W11" i="12"/>
  <c r="C53" i="20"/>
  <c r="F53" i="20" s="1"/>
  <c r="D31" i="47"/>
  <c r="C79" i="38"/>
  <c r="C78" i="38"/>
  <c r="W36" i="41"/>
  <c r="W35" i="41"/>
  <c r="W34" i="41"/>
  <c r="W33" i="41"/>
  <c r="W30" i="41"/>
  <c r="W29" i="41"/>
  <c r="W28" i="41"/>
  <c r="W27" i="41"/>
  <c r="W26" i="41"/>
  <c r="W21" i="41"/>
  <c r="W20" i="41"/>
  <c r="W24" i="41"/>
  <c r="C52" i="20"/>
  <c r="D30" i="47"/>
  <c r="C51" i="20"/>
  <c r="D29" i="47"/>
  <c r="C77" i="38"/>
  <c r="F27" i="19"/>
  <c r="C50" i="20"/>
  <c r="F50" i="20" s="1"/>
  <c r="D28" i="47"/>
  <c r="K60" i="25" l="1"/>
  <c r="F54" i="20"/>
  <c r="F80" i="38"/>
  <c r="J13" i="12"/>
  <c r="Y13" i="12" s="1"/>
  <c r="F79" i="38"/>
  <c r="F78" i="38"/>
  <c r="F51" i="20"/>
  <c r="F77" i="38"/>
  <c r="I11" i="42"/>
  <c r="C76" i="38" l="1"/>
  <c r="F76" i="38" s="1"/>
  <c r="K12" i="12" l="1"/>
  <c r="C49" i="20" l="1"/>
  <c r="F49" i="20" s="1"/>
  <c r="D27" i="47"/>
  <c r="C75" i="38" l="1"/>
  <c r="F75" i="38" s="1"/>
  <c r="N10" i="11"/>
  <c r="C74" i="38"/>
  <c r="F74" i="38" s="1"/>
  <c r="C48" i="20" l="1"/>
  <c r="F48" i="20" s="1"/>
  <c r="B26" i="47" l="1"/>
  <c r="B27" i="47" s="1"/>
  <c r="B28" i="47" s="1"/>
  <c r="B29" i="47" s="1"/>
  <c r="B30" i="47" s="1"/>
  <c r="B31" i="47" s="1"/>
  <c r="B32" i="47" s="1"/>
  <c r="B33" i="47" s="1"/>
  <c r="B34" i="47" s="1"/>
  <c r="B35" i="47" s="1"/>
  <c r="B36" i="47" s="1"/>
  <c r="B37" i="47" s="1"/>
  <c r="B38" i="47" s="1"/>
  <c r="B39" i="47" s="1"/>
  <c r="B40" i="47" s="1"/>
  <c r="B41" i="47" s="1"/>
  <c r="B42" i="47" s="1"/>
  <c r="B43" i="47" s="1"/>
  <c r="B44" i="47" s="1"/>
  <c r="B45" i="47" s="1"/>
  <c r="B46" i="47" s="1"/>
  <c r="B47" i="47" s="1"/>
  <c r="I15" i="42" l="1"/>
  <c r="I16" i="42"/>
  <c r="C73" i="38" l="1"/>
  <c r="F73" i="38" s="1"/>
  <c r="C47" i="20"/>
  <c r="F47" i="20" s="1"/>
  <c r="Q10" i="2" l="1"/>
  <c r="I3" i="40" l="1"/>
  <c r="J3" i="40"/>
  <c r="I4" i="40"/>
  <c r="J4" i="40"/>
  <c r="K4" i="40"/>
  <c r="I5" i="40"/>
  <c r="J5" i="40"/>
  <c r="K5" i="40"/>
  <c r="I6" i="40"/>
  <c r="J6" i="40"/>
  <c r="K6" i="40"/>
  <c r="I7" i="40"/>
  <c r="J7" i="40"/>
  <c r="K7" i="40"/>
  <c r="I8" i="40"/>
  <c r="J8" i="40"/>
  <c r="K8" i="40"/>
  <c r="I9" i="40"/>
  <c r="J9" i="40"/>
  <c r="K9" i="40"/>
  <c r="I10" i="40"/>
  <c r="J10" i="40"/>
  <c r="K10" i="40"/>
  <c r="I11" i="40"/>
  <c r="J11" i="40"/>
  <c r="K11" i="40"/>
  <c r="I12" i="40"/>
  <c r="J12" i="40"/>
  <c r="K12" i="40"/>
  <c r="I13" i="40"/>
  <c r="J13" i="40"/>
  <c r="K13" i="40"/>
  <c r="I14" i="40"/>
  <c r="J14" i="40"/>
  <c r="K14" i="40"/>
  <c r="I15" i="40"/>
  <c r="J15" i="40"/>
  <c r="K15" i="40"/>
  <c r="I16" i="40"/>
  <c r="J16" i="40"/>
  <c r="K16" i="40"/>
  <c r="I17" i="40"/>
  <c r="J17" i="40"/>
  <c r="K17" i="40"/>
  <c r="I18" i="40"/>
  <c r="J18" i="40"/>
  <c r="K18" i="40"/>
  <c r="I19" i="40"/>
  <c r="J19" i="40"/>
  <c r="K19" i="40"/>
  <c r="I20" i="40"/>
  <c r="J20" i="40"/>
  <c r="K20" i="40"/>
  <c r="D8" i="47"/>
  <c r="D24" i="47"/>
  <c r="D23" i="47"/>
  <c r="D22" i="47"/>
  <c r="D21" i="47"/>
  <c r="D20" i="47"/>
  <c r="D19" i="47"/>
  <c r="D18" i="47"/>
  <c r="D17" i="47"/>
  <c r="D16" i="47"/>
  <c r="D15" i="47"/>
  <c r="D14" i="47"/>
  <c r="D13" i="47"/>
  <c r="D12" i="47"/>
  <c r="D11" i="47"/>
  <c r="D10" i="47"/>
  <c r="D9" i="47"/>
  <c r="D7" i="47"/>
  <c r="D6" i="47"/>
  <c r="E6" i="47" s="1"/>
  <c r="Y4" i="28"/>
  <c r="C46" i="20"/>
  <c r="F46" i="20" s="1"/>
  <c r="C72" i="38"/>
  <c r="F72" i="38" s="1"/>
  <c r="E7" i="47" l="1"/>
  <c r="E8" i="47" s="1"/>
  <c r="E9" i="47" s="1"/>
  <c r="E10" i="47" s="1"/>
  <c r="E11" i="47" s="1"/>
  <c r="E12" i="47" s="1"/>
  <c r="E13" i="47" s="1"/>
  <c r="E14" i="47" s="1"/>
  <c r="E15" i="47" s="1"/>
  <c r="E16" i="47" s="1"/>
  <c r="E17" i="47" s="1"/>
  <c r="E18" i="47" s="1"/>
  <c r="E19" i="47" s="1"/>
  <c r="E20" i="47" s="1"/>
  <c r="E21" i="47" s="1"/>
  <c r="E22" i="47" s="1"/>
  <c r="E23" i="47" s="1"/>
  <c r="E24" i="47" s="1"/>
  <c r="C45" i="20" l="1"/>
  <c r="F45" i="20" s="1"/>
  <c r="K11" i="12"/>
  <c r="C71" i="38" l="1"/>
  <c r="F71" i="38" s="1"/>
  <c r="C70" i="38" l="1"/>
  <c r="F70" i="38" s="1"/>
  <c r="C44" i="20"/>
  <c r="F44" i="20" s="1"/>
  <c r="G20" i="25"/>
  <c r="G23" i="25" l="1"/>
  <c r="C43" i="20"/>
  <c r="F43" i="20" s="1"/>
  <c r="C69" i="38"/>
  <c r="F69" i="38" s="1"/>
  <c r="N9" i="11"/>
  <c r="N8" i="11"/>
  <c r="Q9" i="2"/>
  <c r="Q8" i="2"/>
  <c r="P34" i="38"/>
  <c r="C42" i="20"/>
  <c r="F42" i="20" s="1"/>
  <c r="G25" i="25" l="1"/>
  <c r="C68" i="38" l="1"/>
  <c r="F68" i="38" s="1"/>
  <c r="L17" i="11" l="1"/>
  <c r="L18" i="11" s="1"/>
  <c r="C41" i="20"/>
  <c r="F41" i="20" s="1"/>
  <c r="C67" i="38"/>
  <c r="F67" i="38" s="1"/>
  <c r="L44" i="11" l="1"/>
  <c r="L46" i="11" s="1"/>
  <c r="C40" i="20"/>
  <c r="F40" i="20" s="1"/>
  <c r="C66" i="38"/>
  <c r="F66" i="38" s="1"/>
  <c r="F5" i="27" l="1"/>
  <c r="C65" i="38" l="1"/>
  <c r="F65" i="38" s="1"/>
  <c r="K10" i="12"/>
  <c r="C38" i="20"/>
  <c r="F38" i="20" s="1"/>
  <c r="J5" i="27" l="1"/>
  <c r="G13" i="19"/>
  <c r="G14" i="19"/>
  <c r="Q7" i="2"/>
  <c r="C64" i="38" l="1"/>
  <c r="F64" i="38" s="1"/>
  <c r="C37" i="20" l="1"/>
  <c r="F37" i="20" s="1"/>
  <c r="C63" i="38" l="1"/>
  <c r="F63" i="38" s="1"/>
  <c r="C62" i="38" l="1"/>
  <c r="F62" i="38" s="1"/>
  <c r="F4" i="11" l="1"/>
  <c r="N4" i="11"/>
  <c r="O4" i="11" s="1"/>
  <c r="C4" i="2"/>
  <c r="C5" i="2" l="1"/>
  <c r="F5" i="11"/>
  <c r="B1" i="2"/>
  <c r="D4" i="2" s="1"/>
  <c r="B1" i="11"/>
  <c r="J14" i="11" s="1"/>
  <c r="N7" i="11"/>
  <c r="N5" i="11"/>
  <c r="J12" i="11" l="1"/>
  <c r="J11" i="11"/>
  <c r="J13" i="11"/>
  <c r="J9" i="11"/>
  <c r="J10" i="11"/>
  <c r="J8" i="11"/>
  <c r="J4" i="11"/>
  <c r="D5" i="2"/>
  <c r="C6" i="2"/>
  <c r="D5" i="11"/>
  <c r="D17" i="11"/>
  <c r="D6" i="11"/>
  <c r="D15" i="11"/>
  <c r="D16" i="11"/>
  <c r="D19" i="11"/>
  <c r="D4" i="11"/>
  <c r="D7" i="11"/>
  <c r="D8" i="11"/>
  <c r="D20" i="11"/>
  <c r="D9" i="11"/>
  <c r="D18" i="11"/>
  <c r="D21" i="11"/>
  <c r="D10" i="11"/>
  <c r="D11" i="11"/>
  <c r="D12" i="11"/>
  <c r="D13" i="11"/>
  <c r="D14" i="11"/>
  <c r="D22" i="11"/>
  <c r="C36" i="20"/>
  <c r="F36" i="20" s="1"/>
  <c r="C7" i="2" l="1"/>
  <c r="D6" i="2"/>
  <c r="C8" i="2" l="1"/>
  <c r="D7" i="2"/>
  <c r="I17" i="42"/>
  <c r="C9" i="2" l="1"/>
  <c r="D8" i="2"/>
  <c r="W5" i="41"/>
  <c r="C10" i="2" l="1"/>
  <c r="D9" i="2"/>
  <c r="C35" i="20"/>
  <c r="F35" i="20" s="1"/>
  <c r="C11" i="2" l="1"/>
  <c r="D10" i="2"/>
  <c r="C61" i="38"/>
  <c r="F61" i="38" s="1"/>
  <c r="C60" i="38"/>
  <c r="F60" i="38" s="1"/>
  <c r="C12" i="2" l="1"/>
  <c r="D11" i="2"/>
  <c r="W37" i="41"/>
  <c r="T34" i="41"/>
  <c r="T33" i="41"/>
  <c r="W32" i="41"/>
  <c r="T32" i="41"/>
  <c r="W31" i="41"/>
  <c r="T31" i="41"/>
  <c r="T30" i="41"/>
  <c r="T29" i="41"/>
  <c r="T28" i="41"/>
  <c r="T27" i="41"/>
  <c r="T26" i="41"/>
  <c r="W25" i="41"/>
  <c r="T25" i="41"/>
  <c r="T24" i="41"/>
  <c r="W23" i="41"/>
  <c r="T23" i="41"/>
  <c r="W22" i="41"/>
  <c r="T22" i="41"/>
  <c r="T21" i="41"/>
  <c r="T20" i="41"/>
  <c r="T19" i="41"/>
  <c r="T18" i="41"/>
  <c r="W17" i="41"/>
  <c r="T17" i="41"/>
  <c r="W16" i="41"/>
  <c r="T16" i="41"/>
  <c r="W15" i="41"/>
  <c r="T15" i="41"/>
  <c r="W14" i="41"/>
  <c r="T14" i="41"/>
  <c r="W13" i="41"/>
  <c r="T13" i="41"/>
  <c r="W12" i="41"/>
  <c r="T12" i="41"/>
  <c r="W11" i="41"/>
  <c r="T11" i="41"/>
  <c r="W10" i="41"/>
  <c r="T10" i="41"/>
  <c r="W9" i="41"/>
  <c r="T9" i="41"/>
  <c r="W8" i="41"/>
  <c r="T8" i="41"/>
  <c r="W7" i="41"/>
  <c r="T7" i="41"/>
  <c r="W6" i="41"/>
  <c r="T6" i="41"/>
  <c r="T5" i="41"/>
  <c r="W4" i="41"/>
  <c r="T4" i="41"/>
  <c r="T3" i="41"/>
  <c r="W3" i="41"/>
  <c r="W2" i="41"/>
  <c r="T2" i="41"/>
  <c r="C13" i="2" l="1"/>
  <c r="D12" i="2"/>
  <c r="C33" i="20"/>
  <c r="C34" i="20"/>
  <c r="F34" i="20" s="1"/>
  <c r="H9" i="12"/>
  <c r="G9" i="12"/>
  <c r="J9" i="12" l="1"/>
  <c r="C14" i="2"/>
  <c r="D13" i="2"/>
  <c r="M18" i="38"/>
  <c r="O3" i="40"/>
  <c r="C59" i="38"/>
  <c r="F59" i="38" s="1"/>
  <c r="Z9" i="12" l="1"/>
  <c r="AB9" i="12"/>
  <c r="C15" i="2"/>
  <c r="D14" i="2"/>
  <c r="O5" i="40"/>
  <c r="C16" i="2" l="1"/>
  <c r="D15" i="2"/>
  <c r="F33" i="20"/>
  <c r="G33" i="20" s="1"/>
  <c r="C17" i="2" l="1"/>
  <c r="D16" i="2"/>
  <c r="Q5" i="2"/>
  <c r="V14" i="38"/>
  <c r="Y13" i="38"/>
  <c r="X13" i="38"/>
  <c r="U14" i="38"/>
  <c r="C18" i="2" l="1"/>
  <c r="D17" i="2"/>
  <c r="O71" i="1"/>
  <c r="O70" i="1"/>
  <c r="O69" i="1"/>
  <c r="O68" i="1"/>
  <c r="O67" i="1"/>
  <c r="U70" i="1"/>
  <c r="C19" i="2" l="1"/>
  <c r="D18" i="2"/>
  <c r="C58" i="38"/>
  <c r="F58" i="38" s="1"/>
  <c r="G58" i="38" s="1"/>
  <c r="C32" i="20"/>
  <c r="F32" i="20" s="1"/>
  <c r="G32" i="20" s="1"/>
  <c r="C20" i="2" l="1"/>
  <c r="D19" i="2"/>
  <c r="U15" i="38"/>
  <c r="C21" i="2" l="1"/>
  <c r="D21" i="2" s="1"/>
  <c r="D20" i="2"/>
  <c r="C31" i="20"/>
  <c r="F31" i="20" s="1"/>
  <c r="G31" i="20" s="1"/>
  <c r="C57" i="38"/>
  <c r="F57" i="38" s="1"/>
  <c r="G57" i="38" s="1"/>
  <c r="M13" i="38" l="1"/>
  <c r="M17" i="38"/>
  <c r="N17" i="38"/>
  <c r="Q6" i="2" l="1"/>
  <c r="C56" i="38" l="1"/>
  <c r="F56" i="38" s="1"/>
  <c r="G56" i="38" s="1"/>
  <c r="C30" i="20"/>
  <c r="F30" i="20" s="1"/>
  <c r="G30" i="20" s="1"/>
  <c r="AD1" i="1" l="1"/>
  <c r="Y15" i="38"/>
  <c r="C29" i="20" l="1"/>
  <c r="F29" i="20" s="1"/>
  <c r="G29" i="20" s="1"/>
  <c r="C55" i="38"/>
  <c r="F55" i="38" s="1"/>
  <c r="G55" i="38" s="1"/>
  <c r="G22" i="25" l="1"/>
  <c r="H22" i="25"/>
  <c r="I22" i="25" s="1"/>
  <c r="L22" i="25"/>
  <c r="I5" i="42" l="1"/>
  <c r="J5" i="42"/>
  <c r="I6" i="42"/>
  <c r="J6" i="42"/>
  <c r="J7" i="42"/>
  <c r="I8" i="42"/>
  <c r="J8" i="42"/>
  <c r="I9" i="42"/>
  <c r="J9" i="42"/>
  <c r="J10" i="42"/>
  <c r="J11" i="42"/>
  <c r="I14" i="42"/>
  <c r="J14" i="42"/>
  <c r="J15" i="42"/>
  <c r="J16" i="42"/>
  <c r="J17" i="42"/>
  <c r="I18" i="42"/>
  <c r="J18" i="42"/>
  <c r="I19" i="42"/>
  <c r="J19" i="42"/>
  <c r="I20" i="42"/>
  <c r="J20" i="42"/>
  <c r="D16" i="42"/>
  <c r="D12" i="42" l="1"/>
  <c r="D13" i="42"/>
  <c r="D14" i="42"/>
  <c r="D10" i="42"/>
  <c r="D15" i="42"/>
  <c r="D11" i="42"/>
  <c r="D21" i="42" l="1"/>
  <c r="C41" i="21"/>
  <c r="C20" i="21"/>
  <c r="C23" i="21" s="1"/>
  <c r="C6" i="19" l="1"/>
  <c r="C3" i="19" s="1"/>
  <c r="C5" i="19"/>
  <c r="C4" i="19"/>
  <c r="N38" i="6"/>
  <c r="O38" i="6"/>
  <c r="P38" i="6"/>
  <c r="Q38" i="6"/>
  <c r="R38" i="6"/>
  <c r="S38" i="6"/>
  <c r="T38" i="6"/>
  <c r="N15" i="6"/>
  <c r="O15" i="6"/>
  <c r="P15" i="6"/>
  <c r="Q15" i="6"/>
  <c r="R15" i="6"/>
  <c r="S15" i="6"/>
  <c r="T15" i="6"/>
  <c r="B2" i="6"/>
  <c r="B33" i="6" s="1"/>
  <c r="A4" i="11"/>
  <c r="B10" i="6" l="1"/>
  <c r="E3" i="19"/>
  <c r="K47" i="2" l="1"/>
  <c r="Q4" i="2"/>
  <c r="F4" i="2" l="1"/>
  <c r="F5" i="2" s="1"/>
  <c r="F6" i="2" l="1"/>
  <c r="D26" i="47" l="1"/>
  <c r="K2" i="39"/>
  <c r="D25" i="47"/>
  <c r="E25" i="47" s="1"/>
  <c r="O17" i="2"/>
  <c r="O18" i="2" s="1"/>
  <c r="E26" i="47" l="1"/>
  <c r="E27" i="47" s="1"/>
  <c r="E28" i="47" s="1"/>
  <c r="E29" i="47" s="1"/>
  <c r="E30" i="47" s="1"/>
  <c r="E31" i="47" s="1"/>
  <c r="E32" i="47" s="1"/>
  <c r="E33" i="47" s="1"/>
  <c r="E34" i="47" s="1"/>
  <c r="E35" i="47" s="1"/>
  <c r="E36" i="47" s="1"/>
  <c r="E37" i="47" s="1"/>
  <c r="E38" i="47" s="1"/>
  <c r="E39" i="47" s="1"/>
  <c r="E40" i="47" s="1"/>
  <c r="E41" i="47" s="1"/>
  <c r="E42" i="47" s="1"/>
  <c r="E43" i="47" s="1"/>
  <c r="E44" i="47" s="1"/>
  <c r="E45" i="47" s="1"/>
  <c r="E46" i="47" s="1"/>
  <c r="E47" i="47" s="1"/>
  <c r="C28" i="20"/>
  <c r="F28" i="20" s="1"/>
  <c r="G28" i="20" s="1"/>
  <c r="C54" i="38"/>
  <c r="F54" i="38" s="1"/>
  <c r="C19" i="21"/>
  <c r="C18" i="21"/>
  <c r="C17" i="21"/>
  <c r="C16" i="21"/>
  <c r="C21" i="21"/>
  <c r="W22" i="12" l="1"/>
  <c r="J19" i="12" l="1"/>
  <c r="AB24" i="6" l="1"/>
  <c r="P50" i="6"/>
  <c r="W17" i="12" l="1"/>
  <c r="L8" i="25" l="1"/>
  <c r="G8" i="25"/>
  <c r="H8" i="25"/>
  <c r="I8" i="25" s="1"/>
  <c r="H39" i="25" l="1"/>
  <c r="G39" i="25"/>
  <c r="R16" i="38" l="1"/>
  <c r="Y16" i="38"/>
  <c r="V16" i="38"/>
  <c r="U16" i="38"/>
  <c r="T16" i="38"/>
  <c r="S16" i="38"/>
  <c r="V15" i="38"/>
  <c r="T15" i="38"/>
  <c r="S15" i="38"/>
  <c r="R15" i="38"/>
  <c r="S13" i="38"/>
  <c r="T13" i="38"/>
  <c r="U13" i="38"/>
  <c r="V13" i="38"/>
  <c r="R13" i="38"/>
  <c r="G46" i="25" l="1"/>
  <c r="D43" i="21" l="1"/>
  <c r="W16" i="12" l="1"/>
  <c r="AH3" i="12" l="1"/>
  <c r="J9" i="27" l="1"/>
  <c r="U3" i="12" l="1"/>
  <c r="L11" i="25" l="1"/>
  <c r="W13" i="38" l="1"/>
  <c r="X16" i="38"/>
  <c r="X15" i="38"/>
  <c r="W15" i="38"/>
  <c r="W16" i="38"/>
  <c r="W14" i="38" l="1"/>
  <c r="X14" i="38"/>
  <c r="N14" i="38"/>
  <c r="M14" i="38"/>
  <c r="M16" i="38"/>
  <c r="G5" i="25" l="1"/>
  <c r="AG92" i="1" s="1"/>
  <c r="H5" i="25"/>
  <c r="L5" i="25"/>
  <c r="G6" i="25"/>
  <c r="AG93" i="1" s="1"/>
  <c r="H6" i="25"/>
  <c r="I6" i="25" s="1"/>
  <c r="L6" i="25"/>
  <c r="G7" i="25"/>
  <c r="H7" i="25"/>
  <c r="I7" i="25" s="1"/>
  <c r="L7" i="25"/>
  <c r="AC92" i="1"/>
  <c r="AD92" i="1"/>
  <c r="AE92" i="1"/>
  <c r="AF92" i="1"/>
  <c r="AC93" i="1"/>
  <c r="AD93" i="1"/>
  <c r="AE93" i="1"/>
  <c r="AF93" i="1"/>
  <c r="X92" i="1"/>
  <c r="X93" i="1"/>
  <c r="W92" i="1"/>
  <c r="W93" i="1"/>
  <c r="AH93" i="1" l="1"/>
  <c r="AH92" i="1"/>
  <c r="I5" i="25"/>
  <c r="S6" i="1" l="1"/>
  <c r="AA12" i="12" l="1"/>
  <c r="R20" i="40" l="1"/>
  <c r="Q20" i="40"/>
  <c r="P20" i="40"/>
  <c r="O20" i="40"/>
  <c r="M20" i="40"/>
  <c r="L20" i="40"/>
  <c r="R19" i="40"/>
  <c r="P38" i="31" s="1"/>
  <c r="Q19" i="40"/>
  <c r="O38" i="31" s="1"/>
  <c r="P19" i="40"/>
  <c r="N38" i="31" s="1"/>
  <c r="O19" i="40"/>
  <c r="M38" i="31" s="1"/>
  <c r="M19" i="40"/>
  <c r="I38" i="31" s="1"/>
  <c r="L19" i="40"/>
  <c r="H38" i="31" s="1"/>
  <c r="G38" i="31"/>
  <c r="F38" i="31"/>
  <c r="E38" i="31"/>
  <c r="R18" i="40"/>
  <c r="P36" i="31" s="1"/>
  <c r="Q18" i="40"/>
  <c r="O36" i="31" s="1"/>
  <c r="P18" i="40"/>
  <c r="N36" i="31" s="1"/>
  <c r="O18" i="40"/>
  <c r="M36" i="31" s="1"/>
  <c r="M18" i="40"/>
  <c r="I36" i="31" s="1"/>
  <c r="L18" i="40"/>
  <c r="H36" i="31" s="1"/>
  <c r="G36" i="31"/>
  <c r="F36" i="31"/>
  <c r="E36" i="31"/>
  <c r="R17" i="40"/>
  <c r="P34" i="31" s="1"/>
  <c r="Q17" i="40"/>
  <c r="O34" i="31" s="1"/>
  <c r="P17" i="40"/>
  <c r="N34" i="31" s="1"/>
  <c r="O17" i="40"/>
  <c r="M34" i="31" s="1"/>
  <c r="M17" i="40"/>
  <c r="I34" i="31" s="1"/>
  <c r="L17" i="40"/>
  <c r="H34" i="31" s="1"/>
  <c r="G34" i="31"/>
  <c r="F34" i="31"/>
  <c r="E34" i="31"/>
  <c r="R16" i="40"/>
  <c r="P32" i="31" s="1"/>
  <c r="Q16" i="40"/>
  <c r="O32" i="31" s="1"/>
  <c r="P16" i="40"/>
  <c r="N32" i="31" s="1"/>
  <c r="O16" i="40"/>
  <c r="M32" i="31" s="1"/>
  <c r="M16" i="40"/>
  <c r="I32" i="31" s="1"/>
  <c r="L16" i="40"/>
  <c r="H32" i="31" s="1"/>
  <c r="G32" i="31"/>
  <c r="F32" i="31"/>
  <c r="E32" i="31"/>
  <c r="R15" i="40"/>
  <c r="P30" i="31" s="1"/>
  <c r="Q15" i="40"/>
  <c r="O30" i="31" s="1"/>
  <c r="P15" i="40"/>
  <c r="N30" i="31" s="1"/>
  <c r="O15" i="40"/>
  <c r="M30" i="31" s="1"/>
  <c r="M15" i="40"/>
  <c r="I30" i="31" s="1"/>
  <c r="L15" i="40"/>
  <c r="H30" i="31" s="1"/>
  <c r="G30" i="31"/>
  <c r="F30" i="31"/>
  <c r="E30" i="31"/>
  <c r="R14" i="40"/>
  <c r="P28" i="31" s="1"/>
  <c r="Q14" i="40"/>
  <c r="O28" i="31" s="1"/>
  <c r="P14" i="40"/>
  <c r="N28" i="31" s="1"/>
  <c r="O14" i="40"/>
  <c r="M28" i="31" s="1"/>
  <c r="M14" i="40"/>
  <c r="I28" i="31" s="1"/>
  <c r="L14" i="40"/>
  <c r="H28" i="31" s="1"/>
  <c r="G28" i="31"/>
  <c r="F28" i="31"/>
  <c r="E28" i="31"/>
  <c r="R13" i="40"/>
  <c r="P26" i="31" s="1"/>
  <c r="Q13" i="40"/>
  <c r="O26" i="31" s="1"/>
  <c r="P13" i="40"/>
  <c r="N26" i="31" s="1"/>
  <c r="O13" i="40"/>
  <c r="M26" i="31" s="1"/>
  <c r="M13" i="40"/>
  <c r="I26" i="31" s="1"/>
  <c r="L13" i="40"/>
  <c r="H26" i="31" s="1"/>
  <c r="G26" i="31"/>
  <c r="G25" i="31" s="1"/>
  <c r="F26" i="31"/>
  <c r="E26" i="31"/>
  <c r="R12" i="40"/>
  <c r="P24" i="31" s="1"/>
  <c r="Q12" i="40"/>
  <c r="O24" i="31" s="1"/>
  <c r="P12" i="40"/>
  <c r="N24" i="31" s="1"/>
  <c r="O12" i="40"/>
  <c r="M24" i="31" s="1"/>
  <c r="M12" i="40"/>
  <c r="I24" i="31" s="1"/>
  <c r="L12" i="40"/>
  <c r="H24" i="31" s="1"/>
  <c r="G24" i="31"/>
  <c r="F24" i="31"/>
  <c r="E24" i="31"/>
  <c r="R11" i="40"/>
  <c r="P22" i="31" s="1"/>
  <c r="Q11" i="40"/>
  <c r="O22" i="31" s="1"/>
  <c r="P11" i="40"/>
  <c r="N22" i="31" s="1"/>
  <c r="O11" i="40"/>
  <c r="M22" i="31" s="1"/>
  <c r="M11" i="40"/>
  <c r="I22" i="31" s="1"/>
  <c r="L11" i="40"/>
  <c r="H22" i="31" s="1"/>
  <c r="G22" i="31"/>
  <c r="F22" i="31"/>
  <c r="E22" i="31"/>
  <c r="R10" i="40"/>
  <c r="P20" i="31" s="1"/>
  <c r="Q10" i="40"/>
  <c r="O20" i="31" s="1"/>
  <c r="P10" i="40"/>
  <c r="N20" i="31" s="1"/>
  <c r="O10" i="40"/>
  <c r="M20" i="31" s="1"/>
  <c r="M10" i="40"/>
  <c r="I20" i="31" s="1"/>
  <c r="L10" i="40"/>
  <c r="H20" i="31" s="1"/>
  <c r="G20" i="31"/>
  <c r="F20" i="31"/>
  <c r="E20" i="31"/>
  <c r="R9" i="40"/>
  <c r="P18" i="31" s="1"/>
  <c r="Q9" i="40"/>
  <c r="O18" i="31" s="1"/>
  <c r="P9" i="40"/>
  <c r="N18" i="31" s="1"/>
  <c r="O9" i="40"/>
  <c r="M18" i="31" s="1"/>
  <c r="M9" i="40"/>
  <c r="I18" i="31" s="1"/>
  <c r="L9" i="40"/>
  <c r="H18" i="31" s="1"/>
  <c r="G18" i="31"/>
  <c r="F18" i="31"/>
  <c r="E18" i="31"/>
  <c r="R8" i="40"/>
  <c r="P16" i="31" s="1"/>
  <c r="Q8" i="40"/>
  <c r="O16" i="31" s="1"/>
  <c r="P8" i="40"/>
  <c r="N16" i="31" s="1"/>
  <c r="O8" i="40"/>
  <c r="M16" i="31" s="1"/>
  <c r="M8" i="40"/>
  <c r="I16" i="31" s="1"/>
  <c r="L8" i="40"/>
  <c r="H16" i="31" s="1"/>
  <c r="G16" i="31"/>
  <c r="F16" i="31"/>
  <c r="E16" i="31"/>
  <c r="R7" i="40"/>
  <c r="P14" i="31" s="1"/>
  <c r="Q7" i="40"/>
  <c r="O14" i="31" s="1"/>
  <c r="P7" i="40"/>
  <c r="N14" i="31" s="1"/>
  <c r="O7" i="40"/>
  <c r="M14" i="31" s="1"/>
  <c r="M7" i="40"/>
  <c r="I14" i="31" s="1"/>
  <c r="L7" i="40"/>
  <c r="H14" i="31" s="1"/>
  <c r="G14" i="31"/>
  <c r="F14" i="31"/>
  <c r="E14" i="31"/>
  <c r="R6" i="40"/>
  <c r="P12" i="31" s="1"/>
  <c r="Q6" i="40"/>
  <c r="O12" i="31" s="1"/>
  <c r="P6" i="40"/>
  <c r="N12" i="31" s="1"/>
  <c r="O6" i="40"/>
  <c r="M12" i="31" s="1"/>
  <c r="M6" i="40"/>
  <c r="I12" i="31" s="1"/>
  <c r="L6" i="40"/>
  <c r="H12" i="31" s="1"/>
  <c r="G12" i="31"/>
  <c r="G11" i="31" s="1"/>
  <c r="F12" i="31"/>
  <c r="E12" i="31"/>
  <c r="R5" i="40"/>
  <c r="P10" i="31" s="1"/>
  <c r="Q5" i="40"/>
  <c r="O10" i="31" s="1"/>
  <c r="P5" i="40"/>
  <c r="N10" i="31" s="1"/>
  <c r="M10" i="31"/>
  <c r="M5" i="40"/>
  <c r="I10" i="31" s="1"/>
  <c r="L5" i="40"/>
  <c r="H10" i="31" s="1"/>
  <c r="G10" i="31"/>
  <c r="G9" i="31" s="1"/>
  <c r="G13" i="1" s="1"/>
  <c r="F10" i="31"/>
  <c r="E10" i="31"/>
  <c r="E9" i="31" s="1"/>
  <c r="R4" i="40"/>
  <c r="P8" i="31" s="1"/>
  <c r="P7" i="31" s="1"/>
  <c r="Q4" i="40"/>
  <c r="O8" i="31" s="1"/>
  <c r="O7" i="31" s="1"/>
  <c r="P4" i="40"/>
  <c r="N8" i="31" s="1"/>
  <c r="N7" i="31" s="1"/>
  <c r="O4" i="40"/>
  <c r="M8" i="31" s="1"/>
  <c r="M7" i="31" s="1"/>
  <c r="M4" i="40"/>
  <c r="I8" i="31" s="1"/>
  <c r="I7" i="31" s="1"/>
  <c r="L4" i="40"/>
  <c r="H8" i="31" s="1"/>
  <c r="H7" i="31" s="1"/>
  <c r="G8" i="31"/>
  <c r="G7" i="31" s="1"/>
  <c r="F8" i="31"/>
  <c r="F7" i="31" s="1"/>
  <c r="E8" i="31"/>
  <c r="E7" i="31" s="1"/>
  <c r="R3" i="40"/>
  <c r="Q3" i="40"/>
  <c r="P3" i="40"/>
  <c r="M3" i="40"/>
  <c r="L3" i="40"/>
  <c r="Y14" i="38" l="1"/>
  <c r="S14" i="38"/>
  <c r="T14" i="38"/>
  <c r="R14" i="38"/>
  <c r="G50" i="25" l="1"/>
  <c r="G51" i="25"/>
  <c r="G52" i="25"/>
  <c r="G40" i="25"/>
  <c r="G49" i="25"/>
  <c r="H40" i="25"/>
  <c r="I40" i="25" s="1"/>
  <c r="H41" i="25"/>
  <c r="I41" i="25" s="1"/>
  <c r="H42" i="25"/>
  <c r="I42" i="25" s="1"/>
  <c r="H43" i="25"/>
  <c r="I43" i="25" s="1"/>
  <c r="H44" i="25"/>
  <c r="I44" i="25" s="1"/>
  <c r="H45" i="25"/>
  <c r="I45" i="25" s="1"/>
  <c r="H46" i="25"/>
  <c r="I46" i="25" s="1"/>
  <c r="H47" i="25"/>
  <c r="I47" i="25" s="1"/>
  <c r="H48" i="25"/>
  <c r="I48" i="25" s="1"/>
  <c r="H49" i="25"/>
  <c r="I49" i="25" s="1"/>
  <c r="H50" i="25"/>
  <c r="I50" i="25" s="1"/>
  <c r="H51" i="25"/>
  <c r="I51" i="25" s="1"/>
  <c r="H52" i="25"/>
  <c r="I52" i="25" s="1"/>
  <c r="G48" i="25"/>
  <c r="G47" i="25"/>
  <c r="G45" i="25"/>
  <c r="G44" i="25"/>
  <c r="G43" i="25"/>
  <c r="G42" i="25"/>
  <c r="G41" i="25"/>
  <c r="L40" i="25"/>
  <c r="L41" i="25"/>
  <c r="L42" i="25"/>
  <c r="L43" i="25"/>
  <c r="L44" i="25"/>
  <c r="L45" i="25"/>
  <c r="L46" i="25"/>
  <c r="L47" i="25"/>
  <c r="L48" i="25"/>
  <c r="L49" i="25"/>
  <c r="L50" i="25"/>
  <c r="L51" i="25"/>
  <c r="L52" i="25"/>
  <c r="AA10" i="12" l="1"/>
  <c r="H25" i="25" l="1"/>
  <c r="I25" i="25" s="1"/>
  <c r="L25" i="25"/>
  <c r="G26" i="25"/>
  <c r="H26" i="25"/>
  <c r="I26" i="25" s="1"/>
  <c r="L26" i="25"/>
  <c r="G27" i="25"/>
  <c r="I27" i="25"/>
  <c r="L27" i="25"/>
  <c r="G28" i="25"/>
  <c r="H28" i="25"/>
  <c r="I28" i="25" s="1"/>
  <c r="L28" i="25"/>
  <c r="G29" i="25"/>
  <c r="H29" i="25"/>
  <c r="I29" i="25" s="1"/>
  <c r="L29" i="25"/>
  <c r="G30" i="25"/>
  <c r="H30" i="25"/>
  <c r="I30" i="25" s="1"/>
  <c r="L30" i="25"/>
  <c r="G31" i="25"/>
  <c r="H31" i="25"/>
  <c r="I31" i="25" s="1"/>
  <c r="L31" i="25"/>
  <c r="G32" i="25"/>
  <c r="H32" i="25"/>
  <c r="I32" i="25" s="1"/>
  <c r="L32" i="25"/>
  <c r="G33" i="25"/>
  <c r="H33" i="25"/>
  <c r="I33" i="25" s="1"/>
  <c r="L33" i="25"/>
  <c r="G34" i="25"/>
  <c r="H34" i="25"/>
  <c r="I34" i="25" s="1"/>
  <c r="L34" i="25"/>
  <c r="G35" i="25"/>
  <c r="H35" i="25"/>
  <c r="I35" i="25" s="1"/>
  <c r="L35" i="25"/>
  <c r="G36" i="25"/>
  <c r="H36" i="25"/>
  <c r="I36" i="25" s="1"/>
  <c r="L36" i="25"/>
  <c r="G37" i="25"/>
  <c r="H37" i="25"/>
  <c r="I37" i="25" s="1"/>
  <c r="L37" i="25"/>
  <c r="G38" i="25"/>
  <c r="H38" i="25"/>
  <c r="I38" i="25" s="1"/>
  <c r="L38" i="25"/>
  <c r="I39" i="25"/>
  <c r="L39" i="25"/>
  <c r="AB3" i="12" l="1"/>
  <c r="O5" i="11" l="1"/>
  <c r="O6" i="11" s="1"/>
  <c r="O7" i="11" s="1"/>
  <c r="O8" i="11" s="1"/>
  <c r="O9" i="11" s="1"/>
  <c r="O10" i="11" s="1"/>
  <c r="O11" i="11" s="1"/>
  <c r="O12" i="11" s="1"/>
  <c r="O13" i="11" s="1"/>
  <c r="O14" i="11" s="1"/>
  <c r="D26" i="21" l="1"/>
  <c r="A26" i="1" l="1"/>
  <c r="A25" i="1"/>
  <c r="A24" i="1"/>
  <c r="A23" i="1"/>
  <c r="A22" i="1"/>
  <c r="A21" i="1"/>
  <c r="A20" i="1"/>
  <c r="A19" i="1"/>
  <c r="C2" i="39"/>
  <c r="J41" i="31" l="1"/>
  <c r="D39" i="31"/>
  <c r="D40" i="31"/>
  <c r="P35" i="31"/>
  <c r="V26" i="1" s="1"/>
  <c r="O35" i="31"/>
  <c r="U26" i="1" s="1"/>
  <c r="N35" i="31"/>
  <c r="R26" i="1" s="1"/>
  <c r="M35" i="31"/>
  <c r="Q26" i="1" s="1"/>
  <c r="K35" i="31"/>
  <c r="O26" i="1" s="1"/>
  <c r="I35" i="31"/>
  <c r="H35" i="31"/>
  <c r="G35" i="31"/>
  <c r="F35" i="31"/>
  <c r="E35" i="31"/>
  <c r="C35" i="31"/>
  <c r="P33" i="31"/>
  <c r="V25" i="1" s="1"/>
  <c r="O33" i="31"/>
  <c r="U25" i="1" s="1"/>
  <c r="N33" i="31"/>
  <c r="R25" i="1" s="1"/>
  <c r="M33" i="31"/>
  <c r="Q25" i="1" s="1"/>
  <c r="K33" i="31"/>
  <c r="O25" i="1" s="1"/>
  <c r="I33" i="31"/>
  <c r="I25" i="1" s="1"/>
  <c r="H33" i="31"/>
  <c r="H25" i="1" s="1"/>
  <c r="G33" i="31"/>
  <c r="G25" i="1" s="1"/>
  <c r="F33" i="31"/>
  <c r="F25" i="1" s="1"/>
  <c r="E33" i="31"/>
  <c r="E25" i="1" s="1"/>
  <c r="C33" i="31"/>
  <c r="C25" i="1" s="1"/>
  <c r="P31" i="31"/>
  <c r="V24" i="1" s="1"/>
  <c r="O31" i="31"/>
  <c r="U24" i="1" s="1"/>
  <c r="N31" i="31"/>
  <c r="R24" i="1" s="1"/>
  <c r="M31" i="31"/>
  <c r="Q24" i="1" s="1"/>
  <c r="K31" i="31"/>
  <c r="O24" i="1" s="1"/>
  <c r="I31" i="31"/>
  <c r="I24" i="1" s="1"/>
  <c r="H31" i="31"/>
  <c r="H24" i="1" s="1"/>
  <c r="G31" i="31"/>
  <c r="G24" i="1" s="1"/>
  <c r="F31" i="31"/>
  <c r="F24" i="1" s="1"/>
  <c r="E31" i="31"/>
  <c r="E24" i="1" s="1"/>
  <c r="C31" i="31"/>
  <c r="C24" i="1" s="1"/>
  <c r="P29" i="31"/>
  <c r="O29" i="31"/>
  <c r="U23" i="1" s="1"/>
  <c r="N29" i="31"/>
  <c r="R23" i="1" s="1"/>
  <c r="M29" i="31"/>
  <c r="Q23" i="1" s="1"/>
  <c r="K29" i="31"/>
  <c r="O23" i="1" s="1"/>
  <c r="I29" i="31"/>
  <c r="I23" i="1" s="1"/>
  <c r="H29" i="31"/>
  <c r="H23" i="1" s="1"/>
  <c r="G29" i="31"/>
  <c r="G23" i="1" s="1"/>
  <c r="F29" i="31"/>
  <c r="F23" i="1" s="1"/>
  <c r="E29" i="31"/>
  <c r="E23" i="1" s="1"/>
  <c r="C29" i="31"/>
  <c r="C23" i="1" s="1"/>
  <c r="P27" i="31"/>
  <c r="V22" i="1" s="1"/>
  <c r="O27" i="31"/>
  <c r="U22" i="1" s="1"/>
  <c r="N27" i="31"/>
  <c r="R22" i="1" s="1"/>
  <c r="M27" i="31"/>
  <c r="Q22" i="1" s="1"/>
  <c r="K27" i="31"/>
  <c r="O22" i="1" s="1"/>
  <c r="I27" i="31"/>
  <c r="I22" i="1" s="1"/>
  <c r="H27" i="31"/>
  <c r="H22" i="1" s="1"/>
  <c r="G27" i="31"/>
  <c r="G22" i="1" s="1"/>
  <c r="F27" i="31"/>
  <c r="F22" i="1" s="1"/>
  <c r="E27" i="31"/>
  <c r="E22" i="1" s="1"/>
  <c r="C27" i="31"/>
  <c r="C22" i="1" s="1"/>
  <c r="P25" i="31"/>
  <c r="V21" i="1" s="1"/>
  <c r="O25" i="31"/>
  <c r="U21" i="1" s="1"/>
  <c r="N25" i="31"/>
  <c r="R21" i="1" s="1"/>
  <c r="M25" i="31"/>
  <c r="Q21" i="1" s="1"/>
  <c r="K25" i="31"/>
  <c r="O21" i="1" s="1"/>
  <c r="I25" i="31"/>
  <c r="I21" i="1" s="1"/>
  <c r="H25" i="31"/>
  <c r="H21" i="1" s="1"/>
  <c r="G21" i="1"/>
  <c r="F25" i="31"/>
  <c r="F21" i="1" s="1"/>
  <c r="E25" i="31"/>
  <c r="E21" i="1" s="1"/>
  <c r="C25" i="31"/>
  <c r="C21" i="1" s="1"/>
  <c r="P23" i="31"/>
  <c r="V20" i="1" s="1"/>
  <c r="O23" i="31"/>
  <c r="U20" i="1" s="1"/>
  <c r="N23" i="31"/>
  <c r="R20" i="1" s="1"/>
  <c r="M23" i="31"/>
  <c r="Q20" i="1" s="1"/>
  <c r="K23" i="31"/>
  <c r="O20" i="1" s="1"/>
  <c r="I23" i="31"/>
  <c r="I20" i="1" s="1"/>
  <c r="H23" i="31"/>
  <c r="H20" i="1" s="1"/>
  <c r="G23" i="31"/>
  <c r="G20" i="1" s="1"/>
  <c r="F23" i="31"/>
  <c r="F20" i="1" s="1"/>
  <c r="E23" i="31"/>
  <c r="E20" i="1" s="1"/>
  <c r="C23" i="31"/>
  <c r="C20" i="1" s="1"/>
  <c r="P21" i="31"/>
  <c r="V19" i="1" s="1"/>
  <c r="O21" i="31"/>
  <c r="N21" i="31"/>
  <c r="R19" i="1" s="1"/>
  <c r="M21" i="31"/>
  <c r="Q19" i="1" s="1"/>
  <c r="K21" i="31"/>
  <c r="O19" i="1" s="1"/>
  <c r="I21" i="31"/>
  <c r="I19" i="1" s="1"/>
  <c r="H21" i="31"/>
  <c r="H19" i="1" s="1"/>
  <c r="G21" i="31"/>
  <c r="G19" i="1" s="1"/>
  <c r="F21" i="31"/>
  <c r="F19" i="1" s="1"/>
  <c r="E21" i="31"/>
  <c r="E19" i="1" s="1"/>
  <c r="C21" i="31"/>
  <c r="C19" i="1" s="1"/>
  <c r="J25" i="1" l="1"/>
  <c r="K25" i="1"/>
  <c r="X20" i="1"/>
  <c r="W20" i="1"/>
  <c r="L25" i="1"/>
  <c r="T20" i="1"/>
  <c r="W21" i="1"/>
  <c r="X22" i="1"/>
  <c r="X21" i="1"/>
  <c r="T19" i="1"/>
  <c r="S19" i="1"/>
  <c r="X19" i="1"/>
  <c r="F26" i="1"/>
  <c r="G26" i="1"/>
  <c r="H26" i="1"/>
  <c r="I26" i="1"/>
  <c r="C26" i="1"/>
  <c r="E26" i="1"/>
  <c r="S21" i="1"/>
  <c r="V23" i="1"/>
  <c r="X23" i="1" s="1"/>
  <c r="W26" i="1"/>
  <c r="U19" i="1"/>
  <c r="W19" i="1" s="1"/>
  <c r="W25" i="1"/>
  <c r="X26" i="1"/>
  <c r="W24" i="1"/>
  <c r="X25" i="1"/>
  <c r="W23" i="1"/>
  <c r="X24" i="1"/>
  <c r="T21" i="1"/>
  <c r="W22" i="1"/>
  <c r="J24" i="1"/>
  <c r="J22" i="1"/>
  <c r="L24" i="1"/>
  <c r="L23" i="1"/>
  <c r="T26" i="1"/>
  <c r="L22" i="1"/>
  <c r="L21" i="1"/>
  <c r="K19" i="1"/>
  <c r="L20" i="1"/>
  <c r="S22" i="1"/>
  <c r="T23" i="1"/>
  <c r="K24" i="1"/>
  <c r="S26" i="1"/>
  <c r="K22" i="1"/>
  <c r="K21" i="1"/>
  <c r="T25" i="1"/>
  <c r="J19" i="1"/>
  <c r="T24" i="1"/>
  <c r="L19" i="1"/>
  <c r="T22" i="1"/>
  <c r="J23" i="1"/>
  <c r="K23" i="1"/>
  <c r="J21" i="1"/>
  <c r="S25" i="1"/>
  <c r="J20" i="1"/>
  <c r="S24" i="1"/>
  <c r="K20" i="1"/>
  <c r="S23" i="1"/>
  <c r="S20" i="1"/>
  <c r="M25" i="1" l="1"/>
  <c r="Y20" i="1"/>
  <c r="Z20" i="1"/>
  <c r="N25" i="1"/>
  <c r="Y21" i="1"/>
  <c r="Y22" i="1"/>
  <c r="Z21" i="1"/>
  <c r="L26" i="1"/>
  <c r="J26" i="1"/>
  <c r="K26" i="1"/>
  <c r="M19" i="1"/>
  <c r="Y19" i="1"/>
  <c r="Z19" i="1"/>
  <c r="N19" i="1"/>
  <c r="Y23" i="1"/>
  <c r="Z23" i="1"/>
  <c r="Z22" i="1"/>
  <c r="M20" i="1"/>
  <c r="Y25" i="1"/>
  <c r="Z25" i="1"/>
  <c r="Z26" i="1"/>
  <c r="Y26" i="1"/>
  <c r="Z24" i="1"/>
  <c r="Y24" i="1"/>
  <c r="N22" i="1"/>
  <c r="M22" i="1"/>
  <c r="M23" i="1"/>
  <c r="N23" i="1"/>
  <c r="M24" i="1"/>
  <c r="N24" i="1"/>
  <c r="N20" i="1"/>
  <c r="M21" i="1"/>
  <c r="N21" i="1"/>
  <c r="M26" i="1" l="1"/>
  <c r="N26" i="1"/>
  <c r="G18" i="12"/>
  <c r="W18" i="12" l="1"/>
  <c r="G54" i="38" l="1"/>
  <c r="A18" i="1" l="1"/>
  <c r="A17" i="1"/>
  <c r="E19" i="31"/>
  <c r="P19" i="31"/>
  <c r="V18" i="1" s="1"/>
  <c r="O19" i="31"/>
  <c r="U18" i="1" s="1"/>
  <c r="N19" i="31"/>
  <c r="R18" i="1" s="1"/>
  <c r="M19" i="31"/>
  <c r="Q18" i="1" s="1"/>
  <c r="K19" i="31"/>
  <c r="O18" i="1" s="1"/>
  <c r="I19" i="31"/>
  <c r="H19" i="31"/>
  <c r="G19" i="31"/>
  <c r="F19" i="31"/>
  <c r="C19" i="31"/>
  <c r="H18" i="1" l="1"/>
  <c r="E18" i="1"/>
  <c r="I18" i="1"/>
  <c r="C18" i="1"/>
  <c r="F18" i="1"/>
  <c r="G18" i="1"/>
  <c r="X18" i="1"/>
  <c r="S18" i="1"/>
  <c r="T18" i="1"/>
  <c r="W18" i="1"/>
  <c r="K18" i="1" l="1"/>
  <c r="J18" i="1"/>
  <c r="L18" i="1"/>
  <c r="Y18" i="1"/>
  <c r="Z18" i="1"/>
  <c r="N18" i="1" l="1"/>
  <c r="M18" i="1"/>
  <c r="J46" i="12"/>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R5" i="2" l="1"/>
  <c r="R6" i="2" s="1"/>
  <c r="R7" i="2" s="1"/>
  <c r="R8" i="2" s="1"/>
  <c r="R9" i="2" s="1"/>
  <c r="R10" i="2" s="1"/>
  <c r="R11" i="2" s="1"/>
  <c r="R12" i="2" s="1"/>
  <c r="R13" i="2" s="1"/>
  <c r="R14" i="2" s="1"/>
  <c r="E1" i="2"/>
  <c r="J14" i="2" l="1"/>
  <c r="J13" i="2"/>
  <c r="J12" i="2"/>
  <c r="J11" i="2"/>
  <c r="J10" i="2"/>
  <c r="J8" i="2"/>
  <c r="J9" i="2"/>
  <c r="J5" i="2"/>
  <c r="J6" i="2"/>
  <c r="J7" i="2"/>
  <c r="G5" i="2"/>
  <c r="G6" i="2"/>
  <c r="P15" i="2"/>
  <c r="P16" i="2"/>
  <c r="P17" i="2"/>
  <c r="P18" i="2"/>
  <c r="L23" i="25"/>
  <c r="L24" i="25"/>
  <c r="G24" i="25"/>
  <c r="H24" i="25"/>
  <c r="I24" i="25" s="1"/>
  <c r="G10" i="12" l="1"/>
  <c r="M15" i="31"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H23" i="25"/>
  <c r="I23" i="25" s="1"/>
  <c r="L29" i="28" l="1"/>
  <c r="G15" i="12" l="1"/>
  <c r="J15" i="12" s="1"/>
  <c r="AB15" i="12" l="1"/>
  <c r="L3" i="25"/>
  <c r="L4" i="25"/>
  <c r="L9" i="25"/>
  <c r="L10" i="25"/>
  <c r="L12" i="25"/>
  <c r="L13" i="25"/>
  <c r="L14" i="25"/>
  <c r="L15" i="25"/>
  <c r="L16" i="25"/>
  <c r="L17" i="25"/>
  <c r="L18" i="25"/>
  <c r="L19" i="25"/>
  <c r="L20" i="25"/>
  <c r="L21" i="25"/>
  <c r="H3" i="25"/>
  <c r="I3" i="25" s="1"/>
  <c r="G2" i="25"/>
  <c r="G3" i="25"/>
  <c r="AC13" i="12" l="1"/>
  <c r="AA13" i="12"/>
  <c r="N13" i="38" l="1"/>
  <c r="G58" i="12" l="1"/>
  <c r="G57" i="12"/>
  <c r="G56" i="12"/>
  <c r="G55" i="12"/>
  <c r="G54" i="12"/>
  <c r="G53" i="12"/>
  <c r="G52" i="12"/>
  <c r="G51" i="12"/>
  <c r="G50" i="12"/>
  <c r="G49" i="12"/>
  <c r="G48" i="12"/>
  <c r="G47" i="12"/>
  <c r="G46" i="12"/>
  <c r="G45" i="12"/>
  <c r="G44" i="12"/>
  <c r="G43" i="12"/>
  <c r="G42" i="12"/>
  <c r="G41" i="12"/>
  <c r="G12" i="12"/>
  <c r="G11" i="12"/>
  <c r="Q5" i="12" l="1"/>
  <c r="H2" i="25"/>
  <c r="I2" i="25" s="1"/>
  <c r="Z13" i="12" l="1"/>
  <c r="Z15" i="12"/>
  <c r="Z22" i="12"/>
  <c r="Z23" i="12"/>
  <c r="Z24" i="12"/>
  <c r="Z25" i="12"/>
  <c r="Z26" i="12"/>
  <c r="Z27" i="12"/>
  <c r="Z28" i="12"/>
  <c r="Z29" i="12"/>
  <c r="Z30" i="12"/>
  <c r="Z31" i="12"/>
  <c r="Z32" i="12"/>
  <c r="Z33" i="12"/>
  <c r="Z34" i="12"/>
  <c r="Z35" i="12"/>
  <c r="AC11" i="12" l="1"/>
  <c r="AA11" i="12"/>
  <c r="AB13" i="12"/>
  <c r="M49" i="38" l="1"/>
  <c r="G11" i="19" l="1"/>
  <c r="G12" i="19" l="1"/>
  <c r="G6" i="19"/>
  <c r="G5" i="19" l="1"/>
  <c r="G4" i="19"/>
  <c r="D3" i="19"/>
  <c r="L3" i="19" s="1"/>
  <c r="G3" i="19" l="1"/>
  <c r="P12" i="12"/>
  <c r="H12" i="12"/>
  <c r="J12" i="12" s="1"/>
  <c r="Y12" i="12" s="1"/>
  <c r="P11" i="12"/>
  <c r="H11" i="12"/>
  <c r="J11" i="12" s="1"/>
  <c r="AC10" i="12"/>
  <c r="P10" i="12"/>
  <c r="H10" i="12"/>
  <c r="AC9" i="12"/>
  <c r="P9" i="12"/>
  <c r="C1" i="39"/>
  <c r="F3" i="39"/>
  <c r="C3" i="39" s="1"/>
  <c r="P37" i="31"/>
  <c r="V27" i="1" s="1"/>
  <c r="O37" i="31"/>
  <c r="U27" i="1" s="1"/>
  <c r="N37" i="31"/>
  <c r="R27" i="1" s="1"/>
  <c r="M37" i="31"/>
  <c r="P17" i="31"/>
  <c r="O17" i="31"/>
  <c r="N17" i="31"/>
  <c r="M17" i="31"/>
  <c r="P15" i="31"/>
  <c r="O15" i="31"/>
  <c r="N15" i="31"/>
  <c r="P13" i="31"/>
  <c r="O13" i="31"/>
  <c r="N13" i="31"/>
  <c r="M13" i="31"/>
  <c r="P11" i="31"/>
  <c r="O11" i="31"/>
  <c r="N11" i="31"/>
  <c r="M11" i="31"/>
  <c r="P9" i="31"/>
  <c r="O9" i="31"/>
  <c r="N9" i="31"/>
  <c r="M9" i="31"/>
  <c r="K37" i="31"/>
  <c r="K17" i="31"/>
  <c r="K15" i="31"/>
  <c r="K13" i="31"/>
  <c r="K11" i="31"/>
  <c r="K9" i="31"/>
  <c r="K7" i="31"/>
  <c r="I37" i="31"/>
  <c r="I27" i="1" s="1"/>
  <c r="H37" i="31"/>
  <c r="H27" i="1" s="1"/>
  <c r="G37" i="31"/>
  <c r="G27" i="1" s="1"/>
  <c r="F37" i="31"/>
  <c r="F27" i="1" s="1"/>
  <c r="E37" i="31"/>
  <c r="I17" i="31"/>
  <c r="H17" i="31"/>
  <c r="G17" i="31"/>
  <c r="F17" i="31"/>
  <c r="E17" i="31"/>
  <c r="I15" i="31"/>
  <c r="H15" i="31"/>
  <c r="G15" i="31"/>
  <c r="F15" i="31"/>
  <c r="E15" i="31"/>
  <c r="I13" i="31"/>
  <c r="H13" i="31"/>
  <c r="G13" i="31"/>
  <c r="F13" i="31"/>
  <c r="E13" i="31"/>
  <c r="I11" i="31"/>
  <c r="H11" i="31"/>
  <c r="F11" i="31"/>
  <c r="E11" i="31"/>
  <c r="I9" i="31"/>
  <c r="H9" i="31"/>
  <c r="F9" i="31"/>
  <c r="C9" i="31"/>
  <c r="C11" i="31"/>
  <c r="C13" i="31"/>
  <c r="C15" i="31"/>
  <c r="C17" i="31"/>
  <c r="C37" i="31"/>
  <c r="D47" i="21"/>
  <c r="D38" i="21"/>
  <c r="D30" i="21"/>
  <c r="D34" i="21"/>
  <c r="H41" i="31" l="1"/>
  <c r="H42" i="31" s="1"/>
  <c r="I41" i="31"/>
  <c r="N41" i="31"/>
  <c r="E41" i="31"/>
  <c r="F41" i="31"/>
  <c r="G41" i="31"/>
  <c r="M41" i="31"/>
  <c r="O41" i="31"/>
  <c r="P41" i="31"/>
  <c r="V22" i="11" s="1"/>
  <c r="V23" i="11" s="1"/>
  <c r="K41" i="31"/>
  <c r="L7" i="31" s="1"/>
  <c r="C41" i="31"/>
  <c r="D19" i="31" s="1"/>
  <c r="N16" i="38"/>
  <c r="J10" i="12"/>
  <c r="Z14" i="12"/>
  <c r="AB14" i="12"/>
  <c r="Z11" i="12"/>
  <c r="E46"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I42" i="31" l="1"/>
  <c r="W28" i="2"/>
  <c r="W29" i="2" s="1"/>
  <c r="G42" i="31"/>
  <c r="Z10" i="12"/>
  <c r="Y4" i="12"/>
  <c r="M42" i="31"/>
  <c r="AB10" i="12"/>
  <c r="L11" i="31"/>
  <c r="L38" i="31"/>
  <c r="L15" i="31"/>
  <c r="F42" i="31"/>
  <c r="D20" i="31"/>
  <c r="E42" i="31"/>
  <c r="O42" i="31"/>
  <c r="P42" i="31"/>
  <c r="L40" i="31"/>
  <c r="L39" i="31"/>
  <c r="L20" i="31"/>
  <c r="L36" i="31"/>
  <c r="L34" i="31"/>
  <c r="L32" i="31"/>
  <c r="L30" i="31"/>
  <c r="L26" i="31"/>
  <c r="L22" i="31"/>
  <c r="L28" i="31"/>
  <c r="L24" i="31"/>
  <c r="L33" i="31"/>
  <c r="L21" i="31"/>
  <c r="L27" i="31"/>
  <c r="L23" i="31"/>
  <c r="L25" i="31"/>
  <c r="L35" i="31"/>
  <c r="L29" i="31"/>
  <c r="L31" i="31"/>
  <c r="D36" i="31"/>
  <c r="D32" i="31"/>
  <c r="D26" i="31"/>
  <c r="D30" i="31"/>
  <c r="D28" i="31"/>
  <c r="D24" i="31"/>
  <c r="D22" i="31"/>
  <c r="D34" i="31"/>
  <c r="D23" i="31"/>
  <c r="D31" i="31"/>
  <c r="D29" i="31"/>
  <c r="D35" i="31"/>
  <c r="D33" i="31"/>
  <c r="D25" i="31"/>
  <c r="D27" i="31"/>
  <c r="D21" i="31"/>
  <c r="L19" i="31"/>
  <c r="N42" i="31"/>
  <c r="AB11" i="12"/>
  <c r="Z12" i="12"/>
  <c r="Y3" i="43" l="1"/>
  <c r="M48" i="38"/>
  <c r="AB12" i="12"/>
  <c r="U8" i="29" l="1"/>
  <c r="A27" i="1" l="1"/>
  <c r="C7" i="31"/>
  <c r="A1" i="19" l="1"/>
  <c r="W90" i="1" l="1"/>
  <c r="W91" i="1"/>
  <c r="X90" i="1"/>
  <c r="X91" i="1"/>
  <c r="AC90" i="1"/>
  <c r="AD90" i="1"/>
  <c r="AE90" i="1"/>
  <c r="AF90" i="1"/>
  <c r="AG90" i="1"/>
  <c r="AH90" i="1"/>
  <c r="AC91" i="1"/>
  <c r="AD91" i="1"/>
  <c r="AE91" i="1"/>
  <c r="AF91" i="1"/>
  <c r="AG91" i="1"/>
  <c r="AH91" i="1"/>
  <c r="AD89" i="1"/>
  <c r="AE89" i="1"/>
  <c r="AF89" i="1"/>
  <c r="AG89" i="1"/>
  <c r="AH89" i="1"/>
  <c r="AC89" i="1"/>
  <c r="F6" i="11" l="1"/>
  <c r="F7" i="11" l="1"/>
  <c r="V13" i="11" s="1"/>
  <c r="F8" i="11" l="1"/>
  <c r="F9" i="11" l="1"/>
  <c r="F10" i="11" l="1"/>
  <c r="F11" i="11" l="1"/>
  <c r="F12" i="11" l="1"/>
  <c r="F13" i="11" l="1"/>
  <c r="F14" i="11" l="1"/>
  <c r="F15" i="11" l="1"/>
  <c r="F16" i="11" l="1"/>
  <c r="F17" i="11" l="1"/>
  <c r="F18" i="11" l="1"/>
  <c r="F19" i="11" l="1"/>
  <c r="F20" i="11" l="1"/>
  <c r="F21" i="11" l="1"/>
  <c r="F22" i="11" l="1"/>
  <c r="A83" i="1" l="1"/>
  <c r="A82" i="1"/>
  <c r="A81" i="1"/>
  <c r="A80" i="1"/>
  <c r="A79" i="1"/>
  <c r="A74" i="1"/>
  <c r="A73" i="1"/>
  <c r="A72" i="1"/>
  <c r="A71" i="1"/>
  <c r="A70" i="1"/>
  <c r="A65" i="1"/>
  <c r="A64" i="1"/>
  <c r="A63" i="1"/>
  <c r="A62" i="1"/>
  <c r="A61" i="1"/>
  <c r="H17" i="12"/>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5" i="12"/>
  <c r="AB17" i="12"/>
  <c r="Y59" i="12"/>
  <c r="Y6" i="12" s="1"/>
  <c r="P13" i="12"/>
  <c r="P14" i="12"/>
  <c r="P15" i="12"/>
  <c r="P16" i="12"/>
  <c r="P17" i="12"/>
  <c r="I80" i="1" l="1"/>
  <c r="I81" i="1"/>
  <c r="I82" i="1"/>
  <c r="I83" i="1"/>
  <c r="I79" i="1"/>
  <c r="O62" i="1"/>
  <c r="P62" i="1"/>
  <c r="Q62" i="1"/>
  <c r="R62" i="1"/>
  <c r="S62" i="1"/>
  <c r="T62" i="1"/>
  <c r="U62" i="1"/>
  <c r="V62" i="1"/>
  <c r="O63" i="1"/>
  <c r="P63" i="1"/>
  <c r="Q63" i="1"/>
  <c r="R63" i="1"/>
  <c r="S63" i="1"/>
  <c r="T63" i="1"/>
  <c r="U63" i="1"/>
  <c r="V63" i="1"/>
  <c r="O64" i="1"/>
  <c r="P64" i="1"/>
  <c r="Q64" i="1"/>
  <c r="R64" i="1"/>
  <c r="S64" i="1"/>
  <c r="T64" i="1"/>
  <c r="U64" i="1"/>
  <c r="V64" i="1"/>
  <c r="O65" i="1"/>
  <c r="P65" i="1"/>
  <c r="Q65" i="1"/>
  <c r="R65" i="1"/>
  <c r="S65" i="1"/>
  <c r="T65" i="1"/>
  <c r="U65" i="1"/>
  <c r="V65" i="1"/>
  <c r="N63" i="1"/>
  <c r="N64" i="1"/>
  <c r="N65" i="1"/>
  <c r="N62" i="1"/>
  <c r="D79" i="1"/>
  <c r="E79" i="1"/>
  <c r="F79" i="1"/>
  <c r="G79" i="1"/>
  <c r="H79" i="1"/>
  <c r="D80" i="1"/>
  <c r="E80" i="1"/>
  <c r="F80" i="1"/>
  <c r="G80" i="1"/>
  <c r="H80" i="1"/>
  <c r="D81" i="1"/>
  <c r="E81" i="1"/>
  <c r="F81" i="1"/>
  <c r="G81" i="1"/>
  <c r="H81" i="1"/>
  <c r="D82" i="1"/>
  <c r="E82" i="1"/>
  <c r="F82" i="1"/>
  <c r="G82" i="1"/>
  <c r="H82" i="1"/>
  <c r="D83" i="1"/>
  <c r="E83" i="1"/>
  <c r="F83" i="1"/>
  <c r="G83" i="1"/>
  <c r="H83" i="1"/>
  <c r="C80" i="1"/>
  <c r="C81" i="1"/>
  <c r="C82" i="1"/>
  <c r="C83" i="1"/>
  <c r="C79" i="1"/>
  <c r="D70" i="1"/>
  <c r="E70" i="1"/>
  <c r="F70" i="1"/>
  <c r="G70" i="1"/>
  <c r="J70" i="1"/>
  <c r="D71" i="1"/>
  <c r="E71" i="1"/>
  <c r="F71" i="1"/>
  <c r="G71" i="1"/>
  <c r="J71" i="1"/>
  <c r="K71" i="1"/>
  <c r="D72" i="1"/>
  <c r="E72" i="1"/>
  <c r="F72" i="1"/>
  <c r="G72" i="1"/>
  <c r="J72" i="1"/>
  <c r="D73" i="1"/>
  <c r="E73" i="1"/>
  <c r="F73" i="1"/>
  <c r="G73" i="1"/>
  <c r="J73" i="1"/>
  <c r="D74" i="1"/>
  <c r="E74" i="1"/>
  <c r="F74" i="1"/>
  <c r="G74" i="1"/>
  <c r="J74" i="1"/>
  <c r="C71" i="1"/>
  <c r="C72" i="1"/>
  <c r="C73" i="1"/>
  <c r="C70" i="1"/>
  <c r="D61" i="1"/>
  <c r="E61" i="1"/>
  <c r="F61" i="1"/>
  <c r="G61" i="1"/>
  <c r="J61" i="1"/>
  <c r="D62" i="1"/>
  <c r="E62" i="1"/>
  <c r="F62" i="1"/>
  <c r="G62" i="1"/>
  <c r="J62" i="1"/>
  <c r="D63" i="1"/>
  <c r="E63" i="1"/>
  <c r="F63" i="1"/>
  <c r="G63" i="1"/>
  <c r="J63" i="1"/>
  <c r="D64" i="1"/>
  <c r="E64" i="1"/>
  <c r="F64" i="1"/>
  <c r="G64" i="1"/>
  <c r="J64" i="1"/>
  <c r="D65" i="1"/>
  <c r="E65" i="1"/>
  <c r="F65" i="1"/>
  <c r="G65" i="1"/>
  <c r="J65" i="1"/>
  <c r="C62" i="1"/>
  <c r="C63" i="1"/>
  <c r="C64" i="1"/>
  <c r="C65" i="1"/>
  <c r="C61" i="1"/>
  <c r="J46" i="38"/>
  <c r="I46" i="38"/>
  <c r="H84" i="1" s="1"/>
  <c r="H46" i="38"/>
  <c r="G84" i="1" s="1"/>
  <c r="G46" i="38"/>
  <c r="F84" i="1" s="1"/>
  <c r="F46" i="38"/>
  <c r="E84" i="1" s="1"/>
  <c r="D84" i="1"/>
  <c r="D46" i="38"/>
  <c r="C84" i="1" s="1"/>
  <c r="Y17" i="38"/>
  <c r="V17" i="38"/>
  <c r="U17" i="38"/>
  <c r="T17" i="38"/>
  <c r="S17" i="38"/>
  <c r="I74" i="1"/>
  <c r="K73" i="1"/>
  <c r="H73" i="1"/>
  <c r="K72" i="1"/>
  <c r="I72" i="1"/>
  <c r="I70" i="1"/>
  <c r="H70" i="1"/>
  <c r="N25" i="38"/>
  <c r="K65" i="1"/>
  <c r="I65" i="1"/>
  <c r="H65" i="1"/>
  <c r="K64" i="1"/>
  <c r="I64" i="1"/>
  <c r="H64" i="1"/>
  <c r="K63" i="1"/>
  <c r="I63" i="1"/>
  <c r="H63" i="1"/>
  <c r="K62" i="1"/>
  <c r="I62" i="1"/>
  <c r="H62" i="1"/>
  <c r="H61" i="1"/>
  <c r="I73" i="1" l="1"/>
  <c r="K61" i="1"/>
  <c r="K70" i="1"/>
  <c r="H71" i="1"/>
  <c r="H72" i="1"/>
  <c r="I61" i="1"/>
  <c r="I26" i="38" l="1"/>
  <c r="M25" i="38"/>
  <c r="X17" i="38"/>
  <c r="I71"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X6" i="29"/>
  <c r="R6" i="28" l="1"/>
  <c r="E6" i="28"/>
  <c r="E4" i="28"/>
  <c r="E2" i="28"/>
  <c r="E8" i="29"/>
  <c r="E6" i="29"/>
  <c r="T1" i="31" l="1"/>
  <c r="M15" i="2" l="1"/>
  <c r="M13" i="2"/>
  <c r="M14" i="2"/>
  <c r="M9" i="2"/>
  <c r="M10" i="2"/>
  <c r="M11" i="2"/>
  <c r="M12" i="2"/>
  <c r="M8" i="2"/>
  <c r="M7" i="2"/>
  <c r="M6" i="2"/>
  <c r="J4" i="2"/>
  <c r="AG36" i="1" l="1"/>
  <c r="AG37" i="1"/>
  <c r="AG38" i="1"/>
  <c r="AG39" i="1"/>
  <c r="AG40" i="1"/>
  <c r="AG35" i="1"/>
  <c r="AF40" i="1"/>
  <c r="AE40" i="1"/>
  <c r="AF39" i="1"/>
  <c r="AE39" i="1"/>
  <c r="AF38" i="1"/>
  <c r="AE38" i="1"/>
  <c r="AF37" i="1"/>
  <c r="AE37" i="1"/>
  <c r="AF36" i="1"/>
  <c r="AE36" i="1"/>
  <c r="AF35" i="1"/>
  <c r="AE35" i="1"/>
  <c r="AF34" i="1"/>
  <c r="AE34" i="1"/>
  <c r="AF33" i="1"/>
  <c r="AE33" i="1"/>
  <c r="AF32" i="1"/>
  <c r="AE32" i="1"/>
  <c r="AF31" i="1"/>
  <c r="AE31" i="1"/>
  <c r="AD36" i="1"/>
  <c r="AD37" i="1"/>
  <c r="AD38" i="1"/>
  <c r="AD39" i="1"/>
  <c r="AD40" i="1"/>
  <c r="AD35" i="1"/>
  <c r="AD33" i="1"/>
  <c r="AD34" i="1"/>
  <c r="AA38" i="1"/>
  <c r="AA39" i="1"/>
  <c r="AA40" i="1"/>
  <c r="AB38" i="1"/>
  <c r="AB39" i="1"/>
  <c r="AB40" i="1"/>
  <c r="AA34" i="1"/>
  <c r="AA35" i="1"/>
  <c r="AA36" i="1"/>
  <c r="AA37" i="1"/>
  <c r="AB33" i="1"/>
  <c r="AB34" i="1"/>
  <c r="AB35" i="1"/>
  <c r="AB36" i="1"/>
  <c r="AB37" i="1"/>
  <c r="AB32" i="1"/>
  <c r="AB31" i="1"/>
  <c r="V12" i="1"/>
  <c r="V13" i="1"/>
  <c r="V14" i="1"/>
  <c r="V15" i="1"/>
  <c r="V16" i="1"/>
  <c r="V17" i="1"/>
  <c r="U17" i="1"/>
  <c r="U16" i="1"/>
  <c r="U15" i="1"/>
  <c r="U14" i="1"/>
  <c r="U13" i="1"/>
  <c r="U12" i="1"/>
  <c r="R12" i="1"/>
  <c r="R13" i="1"/>
  <c r="R14" i="1"/>
  <c r="R15" i="1"/>
  <c r="R16" i="1"/>
  <c r="R17" i="1"/>
  <c r="Q27" i="1"/>
  <c r="Q17" i="1"/>
  <c r="Q16" i="1"/>
  <c r="Q15" i="1"/>
  <c r="Q14" i="1"/>
  <c r="Q13" i="1"/>
  <c r="O27" i="1"/>
  <c r="O17" i="1"/>
  <c r="O16" i="1"/>
  <c r="O15" i="1"/>
  <c r="O14" i="1"/>
  <c r="O13" i="1"/>
  <c r="O12" i="1"/>
  <c r="S14" i="1" l="1"/>
  <c r="S13" i="1"/>
  <c r="T17" i="1"/>
  <c r="S17" i="1"/>
  <c r="AH40" i="1"/>
  <c r="F12" i="1"/>
  <c r="G12" i="1"/>
  <c r="H12" i="1"/>
  <c r="I12" i="1"/>
  <c r="F13" i="1"/>
  <c r="H13" i="1"/>
  <c r="I13" i="1"/>
  <c r="F14" i="1"/>
  <c r="G14" i="1"/>
  <c r="H14" i="1"/>
  <c r="I14" i="1"/>
  <c r="F15" i="1"/>
  <c r="G15" i="1"/>
  <c r="H15" i="1"/>
  <c r="I15" i="1"/>
  <c r="F16" i="1"/>
  <c r="G16" i="1"/>
  <c r="H16" i="1"/>
  <c r="I16" i="1"/>
  <c r="F17" i="1"/>
  <c r="G17" i="1"/>
  <c r="H17" i="1"/>
  <c r="I17" i="1"/>
  <c r="E27" i="1"/>
  <c r="E17" i="1"/>
  <c r="E16" i="1"/>
  <c r="E15" i="1"/>
  <c r="E14" i="1"/>
  <c r="E13" i="1"/>
  <c r="C13" i="1"/>
  <c r="J13" i="1" s="1"/>
  <c r="C14" i="1"/>
  <c r="C15" i="1"/>
  <c r="C16" i="1"/>
  <c r="C17" i="1"/>
  <c r="C27" i="1"/>
  <c r="A15" i="1"/>
  <c r="A16" i="1"/>
  <c r="A13" i="1"/>
  <c r="A14" i="1"/>
  <c r="X15" i="1"/>
  <c r="W15" i="1"/>
  <c r="T15" i="1"/>
  <c r="S15" i="1"/>
  <c r="AH32" i="1"/>
  <c r="AH33" i="1"/>
  <c r="G7" i="19"/>
  <c r="AH34" i="1" s="1"/>
  <c r="L15" i="1" l="1"/>
  <c r="H28" i="1"/>
  <c r="I28" i="1"/>
  <c r="G28" i="1"/>
  <c r="K27" i="1"/>
  <c r="J27" i="1"/>
  <c r="L27" i="1"/>
  <c r="D16" i="31"/>
  <c r="L16" i="31"/>
  <c r="D15" i="31"/>
  <c r="L12" i="31"/>
  <c r="D12" i="31"/>
  <c r="D11" i="31"/>
  <c r="L10" i="31"/>
  <c r="D10" i="31"/>
  <c r="D8" i="31"/>
  <c r="L8" i="31"/>
  <c r="K14" i="1"/>
  <c r="K17" i="1"/>
  <c r="J16" i="1"/>
  <c r="K16" i="1"/>
  <c r="L17" i="1"/>
  <c r="K15" i="1"/>
  <c r="J17" i="1"/>
  <c r="L16" i="1"/>
  <c r="D7" i="31"/>
  <c r="J15" i="1"/>
  <c r="E3" i="12"/>
  <c r="Q3" i="12" s="1"/>
  <c r="L14" i="1"/>
  <c r="Y15" i="1"/>
  <c r="S16" i="1"/>
  <c r="X16" i="1"/>
  <c r="X27" i="1"/>
  <c r="W16" i="1"/>
  <c r="Z15" i="1"/>
  <c r="X14" i="1"/>
  <c r="W14" i="1"/>
  <c r="T27" i="1"/>
  <c r="W27" i="1"/>
  <c r="T16" i="1"/>
  <c r="T14" i="1"/>
  <c r="J14" i="1"/>
  <c r="S27" i="1"/>
  <c r="W17" i="1"/>
  <c r="X17" i="1"/>
  <c r="D18" i="31"/>
  <c r="D17" i="31"/>
  <c r="D14" i="31"/>
  <c r="D13" i="31"/>
  <c r="D38" i="31"/>
  <c r="D37" i="31"/>
  <c r="M15" i="1" l="1"/>
  <c r="N14" i="1"/>
  <c r="M14" i="1"/>
  <c r="Q4" i="12"/>
  <c r="Z27" i="1"/>
  <c r="N27" i="1"/>
  <c r="M27" i="1"/>
  <c r="E4" i="12"/>
  <c r="AB5" i="12" s="1"/>
  <c r="M17" i="1"/>
  <c r="N17" i="1"/>
  <c r="M16" i="1"/>
  <c r="N16" i="1"/>
  <c r="N15" i="1"/>
  <c r="Y27" i="1"/>
  <c r="Y16" i="1"/>
  <c r="Z16" i="1"/>
  <c r="Z14" i="1"/>
  <c r="Y14" i="1"/>
  <c r="Z17" i="1"/>
  <c r="Y17" i="1"/>
  <c r="E5" i="12" l="1"/>
  <c r="L95" i="1"/>
  <c r="F95" i="1"/>
  <c r="A95" i="1"/>
  <c r="W98" i="1" l="1"/>
  <c r="W99" i="1"/>
  <c r="W100" i="1"/>
  <c r="W101" i="1"/>
  <c r="W97" i="1"/>
  <c r="M6" i="12"/>
  <c r="I6" i="12" s="1"/>
  <c r="S5" i="1" l="1"/>
  <c r="R79" i="1"/>
  <c r="M5" i="12"/>
  <c r="F75" i="1"/>
  <c r="D75" i="1"/>
  <c r="G75" i="1"/>
  <c r="J75" i="1"/>
  <c r="E75" i="1"/>
  <c r="I59" i="12"/>
  <c r="F59" i="12"/>
  <c r="AD32" i="1"/>
  <c r="F67" i="12" l="1"/>
  <c r="F63" i="12"/>
  <c r="S4" i="1"/>
  <c r="U71" i="1"/>
  <c r="U69" i="1"/>
  <c r="U68" i="1"/>
  <c r="U67"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61" i="1" l="1"/>
  <c r="DO4" i="33" s="1"/>
  <c r="AC61" i="1"/>
  <c r="EE4" i="33" s="1"/>
  <c r="AD61" i="1"/>
  <c r="EU4" i="33" s="1"/>
  <c r="AB62" i="1"/>
  <c r="DP4" i="33" s="1"/>
  <c r="AC62" i="1"/>
  <c r="EF4" i="33" s="1"/>
  <c r="AD62" i="1"/>
  <c r="EV4" i="33" s="1"/>
  <c r="AB63" i="1"/>
  <c r="DQ4" i="33" s="1"/>
  <c r="AC63" i="1"/>
  <c r="EG4" i="33" s="1"/>
  <c r="AD63" i="1"/>
  <c r="EW4" i="33" s="1"/>
  <c r="AB64" i="1"/>
  <c r="DR4" i="33" s="1"/>
  <c r="AC64" i="1"/>
  <c r="EH4" i="33" s="1"/>
  <c r="AD64" i="1"/>
  <c r="EX4" i="33" s="1"/>
  <c r="AB65" i="1"/>
  <c r="DS4" i="33" s="1"/>
  <c r="AC65" i="1"/>
  <c r="EI4" i="33" s="1"/>
  <c r="AD65" i="1"/>
  <c r="EY4" i="33" s="1"/>
  <c r="AB66" i="1"/>
  <c r="DT4" i="33" s="1"/>
  <c r="AC66" i="1"/>
  <c r="EJ4" i="33" s="1"/>
  <c r="AD66" i="1"/>
  <c r="EZ4" i="33" s="1"/>
  <c r="AB67" i="1"/>
  <c r="DU4" i="33" s="1"/>
  <c r="AC67" i="1"/>
  <c r="EK4" i="33" s="1"/>
  <c r="AD67" i="1"/>
  <c r="FA4" i="33" s="1"/>
  <c r="AB68" i="1"/>
  <c r="DV4" i="33" s="1"/>
  <c r="AC68" i="1"/>
  <c r="EL4" i="33" s="1"/>
  <c r="AD68" i="1"/>
  <c r="FB4" i="33" s="1"/>
  <c r="AB69" i="1"/>
  <c r="DW4" i="33" s="1"/>
  <c r="AC69" i="1"/>
  <c r="EM4" i="33" s="1"/>
  <c r="AD69" i="1"/>
  <c r="FC4" i="33" s="1"/>
  <c r="AB70" i="1"/>
  <c r="DX4" i="33" s="1"/>
  <c r="AC70" i="1"/>
  <c r="EN4" i="33" s="1"/>
  <c r="AD70" i="1"/>
  <c r="FD4" i="33" s="1"/>
  <c r="AB71" i="1"/>
  <c r="DY4" i="33" s="1"/>
  <c r="AC71" i="1"/>
  <c r="EO4" i="33" s="1"/>
  <c r="AD71" i="1"/>
  <c r="FE4" i="33" s="1"/>
  <c r="AB72" i="1"/>
  <c r="DZ4" i="33" s="1"/>
  <c r="AC72" i="1"/>
  <c r="EP4" i="33" s="1"/>
  <c r="AD72" i="1"/>
  <c r="FF4" i="33" s="1"/>
  <c r="AB73" i="1"/>
  <c r="EA4" i="33" s="1"/>
  <c r="AC73" i="1"/>
  <c r="EQ4" i="33" s="1"/>
  <c r="AD73" i="1"/>
  <c r="FG4" i="33" s="1"/>
  <c r="AB74" i="1"/>
  <c r="EB4" i="33" s="1"/>
  <c r="AC74" i="1"/>
  <c r="ER4" i="33" s="1"/>
  <c r="AD74" i="1"/>
  <c r="FH4" i="33" s="1"/>
  <c r="AB75" i="1"/>
  <c r="EC4" i="33" s="1"/>
  <c r="AC75" i="1"/>
  <c r="ES4" i="33" s="1"/>
  <c r="AD75" i="1"/>
  <c r="FI4" i="33" s="1"/>
  <c r="AB76" i="1"/>
  <c r="ED4" i="33" s="1"/>
  <c r="AC76" i="1"/>
  <c r="ET4" i="33" s="1"/>
  <c r="AD76" i="1"/>
  <c r="FJ4" i="33" s="1"/>
  <c r="Z61" i="1"/>
  <c r="CY4" i="33" s="1"/>
  <c r="Z62" i="1"/>
  <c r="CZ4" i="33" s="1"/>
  <c r="Z63" i="1"/>
  <c r="DA4" i="33" s="1"/>
  <c r="Z64" i="1"/>
  <c r="DB4" i="33" s="1"/>
  <c r="Z65" i="1"/>
  <c r="DC4" i="33" s="1"/>
  <c r="Z66" i="1"/>
  <c r="DD4" i="33" s="1"/>
  <c r="Z67" i="1"/>
  <c r="DE4" i="33" s="1"/>
  <c r="Z68" i="1"/>
  <c r="DF4" i="33" s="1"/>
  <c r="Z69" i="1"/>
  <c r="DG4" i="33" s="1"/>
  <c r="Z70" i="1"/>
  <c r="DH4" i="33" s="1"/>
  <c r="Z71" i="1"/>
  <c r="DI4" i="33" s="1"/>
  <c r="Z72" i="1"/>
  <c r="DJ4" i="33" s="1"/>
  <c r="Z73" i="1"/>
  <c r="DK4" i="33" s="1"/>
  <c r="Z74" i="1"/>
  <c r="DL4" i="33" s="1"/>
  <c r="Z75" i="1"/>
  <c r="DM4" i="33" s="1"/>
  <c r="Z76" i="1"/>
  <c r="DN4" i="33" s="1"/>
  <c r="X61" i="1"/>
  <c r="X62" i="1"/>
  <c r="X63" i="1"/>
  <c r="X64" i="1"/>
  <c r="X65" i="1"/>
  <c r="X66" i="1"/>
  <c r="X67" i="1"/>
  <c r="X68" i="1"/>
  <c r="X69" i="1"/>
  <c r="X70" i="1"/>
  <c r="X71" i="1"/>
  <c r="X72" i="1"/>
  <c r="X73" i="1"/>
  <c r="X74" i="1"/>
  <c r="X75" i="1"/>
  <c r="X76"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1" i="1"/>
  <c r="FD3" i="33"/>
  <c r="EN3" i="33"/>
  <c r="DX3" i="33"/>
  <c r="DH3" i="33"/>
  <c r="FI3" i="33"/>
  <c r="ES3" i="33"/>
  <c r="EC3" i="33"/>
  <c r="DM3" i="33"/>
  <c r="FA3" i="33"/>
  <c r="EK3" i="33"/>
  <c r="DU3" i="33"/>
  <c r="DE3" i="33"/>
  <c r="AH62"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AA3" i="1"/>
  <c r="I4" i="33" s="1"/>
  <c r="Q1" i="27"/>
  <c r="P1" i="27"/>
  <c r="S1" i="31"/>
  <c r="Q12" i="1"/>
  <c r="E12" i="1"/>
  <c r="E28" i="1" s="1"/>
  <c r="C12" i="1"/>
  <c r="C28" i="1" s="1"/>
  <c r="A12" i="1"/>
  <c r="D22" i="1" l="1"/>
  <c r="D20" i="1"/>
  <c r="D21" i="1"/>
  <c r="D26" i="1"/>
  <c r="D24" i="1"/>
  <c r="D25" i="1"/>
  <c r="D23" i="1"/>
  <c r="D19" i="1"/>
  <c r="D18" i="1"/>
  <c r="D27" i="1"/>
  <c r="K13" i="1"/>
  <c r="L12" i="1"/>
  <c r="W13" i="1"/>
  <c r="T12" i="1"/>
  <c r="X12" i="1"/>
  <c r="L13" i="1"/>
  <c r="S12" i="1"/>
  <c r="W12" i="1"/>
  <c r="K12" i="1"/>
  <c r="A85" i="1"/>
  <c r="FK2" i="33" s="1"/>
  <c r="A86" i="1"/>
  <c r="A87" i="1"/>
  <c r="F87" i="1"/>
  <c r="A88" i="1"/>
  <c r="FK3" i="33" s="1"/>
  <c r="B88" i="1"/>
  <c r="FL3" i="33" s="1"/>
  <c r="C88" i="1"/>
  <c r="FM3" i="33" s="1"/>
  <c r="D88" i="1"/>
  <c r="FN3" i="33" s="1"/>
  <c r="E88" i="1"/>
  <c r="F88" i="1"/>
  <c r="G88" i="1"/>
  <c r="H88" i="1"/>
  <c r="I88" i="1"/>
  <c r="J88" i="1"/>
  <c r="K88" i="1"/>
  <c r="A89" i="1"/>
  <c r="FK4" i="33" s="1"/>
  <c r="B89" i="1"/>
  <c r="FL4" i="33" s="1"/>
  <c r="C89" i="1"/>
  <c r="FM4" i="33" s="1"/>
  <c r="D89" i="1"/>
  <c r="FN4" i="33" s="1"/>
  <c r="G89" i="1"/>
  <c r="H89" i="1"/>
  <c r="A90" i="1"/>
  <c r="D90" i="1"/>
  <c r="H90" i="1"/>
  <c r="D91" i="1"/>
  <c r="F91" i="1"/>
  <c r="A92" i="1"/>
  <c r="B92" i="1"/>
  <c r="C92" i="1"/>
  <c r="D92" i="1"/>
  <c r="E92" i="1"/>
  <c r="F92" i="1"/>
  <c r="G92" i="1"/>
  <c r="H92" i="1"/>
  <c r="I92" i="1"/>
  <c r="J92" i="1"/>
  <c r="K92" i="1"/>
  <c r="A93" i="1"/>
  <c r="FO4" i="33" s="1"/>
  <c r="B93" i="1"/>
  <c r="FP4" i="33" s="1"/>
  <c r="D93" i="1"/>
  <c r="E93" i="1"/>
  <c r="F93" i="1"/>
  <c r="G93" i="1"/>
  <c r="H93" i="1"/>
  <c r="FQ4" i="33" s="1"/>
  <c r="I93" i="1"/>
  <c r="FR4" i="33" s="1"/>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G19" i="29"/>
  <c r="AF19" i="29"/>
  <c r="AG18" i="29"/>
  <c r="AF18" i="29"/>
  <c r="AO16" i="29"/>
  <c r="AN11" i="29"/>
  <c r="AN10" i="29"/>
  <c r="AF17" i="29" l="1"/>
  <c r="Q49" i="29" s="1"/>
  <c r="U74" i="1"/>
  <c r="K28" i="1"/>
  <c r="L9" i="31"/>
  <c r="D9" i="31"/>
  <c r="D41" i="31" s="1"/>
  <c r="L14" i="31"/>
  <c r="L13" i="31"/>
  <c r="L17" i="31"/>
  <c r="L18" i="31"/>
  <c r="L37" i="31"/>
  <c r="AN31" i="29"/>
  <c r="J12" i="1"/>
  <c r="J28" i="1"/>
  <c r="X13" i="1"/>
  <c r="T13" i="1"/>
  <c r="AW27" i="29"/>
  <c r="AR33" i="29" s="1"/>
  <c r="AY21" i="29"/>
  <c r="AY20" i="29"/>
  <c r="AY22" i="29"/>
  <c r="Q28" i="1"/>
  <c r="AY23" i="29"/>
  <c r="AW24" i="29"/>
  <c r="AW23" i="29"/>
  <c r="AW22" i="29"/>
  <c r="AW20" i="29"/>
  <c r="AV25" i="29"/>
  <c r="AX24" i="29" s="1"/>
  <c r="AC10" i="29" l="1"/>
  <c r="J49" i="38" s="1"/>
  <c r="L41" i="31"/>
  <c r="AY25" i="29"/>
  <c r="AW25" i="29"/>
  <c r="AR31" i="29" s="1"/>
  <c r="AW31" i="29" s="1"/>
  <c r="AX21" i="29"/>
  <c r="AX22" i="29"/>
  <c r="AX20" i="29"/>
  <c r="AX23" i="29"/>
  <c r="Z3" i="1" l="1"/>
  <c r="E72" i="38"/>
  <c r="J48" i="38" s="1"/>
  <c r="F50" i="9" s="1"/>
  <c r="AX25" i="29"/>
  <c r="W29" i="28"/>
  <c r="D29" i="28"/>
  <c r="E36" i="20"/>
  <c r="J22" i="20" s="1"/>
  <c r="AA6" i="28" l="1"/>
  <c r="J93" i="1"/>
  <c r="C93" i="1"/>
  <c r="E89" i="1"/>
  <c r="F89" i="1" l="1"/>
  <c r="F45" i="9" s="1"/>
  <c r="N92" i="1"/>
  <c r="N91" i="1"/>
  <c r="N90" i="1"/>
  <c r="M91" i="1"/>
  <c r="M90" i="1"/>
  <c r="M88" i="1"/>
  <c r="L92" i="1"/>
  <c r="L91" i="1"/>
  <c r="L90" i="1"/>
  <c r="L89" i="1"/>
  <c r="L88" i="1"/>
  <c r="L87" i="1"/>
  <c r="L86" i="1"/>
  <c r="V92" i="1"/>
  <c r="V91" i="1"/>
  <c r="V90" i="1"/>
  <c r="V89" i="1"/>
  <c r="V88" i="1"/>
  <c r="V87" i="1"/>
  <c r="V86" i="1"/>
  <c r="P52" i="6"/>
  <c r="U88" i="1"/>
  <c r="U92" i="1"/>
  <c r="U91" i="1"/>
  <c r="U90" i="1"/>
  <c r="U89" i="1"/>
  <c r="U87" i="1"/>
  <c r="U86" i="1"/>
  <c r="T92" i="1"/>
  <c r="T91" i="1"/>
  <c r="T90" i="1"/>
  <c r="T89" i="1"/>
  <c r="T88" i="1"/>
  <c r="T87" i="1"/>
  <c r="T86" i="1"/>
  <c r="S92" i="1"/>
  <c r="S91" i="1"/>
  <c r="S90" i="1"/>
  <c r="S89" i="1"/>
  <c r="S88" i="1"/>
  <c r="S87" i="1"/>
  <c r="S86" i="1"/>
  <c r="J89" i="1" l="1"/>
  <c r="I89" i="1"/>
  <c r="T93" i="1"/>
  <c r="CW4" i="33" s="1"/>
  <c r="V93" i="1"/>
  <c r="U93" i="1"/>
  <c r="AD31" i="1"/>
  <c r="AG31" i="1"/>
  <c r="AG32" i="1"/>
  <c r="AG33" i="1"/>
  <c r="AG34" i="1"/>
  <c r="AA32" i="1"/>
  <c r="AA33" i="1"/>
  <c r="AA31" i="1"/>
  <c r="F47" i="9" l="1"/>
  <c r="CX4" i="33"/>
  <c r="D15" i="1" l="1"/>
  <c r="D14" i="1"/>
  <c r="D16" i="1"/>
  <c r="D17" i="1"/>
  <c r="AC4" i="33"/>
  <c r="AG1" i="1" l="1"/>
  <c r="A4" i="33" l="1"/>
  <c r="C1" i="34"/>
  <c r="B3" i="1" l="1"/>
  <c r="B4" i="33" s="1"/>
  <c r="B6" i="1"/>
  <c r="E4" i="33" s="1"/>
  <c r="B5" i="1"/>
  <c r="D4" i="33" s="1"/>
  <c r="B4" i="1"/>
  <c r="C4" i="33" l="1"/>
  <c r="X89" i="1"/>
  <c r="AH85" i="1"/>
  <c r="AG85" i="1"/>
  <c r="AF85" i="1"/>
  <c r="AE85" i="1"/>
  <c r="AD85" i="1"/>
  <c r="X85" i="1"/>
  <c r="W85" i="1"/>
  <c r="Y85" i="1"/>
  <c r="W89" i="1" l="1"/>
  <c r="BX4" i="33" l="1"/>
  <c r="CB4" i="33"/>
  <c r="CC4" i="33"/>
  <c r="N89" i="1"/>
  <c r="N88" i="1"/>
  <c r="N87" i="1"/>
  <c r="N86" i="1"/>
  <c r="M89" i="1"/>
  <c r="M87" i="1"/>
  <c r="M86" i="1"/>
  <c r="AB25" i="6"/>
  <c r="N93" i="1" l="1"/>
  <c r="Q83" i="1" s="1"/>
  <c r="CV4" i="33" s="1"/>
  <c r="CA4" i="33" l="1"/>
  <c r="BZ4" i="33"/>
  <c r="BY4" i="33"/>
  <c r="BW4" i="33"/>
  <c r="BV4" i="33"/>
  <c r="BU4" i="33"/>
  <c r="BT4" i="33"/>
  <c r="BE4" i="33"/>
  <c r="BG4" i="33"/>
  <c r="BI4" i="33"/>
  <c r="BK4" i="33"/>
  <c r="BM4" i="33"/>
  <c r="BO4" i="33"/>
  <c r="BQ4" i="33"/>
  <c r="BS4" i="33"/>
  <c r="BP4" i="33"/>
  <c r="BL4" i="33"/>
  <c r="BH4" i="33"/>
  <c r="BD4" i="33"/>
  <c r="AD83" i="1"/>
  <c r="AH83" i="1"/>
  <c r="AG83" i="1"/>
  <c r="AF83" i="1"/>
  <c r="AE83" i="1"/>
  <c r="Y83" i="1"/>
  <c r="X83" i="1"/>
  <c r="W83" i="1"/>
  <c r="AG81" i="1"/>
  <c r="AF81" i="1"/>
  <c r="AE81" i="1"/>
  <c r="AD81" i="1"/>
  <c r="Y81" i="1"/>
  <c r="X81" i="1"/>
  <c r="W81" i="1"/>
  <c r="AH81" i="1" l="1"/>
  <c r="S3" i="1"/>
  <c r="Y4" i="33" s="1"/>
  <c r="O5" i="1"/>
  <c r="W4" i="33" s="1"/>
  <c r="O4" i="1"/>
  <c r="O3" i="1"/>
  <c r="U4" i="33" s="1"/>
  <c r="P51" i="6"/>
  <c r="V6" i="1" l="1"/>
  <c r="X6" i="1"/>
  <c r="U73" i="1"/>
  <c r="V4" i="33"/>
  <c r="B37" i="6"/>
  <c r="C37" i="6" s="1"/>
  <c r="D37" i="6" s="1"/>
  <c r="E37" i="6" s="1"/>
  <c r="F37" i="6" s="1"/>
  <c r="G37" i="6" s="1"/>
  <c r="H37" i="6" s="1"/>
  <c r="I37" i="6" s="1"/>
  <c r="J37" i="6" s="1"/>
  <c r="K37" i="6" s="1"/>
  <c r="L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N79" i="1"/>
  <c r="CJ4" i="33" s="1"/>
  <c r="N78" i="1"/>
  <c r="CI4" i="33" s="1"/>
  <c r="N77" i="1"/>
  <c r="CH4" i="33" s="1"/>
  <c r="R75" i="1"/>
  <c r="R74" i="1"/>
  <c r="R73" i="1"/>
  <c r="CK4" i="33" s="1"/>
  <c r="N75" i="1"/>
  <c r="U5" i="12"/>
  <c r="N74" i="1" s="1"/>
  <c r="U4" i="12"/>
  <c r="E6" i="12"/>
  <c r="F5" i="12"/>
  <c r="J4" i="12"/>
  <c r="D6" i="12"/>
  <c r="C10" i="6"/>
  <c r="D10" i="6" s="1"/>
  <c r="E10" i="6" s="1"/>
  <c r="F10" i="6" s="1"/>
  <c r="G10" i="6" s="1"/>
  <c r="H10" i="6" s="1"/>
  <c r="I10" i="6" s="1"/>
  <c r="J10" i="6" s="1"/>
  <c r="K10" i="6" s="1"/>
  <c r="L10" i="6" s="1"/>
  <c r="M10" i="6" s="1"/>
  <c r="N10" i="6" s="1"/>
  <c r="O10" i="6" s="1"/>
  <c r="P10" i="6" s="1"/>
  <c r="Q10" i="6" s="1"/>
  <c r="R10" i="6" s="1"/>
  <c r="S10" i="6" s="1"/>
  <c r="T10" i="6" s="1"/>
  <c r="B14" i="6"/>
  <c r="C14" i="6" s="1"/>
  <c r="D14" i="6" s="1"/>
  <c r="E14" i="6" s="1"/>
  <c r="F14" i="6" s="1"/>
  <c r="G14" i="6" s="1"/>
  <c r="H14" i="6" s="1"/>
  <c r="I14" i="6" s="1"/>
  <c r="J14" i="6" s="1"/>
  <c r="K14" i="6" s="1"/>
  <c r="L14" i="6" s="1"/>
  <c r="M14" i="6" s="1"/>
  <c r="N14" i="6" s="1"/>
  <c r="O14" i="6" s="1"/>
  <c r="P14" i="6" s="1"/>
  <c r="Q14" i="6" s="1"/>
  <c r="R14" i="6" s="1"/>
  <c r="S14" i="6" s="1"/>
  <c r="T14" i="6" s="1"/>
  <c r="B12" i="6"/>
  <c r="C12" i="6" s="1"/>
  <c r="D12" i="6" s="1"/>
  <c r="E12" i="6" s="1"/>
  <c r="F12" i="6" s="1"/>
  <c r="AI18" i="6"/>
  <c r="E6" i="1"/>
  <c r="H4" i="33" s="1"/>
  <c r="E5" i="1"/>
  <c r="G4" i="33" s="1"/>
  <c r="E4" i="1"/>
  <c r="F4" i="33" s="1"/>
  <c r="B6" i="6"/>
  <c r="B4" i="6"/>
  <c r="C4" i="6" s="1"/>
  <c r="D4" i="6" s="1"/>
  <c r="E4" i="6" s="1"/>
  <c r="F4" i="6" s="1"/>
  <c r="G4" i="6" s="1"/>
  <c r="H4" i="6" s="1"/>
  <c r="I4" i="6" s="1"/>
  <c r="J4" i="6" s="1"/>
  <c r="K4" i="6" s="1"/>
  <c r="L4" i="6" s="1"/>
  <c r="M4" i="6" s="1"/>
  <c r="N4" i="6" s="1"/>
  <c r="O4" i="6" s="1"/>
  <c r="P4" i="6" s="1"/>
  <c r="Q4" i="6" s="1"/>
  <c r="R4" i="6" s="1"/>
  <c r="S4" i="6" s="1"/>
  <c r="T4" i="6" s="1"/>
  <c r="G12" i="6" l="1"/>
  <c r="H12" i="6" s="1"/>
  <c r="I12" i="6" s="1"/>
  <c r="J12" i="6" s="1"/>
  <c r="K12" i="6" s="1"/>
  <c r="L12" i="6" s="1"/>
  <c r="M12" i="6" s="1"/>
  <c r="N12" i="6" s="1"/>
  <c r="O12" i="6" s="1"/>
  <c r="P12" i="6" s="1"/>
  <c r="Q12" i="6" s="1"/>
  <c r="R12" i="6" s="1"/>
  <c r="S12" i="6" s="1"/>
  <c r="T12" i="6" s="1"/>
  <c r="C6" i="6"/>
  <c r="D6" i="6" s="1"/>
  <c r="E6" i="6" s="1"/>
  <c r="F6" i="6" s="1"/>
  <c r="G6" i="6" s="1"/>
  <c r="H6" i="6" s="1"/>
  <c r="I6" i="6" s="1"/>
  <c r="J6" i="6" s="1"/>
  <c r="K6" i="6" s="1"/>
  <c r="L6" i="6" s="1"/>
  <c r="M6" i="6" s="1"/>
  <c r="N6" i="6" s="1"/>
  <c r="O6" i="6" s="1"/>
  <c r="P6" i="6" s="1"/>
  <c r="Q6" i="6" s="1"/>
  <c r="R6" i="6" s="1"/>
  <c r="S6" i="6" s="1"/>
  <c r="T6" i="6" s="1"/>
  <c r="M37" i="6"/>
  <c r="N37" i="6" s="1"/>
  <c r="O37" i="6" s="1"/>
  <c r="P37" i="6" s="1"/>
  <c r="Q37" i="6" s="1"/>
  <c r="R37" i="6" s="1"/>
  <c r="S37" i="6" s="1"/>
  <c r="T37" i="6" s="1"/>
  <c r="G33" i="6"/>
  <c r="N76" i="1"/>
  <c r="CG4" i="33" s="1"/>
  <c r="B24" i="6"/>
  <c r="A24" i="6"/>
  <c r="H24" i="6"/>
  <c r="F48" i="9"/>
  <c r="CM4" i="33"/>
  <c r="CF4" i="33"/>
  <c r="N73" i="1"/>
  <c r="CD4" i="33" s="1"/>
  <c r="R77" i="1"/>
  <c r="CO4" i="33" s="1"/>
  <c r="U78" i="1"/>
  <c r="R78" i="1"/>
  <c r="CP4" i="33" s="1"/>
  <c r="CE4" i="33"/>
  <c r="CN4" i="33"/>
  <c r="U76" i="1"/>
  <c r="AM18" i="6"/>
  <c r="D24" i="6" l="1"/>
  <c r="H33" i="6"/>
  <c r="Z4" i="33"/>
  <c r="U77" i="1"/>
  <c r="CL4" i="33"/>
  <c r="S83" i="1"/>
  <c r="A5" i="11"/>
  <c r="A6" i="11" s="1"/>
  <c r="A7" i="11" s="1"/>
  <c r="A5" i="2"/>
  <c r="A6" i="2" s="1"/>
  <c r="A7" i="2" s="1"/>
  <c r="A8" i="2" s="1"/>
  <c r="A9" i="2" s="1"/>
  <c r="A10" i="2" s="1"/>
  <c r="A11" i="2" s="1"/>
  <c r="A12" i="2" s="1"/>
  <c r="A13" i="2" s="1"/>
  <c r="A14" i="2" s="1"/>
  <c r="A15" i="2" s="1"/>
  <c r="A16" i="2" s="1"/>
  <c r="A17" i="2" s="1"/>
  <c r="A18" i="2" s="1"/>
  <c r="A19" i="2" s="1"/>
  <c r="A20" i="2" s="1"/>
  <c r="A21" i="2" s="1"/>
  <c r="A22" i="2" s="1"/>
  <c r="A23" i="2" s="1"/>
  <c r="I33" i="6" l="1"/>
  <c r="A8" i="11"/>
  <c r="BB4" i="29"/>
  <c r="O6" i="29" s="1"/>
  <c r="I3" i="19" s="1"/>
  <c r="J3" i="19" s="1"/>
  <c r="P4" i="28" l="1"/>
  <c r="AE1" i="1" s="1"/>
  <c r="J33" i="6"/>
  <c r="A9" i="11"/>
  <c r="L5" i="1"/>
  <c r="T4" i="33" s="1"/>
  <c r="L4" i="1"/>
  <c r="S4" i="33" s="1"/>
  <c r="H3" i="1"/>
  <c r="J4" i="33" s="1"/>
  <c r="L3" i="1"/>
  <c r="R4" i="33" s="1"/>
  <c r="H5" i="1"/>
  <c r="L4" i="33" s="1"/>
  <c r="H4" i="1"/>
  <c r="K4" i="33" s="1"/>
  <c r="H6" i="1"/>
  <c r="M4" i="33" s="1"/>
  <c r="K33" i="6" l="1"/>
  <c r="A10" i="11"/>
  <c r="J4" i="1"/>
  <c r="O4" i="33" s="1"/>
  <c r="L6" i="1"/>
  <c r="J6" i="1"/>
  <c r="Q4" i="33" s="1"/>
  <c r="J3" i="1"/>
  <c r="N4" i="33" s="1"/>
  <c r="J5" i="1"/>
  <c r="P4" i="33" s="1"/>
  <c r="I84" i="1"/>
  <c r="BC4" i="33" s="1"/>
  <c r="G66" i="1"/>
  <c r="F66" i="1"/>
  <c r="E66" i="1"/>
  <c r="D66" i="1"/>
  <c r="C66" i="1"/>
  <c r="AP4" i="33" s="1"/>
  <c r="L33" i="6" l="1"/>
  <c r="A11" i="11"/>
  <c r="M33" i="6" l="1"/>
  <c r="A12" i="11"/>
  <c r="I75" i="1"/>
  <c r="BA4" i="33"/>
  <c r="AZ4" i="33"/>
  <c r="AY4" i="33"/>
  <c r="AX4" i="33"/>
  <c r="F49" i="9"/>
  <c r="N33" i="6" l="1"/>
  <c r="B43" i="6" s="1"/>
  <c r="A13" i="11"/>
  <c r="I66" i="1"/>
  <c r="AQ4" i="33" s="1"/>
  <c r="Z5" i="1"/>
  <c r="A43" i="6" l="1"/>
  <c r="F43" i="6" s="1"/>
  <c r="O33" i="6"/>
  <c r="A14" i="11"/>
  <c r="Z6" i="1"/>
  <c r="AI4" i="33"/>
  <c r="AW4" i="33"/>
  <c r="BB4" i="33"/>
  <c r="AH4" i="33"/>
  <c r="AH31" i="1"/>
  <c r="P33" i="6" l="1"/>
  <c r="A15" i="11"/>
  <c r="K66" i="1"/>
  <c r="AS4" i="33" s="1"/>
  <c r="J66" i="1"/>
  <c r="AR4" i="33" s="1"/>
  <c r="Z4" i="1"/>
  <c r="AU4" i="33"/>
  <c r="Q33" i="6" l="1"/>
  <c r="A16" i="11"/>
  <c r="H66" i="1"/>
  <c r="R33" i="6" l="1"/>
  <c r="A17" i="11"/>
  <c r="O6" i="1"/>
  <c r="X4" i="33" s="1"/>
  <c r="S33" i="6" l="1"/>
  <c r="A18" i="11"/>
  <c r="AH37" i="1"/>
  <c r="AH38" i="1"/>
  <c r="AH39" i="1"/>
  <c r="G10" i="19"/>
  <c r="AH35" i="1" s="1"/>
  <c r="G9" i="19"/>
  <c r="AH36" i="1"/>
  <c r="G8" i="19"/>
  <c r="T33" i="6" l="1"/>
  <c r="A19" i="11"/>
  <c r="A20" i="11" l="1"/>
  <c r="B3" i="19"/>
  <c r="H43" i="6" l="1"/>
  <c r="A21" i="11"/>
  <c r="BF4" i="33"/>
  <c r="BJ4" i="33"/>
  <c r="BN4" i="33"/>
  <c r="BR4" i="33"/>
  <c r="A22" i="11" l="1"/>
  <c r="A23" i="11" s="1"/>
  <c r="K45" i="9" l="1"/>
  <c r="M4" i="2" l="1"/>
  <c r="P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U28" i="1"/>
  <c r="R28" i="1"/>
  <c r="V28" i="1" l="1"/>
  <c r="Z13" i="1"/>
  <c r="Z12" i="1"/>
  <c r="Y13" i="1"/>
  <c r="Y12" i="1"/>
  <c r="E1" i="11" l="1"/>
  <c r="G4" i="11" l="1"/>
  <c r="M17" i="11"/>
  <c r="M18" i="11"/>
  <c r="G5" i="11"/>
  <c r="G6" i="11"/>
  <c r="G7" i="11"/>
  <c r="G8" i="11"/>
  <c r="G9" i="11"/>
  <c r="G10" i="11"/>
  <c r="G12" i="11"/>
  <c r="G13" i="11"/>
  <c r="G14" i="11"/>
  <c r="G15" i="11"/>
  <c r="G11" i="11"/>
  <c r="G16" i="11"/>
  <c r="G17" i="11"/>
  <c r="G18" i="11"/>
  <c r="G19" i="11"/>
  <c r="G20" i="11"/>
  <c r="G21" i="11"/>
  <c r="G22" i="11"/>
  <c r="J7" i="11"/>
  <c r="J6" i="11"/>
  <c r="J5" i="11"/>
  <c r="AJ4" i="33" l="1"/>
  <c r="AL4" i="33" s="1"/>
  <c r="U75" i="1" l="1"/>
  <c r="L28" i="1"/>
  <c r="C2" i="6"/>
  <c r="N28" i="1" l="1"/>
  <c r="M28" i="1"/>
  <c r="F44" i="9"/>
  <c r="D2" i="6"/>
  <c r="E2" i="6" s="1"/>
  <c r="F2" i="6" s="1"/>
  <c r="G2" i="6" l="1"/>
  <c r="F24" i="6"/>
  <c r="R83" i="1" s="1"/>
  <c r="H2" i="6" l="1"/>
  <c r="I2" i="6" l="1"/>
  <c r="J2" i="6" l="1"/>
  <c r="F28" i="1"/>
  <c r="AK4" i="33" s="1"/>
  <c r="AM4" i="33" s="1"/>
  <c r="M12" i="1"/>
  <c r="N13" i="1"/>
  <c r="N12" i="1"/>
  <c r="M13" i="1"/>
  <c r="K2" i="6" l="1"/>
  <c r="L2" i="6" l="1"/>
  <c r="M2" i="6" l="1"/>
  <c r="F7" i="2"/>
  <c r="V17" i="2" l="1"/>
  <c r="G7" i="2"/>
  <c r="A20" i="6"/>
  <c r="L83" i="1" s="1"/>
  <c r="CR4" i="33" s="1"/>
  <c r="N2" i="6"/>
  <c r="F8" i="2"/>
  <c r="G8" i="2" s="1"/>
  <c r="O2" i="6" l="1"/>
  <c r="F9" i="2"/>
  <c r="G9" i="2" s="1"/>
  <c r="P2" i="6" l="1"/>
  <c r="F10" i="2"/>
  <c r="G10" i="2" s="1"/>
  <c r="Q2" i="6" l="1"/>
  <c r="F11" i="2"/>
  <c r="G11" i="2" s="1"/>
  <c r="R2" i="6" l="1"/>
  <c r="F12" i="2"/>
  <c r="G12" i="2" s="1"/>
  <c r="S2" i="6" l="1"/>
  <c r="F13" i="2"/>
  <c r="G13" i="2" s="1"/>
  <c r="T2" i="6" l="1"/>
  <c r="F14" i="2"/>
  <c r="G14" i="2" s="1"/>
  <c r="F15" i="2" l="1"/>
  <c r="G15" i="2" s="1"/>
  <c r="F16" i="2" l="1"/>
  <c r="G16" i="2" s="1"/>
  <c r="F17" i="2" l="1"/>
  <c r="G17" i="2" s="1"/>
  <c r="F18" i="2" l="1"/>
  <c r="G18" i="2" s="1"/>
  <c r="F19" i="2" l="1"/>
  <c r="G19" i="2" s="1"/>
  <c r="F20" i="2" l="1"/>
  <c r="G20" i="2" s="1"/>
  <c r="H20" i="6" l="1"/>
  <c r="O83" i="1" s="1"/>
  <c r="CT4" i="33" s="1"/>
  <c r="B20" i="6"/>
  <c r="D20" i="6" s="1"/>
  <c r="F20" i="6"/>
  <c r="N83" i="1" s="1"/>
  <c r="F21" i="2"/>
  <c r="G21" i="2" s="1"/>
  <c r="F22" i="2" l="1"/>
  <c r="O47" i="2" s="1"/>
  <c r="M83" i="1"/>
  <c r="G22" i="2" l="1"/>
  <c r="CS4" i="33"/>
  <c r="U83" i="1"/>
  <c r="O28" i="1" l="1"/>
  <c r="P26" i="1" l="1"/>
  <c r="W28" i="1"/>
  <c r="P24" i="1"/>
  <c r="P25" i="1"/>
  <c r="P22" i="1"/>
  <c r="P23" i="1"/>
  <c r="P20" i="1"/>
  <c r="P21" i="1"/>
  <c r="P27" i="1"/>
  <c r="P18" i="1"/>
  <c r="P19" i="1"/>
  <c r="S28" i="1"/>
  <c r="T28" i="1"/>
  <c r="AO4" i="33" s="1"/>
  <c r="P15" i="1"/>
  <c r="P14" i="1"/>
  <c r="P16" i="1"/>
  <c r="P17" i="1"/>
  <c r="X28" i="1"/>
  <c r="V3" i="1"/>
  <c r="P12" i="1"/>
  <c r="P13" i="1"/>
  <c r="D12" i="1"/>
  <c r="D13" i="1"/>
  <c r="Z28" i="1" l="1"/>
  <c r="X3" i="1"/>
  <c r="AF4" i="33" s="1"/>
  <c r="AD4" i="33"/>
  <c r="X4" i="1"/>
  <c r="V4" i="1"/>
  <c r="P28" i="1"/>
  <c r="AN4" i="33"/>
  <c r="D28" i="1"/>
  <c r="Y28" i="1"/>
  <c r="AG4" i="33" l="1"/>
  <c r="X5" i="1"/>
  <c r="AE4" i="33"/>
  <c r="V5" i="1"/>
  <c r="F43" i="9"/>
  <c r="M92" i="1" l="1"/>
  <c r="M93" i="1" s="1"/>
  <c r="P83" i="1" l="1"/>
  <c r="CU4" i="33" s="1"/>
  <c r="F46" i="9"/>
  <c r="T83" i="1" l="1"/>
  <c r="V83" i="1" s="1"/>
  <c r="AB4" i="33" l="1"/>
  <c r="K74" i="1" l="1"/>
  <c r="K75" i="1" s="1"/>
  <c r="AV4" i="33" s="1"/>
  <c r="H74" i="1"/>
  <c r="H75" i="1" s="1"/>
  <c r="W17" i="38" l="1"/>
  <c r="C74" i="1" l="1"/>
  <c r="C75" i="1" s="1"/>
  <c r="AT4" i="33" s="1"/>
  <c r="R17" i="38" l="1"/>
  <c r="N36"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8"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<sst xmlns="http://schemas.openxmlformats.org/spreadsheetml/2006/main" count="2513" uniqueCount="1381">
  <si>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</si>
  <si>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</si>
  <si>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</si>
  <si>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</si>
  <si>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</si>
  <si>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</si>
  <si>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</si>
  <si>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</si>
  <si>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</si>
  <si>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</si>
  <si>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</si>
  <si>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</si>
  <si>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</si>
  <si>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</si>
  <si>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</si>
  <si>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</si>
  <si>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</si>
  <si>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</si>
  <si>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</si>
  <si>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</si>
  <si>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</si>
  <si>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</si>
  <si>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</si>
  <si>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MODON - Weekly Progress Report - Construction Projects</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</si>
  <si>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</si>
  <si>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</si>
  <si>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</si>
  <si>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</si>
  <si>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</si>
  <si>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</si>
  <si>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</si>
  <si>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</si>
  <si>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</si>
  <si>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</si>
  <si>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</si>
  <si>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</si>
  <si>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</si>
  <si>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</si>
  <si>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</si>
  <si>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</si>
  <si>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</si>
  <si>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</si>
  <si>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</si>
  <si>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</si>
  <si>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</si>
  <si>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</si>
  <si>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</si>
  <si>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</si>
  <si>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</si>
  <si>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</si>
  <si>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</si>
  <si>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</si>
  <si>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</si>
  <si>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</si>
  <si>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</si>
  <si>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</si>
  <si>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</si>
  <si>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</si>
  <si>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</si>
  <si>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</si>
  <si>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</si>
  <si>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</si>
  <si>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</si>
  <si>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</si>
  <si>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</si>
  <si>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</si>
  <si>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</si>
  <si>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</si>
  <si>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</si>
  <si>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</si>
  <si>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</si>
  <si>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</si>
  <si>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</si>
  <si>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</si>
  <si>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</si>
  <si>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</si>
  <si>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</si>
  <si>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</si>
  <si>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</si>
  <si>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</si>
  <si>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</si>
  <si>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</si>
  <si>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</si>
  <si>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</si>
  <si>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</si>
  <si>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</si>
  <si>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</si>
  <si>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</si>
  <si>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</si>
  <si>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</si>
  <si>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</si>
  <si>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</si>
  <si>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</si>
  <si>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</si>
  <si>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</si>
  <si>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</si>
  <si>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</si>
  <si>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</si>
  <si>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</si>
  <si>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</si>
  <si>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</si>
  <si>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</si>
  <si>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</si>
  <si>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</si>
  <si>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</si>
  <si>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</si>
  <si>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</si>
  <si>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</si>
  <si>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</si>
  <si>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</si>
  <si>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</si>
  <si>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</si>
  <si>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</si>
  <si>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</si>
  <si>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</si>
  <si>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</si>
  <si>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</si>
  <si>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</si>
  <si>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</si>
  <si>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</si>
  <si>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</si>
  <si>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</si>
  <si>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</si>
  <si>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</si>
  <si>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</si>
  <si>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</si>
  <si>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</si>
  <si>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</si>
  <si>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</si>
  <si>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</si>
  <si>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</si>
  <si>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</si>
  <si>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</si>
  <si>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</si>
  <si>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</si>
  <si>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</si>
  <si>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</si>
  <si>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</si>
  <si>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</si>
  <si>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</si>
  <si>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</si>
  <si>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</si>
  <si>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</si>
  <si>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</si>
  <si>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</si>
  <si>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</si>
  <si>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</si>
  <si>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</si>
  <si>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</si>
  <si>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</si>
  <si>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</si>
  <si>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</si>
  <si>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</si>
  <si>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</si>
  <si>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</si>
  <si>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</si>
  <si>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</si>
  <si>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</si>
  <si>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</si>
  <si>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</si>
  <si>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</si>
  <si>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</si>
  <si>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</si>
  <si>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</si>
  <si>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</si>
  <si>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</si>
  <si>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</si>
  <si>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</si>
  <si>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</si>
  <si>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</si>
  <si>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</si>
  <si>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</si>
  <si>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</si>
  <si>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</si>
  <si>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</si>
  <si>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</si>
  <si>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</si>
  <si>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</si>
  <si>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</si>
  <si>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</si>
  <si>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</si>
  <si>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</si>
  <si>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</si>
  <si>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</si>
  <si>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</si>
  <si>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</si>
  <si>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</si>
  <si>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</si>
  <si>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</si>
  <si>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</si>
  <si>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</si>
  <si>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</si>
  <si>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</si>
  <si>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</si>
  <si>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</si>
  <si>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</si>
  <si>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</si>
  <si>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</si>
  <si>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</si>
  <si>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</si>
  <si>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</si>
  <si>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</si>
  <si>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</si>
  <si>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</si>
  <si>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</si>
  <si>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</si>
  <si>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</si>
  <si>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</si>
  <si>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</si>
  <si>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</si>
  <si>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</si>
  <si>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</si>
  <si>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</si>
  <si>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</si>
  <si>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</si>
  <si>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</si>
  <si>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</si>
  <si>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</si>
  <si>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</si>
  <si>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</si>
  <si>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</si>
  <si>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</si>
  <si>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</si>
  <si>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</si>
  <si>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</si>
  <si>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</si>
  <si>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</si>
  <si>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</si>
  <si>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</si>
  <si>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</si>
  <si>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</si>
  <si>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</si>
  <si>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</si>
  <si>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</si>
  <si>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</si>
  <si>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</si>
  <si>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</si>
  <si>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</si>
  <si>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</si>
  <si>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</si>
  <si>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</si>
  <si>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item</t>
  </si>
  <si>
    <t>Item/set</t>
  </si>
  <si>
    <t>Set</t>
  </si>
  <si>
    <t>Total Pariod Amount</t>
  </si>
  <si>
    <t>Weekly Progress Report - Construction Projects</t>
  </si>
  <si>
    <t>AL-ENJAZ TRADING AND CONTRACTING COMPANY</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</si>
  <si>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</si>
  <si>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</si>
  <si>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</si>
  <si>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</si>
  <si>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</si>
  <si>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</si>
  <si>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</si>
  <si>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</si>
  <si>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</si>
  <si>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</si>
  <si>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</si>
  <si>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</si>
  <si>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</si>
  <si>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</si>
  <si>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</si>
  <si>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</si>
  <si>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</si>
  <si>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</si>
  <si>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</si>
  <si>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</si>
  <si>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</si>
  <si>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</si>
  <si>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</si>
  <si>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</si>
  <si>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</si>
  <si>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</si>
  <si>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</si>
  <si>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</si>
  <si>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</si>
  <si>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Project Scope Statement</t>
  </si>
  <si>
    <t>Preliminaries</t>
  </si>
  <si>
    <t>Mobilization</t>
  </si>
  <si>
    <t>Engineering</t>
  </si>
  <si>
    <t>Procuments</t>
  </si>
  <si>
    <t>ROAD WORKS</t>
  </si>
  <si>
    <t>Storm Water Network</t>
  </si>
  <si>
    <t xml:space="preserve">Testing and Commissioning	</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</si>
  <si>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</si>
  <si>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</si>
  <si>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</si>
  <si>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</si>
  <si>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</si>
  <si>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</si>
  <si>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</si>
  <si>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</si>
  <si>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</si>
  <si>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</si>
  <si>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</si>
  <si>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</si>
  <si>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</si>
  <si>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</si>
  <si>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</si>
  <si>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</si>
  <si>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</si>
  <si>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</si>
  <si>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</si>
  <si>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</si>
  <si>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</si>
  <si>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</si>
  <si>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</si>
  <si>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</si>
  <si>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</si>
  <si>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</si>
  <si>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</si>
  <si>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</si>
  <si>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</si>
  <si>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</si>
  <si>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</si>
  <si>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</si>
  <si>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</si>
  <si>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</si>
  <si>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</si>
  <si>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</si>
  <si>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</si>
  <si>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</si>
  <si>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</si>
  <si>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</si>
  <si>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</si>
  <si>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</si>
  <si>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</si>
  <si>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</si>
  <si>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</si>
  <si>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</si>
  <si>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</si>
  <si>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</si>
  <si>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</si>
  <si>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</si>
  <si>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</si>
  <si>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</si>
  <si>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</si>
  <si>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</si>
  <si>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</si>
  <si>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</si>
  <si>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</si>
  <si>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</si>
  <si>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</si>
  <si>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</si>
  <si>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</si>
  <si>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</si>
  <si>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</si>
  <si>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</si>
  <si>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</si>
  <si>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</si>
  <si>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</si>
  <si>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</si>
  <si>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</si>
  <si>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</si>
  <si>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</si>
  <si>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</si>
  <si>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</si>
  <si>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</si>
  <si>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</si>
  <si>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</si>
  <si>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</si>
  <si>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</si>
  <si>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</si>
  <si>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</si>
  <si>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</si>
  <si>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</si>
  <si>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</si>
  <si>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</si>
  <si>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</si>
  <si>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</si>
  <si>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</si>
  <si>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</si>
  <si>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</si>
  <si>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</si>
  <si>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</si>
  <si>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</si>
  <si>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</si>
  <si>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</si>
  <si>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</si>
  <si>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</si>
  <si>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</si>
  <si>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</si>
  <si>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</si>
  <si>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</si>
  <si>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</si>
  <si>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</si>
  <si>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</si>
  <si>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</si>
  <si>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</si>
  <si>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</si>
  <si>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</si>
  <si>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</si>
  <si>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</si>
  <si>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</si>
  <si>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</si>
  <si>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</si>
  <si>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</si>
  <si>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</si>
  <si>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</si>
  <si>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</si>
  <si>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</si>
  <si>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</si>
  <si>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</si>
  <si>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</si>
  <si>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</si>
  <si>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</si>
  <si>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</si>
  <si>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</si>
  <si>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</si>
  <si>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</si>
  <si>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</si>
  <si>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</si>
  <si>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</si>
  <si>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</si>
  <si>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</si>
  <si>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</si>
  <si>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</si>
  <si>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</si>
  <si>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</si>
  <si>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</si>
  <si>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</si>
  <si>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</si>
  <si>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</si>
  <si>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</si>
  <si>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</si>
  <si>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</si>
  <si>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</si>
  <si>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</si>
  <si>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</si>
  <si>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</si>
  <si>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</si>
  <si>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</si>
  <si>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</si>
  <si>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</si>
  <si>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</si>
  <si>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</si>
  <si>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</si>
  <si>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</si>
  <si>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</si>
  <si>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</si>
  <si>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</si>
  <si>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</si>
  <si>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</si>
  <si>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</si>
  <si>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</si>
  <si>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</si>
  <si>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</si>
  <si>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</si>
  <si>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</si>
  <si>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</si>
  <si>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</si>
  <si>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</si>
  <si>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</si>
  <si>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</si>
  <si>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</si>
  <si>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</si>
  <si>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</si>
  <si>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</si>
  <si>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</si>
  <si>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</si>
  <si>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</si>
  <si>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</si>
  <si>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</si>
  <si>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</si>
  <si>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</si>
  <si>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</si>
  <si>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</si>
  <si>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</si>
  <si>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</si>
  <si>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</si>
  <si>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</si>
  <si>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</si>
  <si>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</si>
  <si>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</si>
  <si>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</si>
  <si>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</si>
  <si>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</si>
  <si>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</si>
  <si>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</si>
  <si>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</si>
  <si>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</si>
  <si>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</si>
  <si>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</si>
  <si>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</si>
  <si>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</si>
  <si>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</si>
  <si>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</si>
  <si>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</si>
  <si>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</si>
  <si>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</si>
  <si>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</si>
  <si>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</si>
  <si>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</si>
  <si>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</si>
  <si>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</si>
  <si>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</si>
  <si>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</si>
  <si>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</si>
  <si>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</si>
  <si>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</si>
  <si>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</si>
  <si>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</si>
  <si>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</si>
  <si>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</si>
  <si>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</si>
  <si>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</si>
  <si>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</si>
  <si>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</si>
  <si>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</si>
  <si>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</si>
  <si>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</si>
  <si>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</si>
  <si>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</si>
  <si>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</si>
  <si>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</si>
  <si>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</si>
  <si>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</si>
  <si>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</si>
  <si>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</si>
  <si>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</si>
  <si>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</si>
  <si>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</si>
  <si>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</si>
  <si>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</si>
  <si>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</si>
  <si>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</si>
  <si>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</si>
  <si>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</si>
  <si>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</si>
  <si>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</si>
  <si>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</si>
  <si>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</si>
  <si>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</si>
  <si>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</si>
  <si>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</si>
  <si>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</si>
  <si>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</si>
  <si>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</si>
  <si>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</si>
  <si>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</si>
  <si>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</si>
  <si>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</si>
  <si>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</si>
  <si>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</si>
  <si>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</si>
  <si>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</si>
  <si>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</si>
  <si>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</si>
  <si>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</si>
  <si>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</si>
  <si>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</si>
  <si>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</si>
  <si>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</si>
  <si>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</si>
  <si>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</si>
  <si>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</si>
  <si>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</si>
  <si>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</si>
  <si>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</si>
  <si>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</si>
  <si>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</si>
  <si>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</si>
  <si>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</si>
  <si>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</si>
  <si>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</si>
  <si>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</si>
  <si>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</si>
  <si>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</si>
  <si>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</si>
  <si>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</si>
  <si>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Risk ID</t>
  </si>
  <si>
    <t>Region</t>
  </si>
  <si>
    <t>City</t>
  </si>
  <si>
    <t>Start</t>
  </si>
  <si>
    <t>Medium</t>
  </si>
  <si>
    <t>Low</t>
  </si>
  <si>
    <t>High</t>
  </si>
  <si>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</si>
  <si>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</si>
  <si>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</si>
  <si>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</si>
  <si>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</si>
  <si>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</si>
  <si>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</si>
  <si>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</si>
  <si>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</si>
  <si>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</si>
  <si>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</si>
  <si>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</si>
  <si>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</si>
  <si>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</si>
  <si>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</si>
  <si>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</si>
  <si>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</si>
  <si>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</si>
  <si>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</si>
  <si>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</si>
  <si>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</si>
  <si>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</si>
  <si>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</si>
  <si>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</si>
  <si>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</si>
  <si>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</si>
  <si>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</si>
  <si>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</si>
  <si>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</si>
  <si>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</si>
  <si>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</si>
  <si>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</si>
  <si>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</si>
  <si>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</si>
  <si>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</si>
  <si>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</si>
  <si>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</si>
  <si>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</si>
  <si>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</si>
  <si>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</si>
  <si>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</si>
  <si>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</si>
  <si>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</si>
  <si>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</si>
  <si>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</si>
  <si>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</si>
  <si>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</si>
  <si>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</si>
  <si>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</si>
  <si>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</si>
  <si>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</si>
  <si>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</si>
  <si>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</si>
  <si>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</si>
  <si>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</si>
  <si>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</si>
  <si>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</si>
  <si>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</si>
  <si>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</si>
  <si>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</si>
  <si>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</si>
  <si>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</si>
  <si>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</si>
  <si>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</si>
  <si>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</si>
  <si>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</si>
  <si>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</si>
  <si>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</si>
  <si>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</si>
  <si>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</si>
  <si>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</si>
  <si>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</si>
  <si>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</si>
  <si>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</si>
  <si>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</si>
  <si>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</si>
  <si>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</si>
  <si>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</si>
  <si>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</si>
  <si>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</si>
  <si>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</si>
  <si>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</si>
  <si>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</si>
  <si>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</si>
  <si>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</si>
  <si>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</si>
  <si>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</si>
  <si>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</si>
  <si>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</si>
  <si>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</si>
  <si>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</si>
  <si>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</si>
  <si>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</si>
  <si>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</si>
  <si>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</si>
  <si>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</si>
  <si>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</si>
  <si>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</si>
  <si>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</si>
  <si>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</si>
  <si>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</si>
  <si>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Award Date</t>
  </si>
  <si>
    <t>Complete Mobilization</t>
  </si>
  <si>
    <t>Complete Submittals and place order for all long-lead items.</t>
  </si>
  <si>
    <t>Complete delivery of all equipment and materials</t>
  </si>
  <si>
    <t>Complete Road Works</t>
  </si>
  <si>
    <t>Complete Electrical – Mv Distribution Network</t>
  </si>
  <si>
    <t>Complete all Works including Testing &amp; Commissioning, Cleanup, Closeout Documentation and Ready for Initial Handover</t>
  </si>
  <si>
    <t>Complete Demobilization</t>
  </si>
  <si>
    <t>Modon</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</si>
  <si>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</si>
  <si>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</si>
  <si>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</si>
  <si>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</si>
  <si>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</si>
  <si>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</si>
  <si>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</si>
  <si>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</si>
  <si>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</si>
  <si>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</si>
  <si>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</si>
  <si>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</si>
  <si>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</si>
  <si>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</si>
  <si>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</si>
  <si>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</si>
  <si>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</si>
  <si>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</si>
  <si>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</si>
  <si>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</si>
  <si>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</si>
  <si>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</si>
  <si>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</si>
  <si>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</si>
  <si>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</si>
  <si>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</si>
  <si>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</si>
  <si>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</si>
  <si>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</si>
  <si>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</si>
  <si>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</si>
  <si>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</si>
  <si>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</si>
  <si>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</si>
  <si>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</si>
  <si>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</si>
  <si>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</si>
  <si>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</si>
  <si>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</si>
  <si>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</si>
  <si>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</si>
  <si>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</si>
  <si>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</si>
  <si>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</si>
  <si>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</si>
  <si>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</si>
  <si>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</si>
  <si>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</si>
  <si>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</si>
  <si>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</si>
  <si>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</si>
  <si>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</si>
  <si>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</si>
  <si>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</si>
  <si>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</si>
  <si>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</si>
  <si>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</si>
  <si>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</si>
  <si>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</si>
  <si>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</si>
  <si>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</si>
  <si>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</si>
  <si>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</si>
  <si>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</si>
  <si>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</si>
  <si>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</si>
  <si>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</si>
  <si>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</si>
  <si>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</si>
  <si>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</si>
  <si>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</si>
  <si>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</si>
  <si>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</si>
  <si>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</si>
  <si>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</si>
  <si>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</si>
  <si>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</si>
  <si>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</si>
  <si>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</si>
  <si>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</si>
  <si>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</si>
  <si>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</si>
  <si>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</si>
  <si>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</si>
  <si>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</si>
  <si>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</si>
  <si>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</si>
  <si>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</si>
  <si>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</si>
  <si>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</si>
  <si>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</si>
  <si>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</si>
  <si>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</si>
  <si>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</si>
  <si>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</si>
  <si>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</si>
  <si>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</si>
  <si>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</si>
  <si>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</si>
  <si>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</si>
  <si>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</si>
  <si>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</si>
  <si>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</si>
  <si>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</si>
  <si>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</si>
  <si>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</si>
  <si>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</si>
  <si>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</si>
  <si>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</si>
  <si>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</si>
  <si>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</si>
  <si>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</si>
  <si>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</si>
  <si>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</si>
  <si>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</si>
  <si>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</si>
  <si>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</si>
  <si>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</si>
  <si>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</si>
  <si>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</si>
  <si>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</si>
  <si>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</si>
  <si>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</si>
  <si>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</si>
  <si>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</si>
  <si>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</si>
  <si>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</si>
  <si>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</si>
  <si>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</si>
  <si>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</si>
  <si>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</si>
  <si>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</si>
  <si>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</si>
  <si>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LAND DEVELOPMENT OF JEDDAH OASIS</t>
  </si>
  <si>
    <t>JHD4-02-007</t>
  </si>
  <si>
    <t>SAUDI ARABIA CONSULTING ENGINEERING COMPANY "EGIS"</t>
  </si>
  <si>
    <t>Mohammed Alshunaifi</t>
  </si>
  <si>
    <t>Electrical Works</t>
  </si>
  <si>
    <t>Demolition Works</t>
  </si>
  <si>
    <t>Plots</t>
  </si>
  <si>
    <t>Sewer Water Network</t>
  </si>
  <si>
    <t>TSE Network</t>
  </si>
  <si>
    <t>Potable Water Network</t>
  </si>
  <si>
    <t>Sewage Lift Station</t>
  </si>
  <si>
    <t>Box Culvert</t>
  </si>
  <si>
    <t>Open Drain Channel</t>
  </si>
  <si>
    <t>Under Pass</t>
  </si>
  <si>
    <t>Western</t>
  </si>
  <si>
    <t>Jeddah</t>
  </si>
  <si>
    <t>JDH4-02-007</t>
  </si>
  <si>
    <t xml:space="preserve">  Mobilization</t>
  </si>
  <si>
    <t xml:space="preserve">  Engineering</t>
  </si>
  <si>
    <t xml:space="preserve">  Procuments</t>
  </si>
  <si>
    <t xml:space="preserve">  Road Works</t>
  </si>
  <si>
    <t xml:space="preserve">  Electrical Works</t>
  </si>
  <si>
    <t xml:space="preserve">  Demolition Works</t>
  </si>
  <si>
    <t xml:space="preserve">  Storm Water Network</t>
  </si>
  <si>
    <t xml:space="preserve">  Plots</t>
  </si>
  <si>
    <t xml:space="preserve">  Sewer Water Network</t>
  </si>
  <si>
    <t xml:space="preserve">  TSE Network</t>
  </si>
  <si>
    <t xml:space="preserve">  Potable Water Network</t>
  </si>
  <si>
    <t xml:space="preserve">  Sewage Lift Station</t>
  </si>
  <si>
    <t xml:space="preserve">  Box Culvert</t>
  </si>
  <si>
    <t xml:space="preserve">  Open Drain Channel</t>
  </si>
  <si>
    <t xml:space="preserve">  Under Pass</t>
  </si>
  <si>
    <t xml:space="preserve">  Testing and Commissioning</t>
  </si>
  <si>
    <t xml:space="preserve">  No Construction </t>
  </si>
  <si>
    <t>Catch Basins</t>
  </si>
  <si>
    <t>JDH4-02-007-PR-1740</t>
  </si>
  <si>
    <t>GRP Pipes</t>
  </si>
  <si>
    <t>JDH4-02-007-PR-1680</t>
  </si>
  <si>
    <t>Manholes</t>
  </si>
  <si>
    <t>JDH4-02-007-PR-1710</t>
  </si>
  <si>
    <t>JDH4-02-007-PR-1590</t>
  </si>
  <si>
    <t>UPVC</t>
  </si>
  <si>
    <t>JDH4-02-007-PR-1230</t>
  </si>
  <si>
    <t>HDPE For Network</t>
  </si>
  <si>
    <t>HDPE For Telcom</t>
  </si>
  <si>
    <t>JDH4-02-007-PR-2280</t>
  </si>
  <si>
    <t>Fire Fighting System</t>
  </si>
  <si>
    <t>JDH4-02-007-PR-2320</t>
  </si>
  <si>
    <t>CCTV System</t>
  </si>
  <si>
    <t>JDH4-02-007-PR-2410</t>
  </si>
  <si>
    <t>Valves</t>
  </si>
  <si>
    <t>JDH4-02-007-PR-1290</t>
  </si>
  <si>
    <t>Fire Hydrant</t>
  </si>
  <si>
    <t>JDH4-02-007-PR-2460</t>
  </si>
  <si>
    <t>Medium Voltage Cable</t>
  </si>
  <si>
    <t>JDH4-02-007-PR-1120</t>
  </si>
  <si>
    <t>JDH4-02-007-PR-2120</t>
  </si>
  <si>
    <t>JDH4-02-007-PR-2620</t>
  </si>
  <si>
    <t>JDH4-02-007-PR-3020</t>
  </si>
  <si>
    <t>Unit Sub-station</t>
  </si>
  <si>
    <t>JDH4-02-007-PR-1130</t>
  </si>
  <si>
    <t>Low Voltage Cables</t>
  </si>
  <si>
    <t>JDH4-02-007-PR-1140</t>
  </si>
  <si>
    <t>Ring Main Unit (RMU)</t>
  </si>
  <si>
    <t>JDH4-02-007-PR-1960</t>
  </si>
  <si>
    <t>Lighting poles</t>
  </si>
  <si>
    <t>JDH4-02-007-PR-1150</t>
  </si>
  <si>
    <t>JDH4-02-007-PR-1160</t>
  </si>
  <si>
    <t>JDH4-02-007-PR-1170</t>
  </si>
  <si>
    <t>Street Lighting Luminaire</t>
  </si>
  <si>
    <t>Feeder Pillers</t>
  </si>
  <si>
    <t>Distribution Panels</t>
  </si>
  <si>
    <t>JDH4-02-007-PR-2500</t>
  </si>
  <si>
    <t>JDH4-02-007-PR-2090</t>
  </si>
  <si>
    <t>Odours Control system</t>
  </si>
  <si>
    <t>JDH4-02-007-PR-2200</t>
  </si>
  <si>
    <t>JDH4-02-007-PR-2240</t>
  </si>
  <si>
    <t>Air Vents</t>
  </si>
  <si>
    <t>JDH4-02-007-PR-2100</t>
  </si>
  <si>
    <t>Screening Container</t>
  </si>
  <si>
    <t>JDH4-02-007-PR-2840</t>
  </si>
  <si>
    <t>JDH4-02-007-PR-3140</t>
  </si>
  <si>
    <t>Baffle Plates</t>
  </si>
  <si>
    <t>JDH4-02-007-PR-2110</t>
  </si>
  <si>
    <t>Anti-Water Hammer Equipment</t>
  </si>
  <si>
    <t>Pumps</t>
  </si>
  <si>
    <t>JDH4-02-007-PR-2080</t>
  </si>
  <si>
    <t>MCCB (VFD)</t>
  </si>
  <si>
    <t>JDH4-02-007-PR-2610</t>
  </si>
  <si>
    <t>Local Control Panel/ Monitoring Control Panel</t>
  </si>
  <si>
    <t>Generator</t>
  </si>
  <si>
    <t>Power Factor Correction Capacitor Bank</t>
  </si>
  <si>
    <t>JDH4-02-007-PR-2630</t>
  </si>
  <si>
    <t>Enclosed Switches and Circuit Breakers</t>
  </si>
  <si>
    <t>JDH4-02-007-PR-2980</t>
  </si>
  <si>
    <t xml:space="preserve"> ICT (Data&amp; telephone System)</t>
  </si>
  <si>
    <t>JDH4-02-007-PR-3080</t>
  </si>
  <si>
    <t>PLC</t>
  </si>
  <si>
    <t>Instrumentation for Process Systems</t>
  </si>
  <si>
    <t>B6.33 05 39.01</t>
  </si>
  <si>
    <t>B4.31 05 05.13</t>
  </si>
  <si>
    <t>B1.31 22 00.03</t>
  </si>
  <si>
    <t>Road backfilling</t>
  </si>
  <si>
    <t>B1.31 22 00.04</t>
  </si>
  <si>
    <t>Plots backfilling</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</si>
  <si>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</si>
  <si>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</si>
  <si>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</si>
  <si>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</si>
  <si>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</si>
  <si>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</si>
  <si>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</si>
  <si>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</si>
  <si>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</si>
  <si>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</si>
  <si>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13.13.01</t>
  </si>
  <si>
    <t>Interlocking block pavers for sidewalk/footpath</t>
  </si>
  <si>
    <t>B2.33 71 19.01</t>
  </si>
  <si>
    <t>B2.26.05.13.16.01</t>
  </si>
  <si>
    <t xml:space="preserve">Cable: 15KV 3Cx500mm² AL/XLPE/LLDPE unarmored   </t>
  </si>
  <si>
    <t>B2.26 05 19.01</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</si>
  <si>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</si>
  <si>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</si>
  <si>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</si>
  <si>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</si>
  <si>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</si>
  <si>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</si>
  <si>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</si>
  <si>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</si>
  <si>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</si>
  <si>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</si>
  <si>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</si>
  <si>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B2.33 71 16.01</t>
  </si>
  <si>
    <t xml:space="preserve">Street Lighting Feeder pillars </t>
  </si>
  <si>
    <t xml:space="preserve">6 way 50mm HDPE Pipe </t>
  </si>
  <si>
    <t>B2.33 71 19.01.01</t>
  </si>
  <si>
    <t>2 x 32 mm diameter HDPE ducts</t>
  </si>
  <si>
    <t>B3.33 14 13.01</t>
  </si>
  <si>
    <t>B3.33 14 19.11</t>
  </si>
  <si>
    <t>B4.33 31 00.01</t>
  </si>
  <si>
    <t>B5.33 31 00.01</t>
  </si>
  <si>
    <t>B5.33 05 13.01</t>
  </si>
  <si>
    <t>B6.33 42 11.01</t>
  </si>
  <si>
    <t>B7.15.1.1</t>
  </si>
  <si>
    <t>Submersible pump IP68, with the following requirements, as minimum:  
Capacity :  70   l/s
Head      :   18 m
Free passage: ≥80 mm
Pump efficiency at duty point: ≥ 70%
Pump speed: 1800 rpm
Factory test: according to ISO 9906, Grade 2B
Motor efficiency &amp; power factor at full load: ≥ 90% &amp; ≥ 0.8</t>
  </si>
  <si>
    <t>B7.15.8.1</t>
  </si>
  <si>
    <t>Odors scrubbing system (fan capacity not less than 2300 cubic meter/hour)</t>
  </si>
  <si>
    <t>B7.15.9.1</t>
  </si>
  <si>
    <t>Manually operated davit crane (portable), 1 ton capacity.</t>
  </si>
  <si>
    <t>B7.15.10.3</t>
  </si>
  <si>
    <t>B7.15.12.1</t>
  </si>
  <si>
    <t>B7.15.13.1</t>
  </si>
  <si>
    <t>B7.15.14.2.1</t>
  </si>
  <si>
    <t>As per requirements of water hammer study which is approved by Engineer, supply, install, test and commissioning for all necessary items to protect pumps, force main and all piping system against this phenomenon and according to standard specifications and Engineer instructions, the contractor shall review the present study for water hammer protection system (included in project documents) and submit a new study for water hammer protection system (based on actual pump and equipment characteristics), including the calculations and all proposed equipment, while maintaining the equipment in the present study as much as possible.
The study shall be submitted to the Engineer for approval.. Price includes all civil, mechanical, electrical, and control works to complete this item.</t>
  </si>
  <si>
    <t>B7.15.17.1.1</t>
  </si>
  <si>
    <t>Fire fighting for electrical room which has a volume of about 62 m3</t>
  </si>
  <si>
    <t>B7.16.1.1</t>
  </si>
  <si>
    <t xml:space="preserve">MDP-LS Panel: with main circuit breaker 125/160A, 3P, MCCB, 60Hz, with electrical-mechanical interlock (ATS), IP65, capacitor bank, relays, control system, contactor, outgoing MCCB and other fixing accessories </t>
  </si>
  <si>
    <t>B7.16.2.1</t>
  </si>
  <si>
    <t>DB Panel: LPP-LS ref. SLD &amp; Load schedule</t>
  </si>
  <si>
    <t>B7.16.3.1</t>
  </si>
  <si>
    <t>MCP-LP-01</t>
  </si>
  <si>
    <t>B7.16.3.2</t>
  </si>
  <si>
    <t>MCP-LP-02</t>
  </si>
  <si>
    <t>B7.16.3.3</t>
  </si>
  <si>
    <t>OD-CP</t>
  </si>
  <si>
    <t>B7.16.3.4</t>
  </si>
  <si>
    <t>FP-CP</t>
  </si>
  <si>
    <t>B7.16.4.1</t>
  </si>
  <si>
    <t>Standby Diesel Generator Set  73.9 kW  / 92.4 kVA, 3Ph,400V, 60Hz in Sound Attenuated Enclosure</t>
  </si>
  <si>
    <t>B7.16.5.1</t>
  </si>
  <si>
    <t>15 kVAR 5 kVAR per step ; ref. SLD</t>
  </si>
  <si>
    <t>B7.16.14.1.1</t>
  </si>
  <si>
    <t>IDF Cabinet 9U (for data &amp;Telephone)  with all passive components  such as:
- Patch panels  (UTP 24/48 ports &amp; Fiber optic 24/48 ports ) with license.
- Organizers management
- 2 Vertical PDU 8 outlets
- Smart UPS 1.5 KVA
- Standard Patch cords ( UTP &amp; Fiber optic)
- Earthing kits
- All  other accessories to put the system in a good operation to serve the building.</t>
  </si>
  <si>
    <t>B7.16.14.3.1</t>
  </si>
  <si>
    <t>Fiber optic cable (12 Core single mode).</t>
  </si>
  <si>
    <t>B7.16.15.1</t>
  </si>
  <si>
    <t>5.0 Megapixel, Fixed bullet IP CCTV camera with weather proof box</t>
  </si>
  <si>
    <t>B7.16.17.1</t>
  </si>
  <si>
    <t>Supply, installation, testing and commissioning of PLC system, serving the  pumping station and all related utilities. The PLC shall consists but limited to the following:
NEMA 4X type Cabinet (800mm x 1200mm x 600mm) including RTU , PLC I/O interface modules , Digital I/P modules , Digital O/P Modules , Analogue I/P Modules , Analogue O/P modules, RTD I/P , Analogue Hart I/P Modules, communication modules, power supply modules, Terminal Blocks with cover ,  Dual redundant hot standby CPU 64-bit microprocessor with 64-bit internal &amp; external bus equipped with at least 32MB RAM and at least 32MB Flash memory ,  programming software,HMI 9" screen, panel  (2000*1200*800 mm), trunking, terminal strips, relays, circuit breakers, electronic thermo- hygrometer, fans, LED Lamp, media converters, patch panel, industrial ethernet managed switch for connection to SCADA control room ( connection is not in scope) , GSM/4G MODEM ready for connection with GSM/4G antenna, over residual current device (2P 25A/300mA) , surge protection 24VDC and all modules as shown on drawings and all necessary items including interfaces with the electrical systems factory panels and instrumentation sensors/transmitters, to deliver a complete and integrated system, and to cater for this phase and all future phases, all as per specifications and design drawings ; all materials should be SASO certified.</t>
  </si>
  <si>
    <t>Lot</t>
  </si>
  <si>
    <t>Test for Sanitary Sewerage</t>
  </si>
  <si>
    <t>Test for Stormwater Utilities</t>
  </si>
  <si>
    <t>Test for Potable Water Network</t>
  </si>
  <si>
    <t>Test for TSE Network</t>
  </si>
  <si>
    <t>Test for Electrical Network</t>
  </si>
  <si>
    <t>Test for Sewage Lift Station</t>
  </si>
  <si>
    <t>Test for Road Works</t>
  </si>
  <si>
    <t>Completion of Earthworks &amp; Site Grading For Plots</t>
  </si>
  <si>
    <t>Completion of Potable Water Network</t>
  </si>
  <si>
    <t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t>
  </si>
  <si>
    <t>Long Lead Items</t>
  </si>
  <si>
    <t>Elec.</t>
  </si>
  <si>
    <t>Mech.</t>
  </si>
  <si>
    <t>Completion Rate</t>
  </si>
  <si>
    <t>The Impact (BOQ Cost)</t>
  </si>
  <si>
    <t>Supplier
Phone</t>
  </si>
  <si>
    <t>(Long \Short) Lead Items</t>
  </si>
  <si>
    <t>Discipline</t>
  </si>
  <si>
    <t>جاري أعمال التنفيذ</t>
  </si>
  <si>
    <t xml:space="preserve">انتهاء من أعمال  شبكة صرف مياه الامطار </t>
  </si>
  <si>
    <t xml:space="preserve">انتهاء من أعمال شبكة مياه الصرف الصحي </t>
  </si>
  <si>
    <t>انتهاء من اعمال شبكة المياه المعالجة</t>
  </si>
  <si>
    <t>انتهاء من أعمال شبكة مياه الشرب</t>
  </si>
  <si>
    <t xml:space="preserve">انتهاء من أعمال الكهربائية </t>
  </si>
  <si>
    <t>انتهاء من أعمال الطرق والرصف</t>
  </si>
  <si>
    <t>انتهاء من تقديم واعتماد المخططات والمواد</t>
  </si>
  <si>
    <t>التحديات والعوائق</t>
  </si>
  <si>
    <t>تم الإنتهاء</t>
  </si>
  <si>
    <t xml:space="preserve">انتهاء من تقديم خطة العمل والبرنامج الزمنى </t>
  </si>
  <si>
    <t xml:space="preserve">انتهاء من تجهيزات الموقع </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</si>
  <si>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</si>
  <si>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</si>
  <si>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</si>
  <si>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</si>
  <si>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</si>
  <si>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</si>
  <si>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</si>
  <si>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</si>
  <si>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</si>
  <si>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</si>
  <si>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</si>
  <si>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</si>
  <si>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</si>
  <si>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</si>
  <si>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</si>
  <si>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</si>
  <si>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</si>
  <si>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t>65,900,000.00  ريال</t>
  </si>
  <si>
    <r>
      <t xml:space="preserve">قيمة العقد 
</t>
    </r>
    <r>
      <rPr>
        <b/>
        <sz val="9"/>
        <color rgb="FFFFFFFF"/>
        <rFont val="Arial"/>
        <family val="2"/>
      </rPr>
      <t>(شامل ضريبة القيمة المضافة)</t>
    </r>
  </si>
  <si>
    <t>من تاريخ استلام الموقع</t>
  </si>
  <si>
    <t>بداية العقد</t>
  </si>
  <si>
    <t>18  شهرًا ميلاديًا</t>
  </si>
  <si>
    <t>مدة التنفيذ</t>
  </si>
  <si>
    <t>24 نوفمبر 2025</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</si>
  <si>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</si>
  <si>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</si>
  <si>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</si>
  <si>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</si>
  <si>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</si>
  <si>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</si>
  <si>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</si>
  <si>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</si>
  <si>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</si>
  <si>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</si>
  <si>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تقدم سير المشروع تطوير أراضي واحة جدة</t>
  </si>
  <si>
    <t>عبد الله الشنيفي</t>
  </si>
  <si>
    <t>تطوير أراضي واحة جدة</t>
  </si>
  <si>
    <t>القطاع الغربي</t>
  </si>
  <si>
    <t>نهاية المشروع المتوقعة</t>
  </si>
  <si>
    <t>تأثير التأخير (إن وجد) على المبادرات في الربع الاول 2025</t>
  </si>
  <si>
    <t>Mechnical Work
أعمال الكهرباء  (المنفذ)</t>
  </si>
  <si>
    <t>Mechnical Work
أعمال الكهرباء (المخطط)</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</si>
  <si>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</si>
  <si>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</si>
  <si>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</si>
  <si>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</si>
  <si>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</si>
  <si>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</si>
  <si>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</si>
  <si>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</si>
  <si>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</si>
  <si>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</si>
  <si>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</si>
  <si>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</si>
  <si>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</si>
  <si>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</si>
  <si>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</si>
  <si>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</si>
  <si>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</si>
  <si>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B5.33 31&amp;B6.33 42</t>
  </si>
  <si>
    <t xml:space="preserve">B5.33 05 </t>
  </si>
  <si>
    <t>B3.33 14 &amp;B4.33 31</t>
  </si>
  <si>
    <t>B2.33 71</t>
  </si>
  <si>
    <t>B2.33 &amp;B7.16</t>
  </si>
  <si>
    <t>B3&amp;B4&amp;B7</t>
  </si>
  <si>
    <t>B2.26 05 &amp;B7.16</t>
  </si>
  <si>
    <t xml:space="preserve">B2.26 56 </t>
  </si>
  <si>
    <t>B2.26.56.19</t>
  </si>
  <si>
    <t>B7.16.1.1&amp;B7.16.14.1.1&amp;B7.16.17.1</t>
  </si>
  <si>
    <t>HDPE for Potable water</t>
  </si>
  <si>
    <t>HDPE for TSE Network</t>
  </si>
  <si>
    <t>GRP for Sewerage Network</t>
  </si>
  <si>
    <t>Manholes Sewerage Network</t>
  </si>
  <si>
    <t>GRP for Storm Water Drainage</t>
  </si>
  <si>
    <t>Manholes Storm Water Drainage</t>
  </si>
  <si>
    <t>Catch basin</t>
  </si>
  <si>
    <t>set</t>
  </si>
  <si>
    <t>lot</t>
  </si>
  <si>
    <t>valves</t>
  </si>
  <si>
    <t>T. Nagadi Factory</t>
  </si>
  <si>
    <t>0500195198</t>
  </si>
  <si>
    <t>On Progress</t>
  </si>
  <si>
    <t xml:space="preserve">Project Execution Plan submission </t>
  </si>
  <si>
    <t>Scope of Work for the Proposed Wadi Channel and Box Culvert
The proposed scope of work does not include the installation of rock protection at either the upstream or downstream ends to safeguard the soil against erosion resulting from water flow. Furthermore, the revised alignment of the wadi channel does not incorporate any rock protection measures along the direction of the water flow</t>
  </si>
  <si>
    <t>There is a need to issue a decision regarding the implementation of grouted riprap works along the wadi, as well as at the inlet and outlet of the culvert</t>
  </si>
  <si>
    <t>Cross‑Section of the Wadi Channel
The wadi channel has a bottom width of 15 meters and a depth of 2 meters, while the top width reaches 24 meters.
According to the flow direction, the proposed box culvert CU‑02, with dimensions (3 × 2 × 1.5), provides a total bottom width of only 6.7 meters. This indicates a significant discrepancy between the width of the wadi channel and the width of the proposed culvert</t>
  </si>
  <si>
    <t>In accordance with the scope of work for the existing underpasses—which includes the removal of portions of the side walls (upstream and downstream), the installation of retaining walls at the inlet and outlet, and the construction of a concrete slab at the opening of the existing road’s top slab—we would like to inform you of the following:
It is anticipated that, in the future, water leakage may occur, along with the emission of unpleasant odors, in addition to the potential emergence of health-related issues as a result of these works</t>
  </si>
  <si>
    <t>The complete removal of the existing underpass concrete elements, followed by backfilling with selected and properly compacted fill materials in accordance with the approved technical specifications, in preparation for re‑establishing the road level and connecting it to the surrounding network</t>
  </si>
  <si>
    <t>Reducing the scope of works along Road No. 6, including all utility networks located within this road</t>
  </si>
  <si>
    <t>Issuing a new scope of work to include all ongoing activities covered under the contract</t>
  </si>
  <si>
    <t>NEPROPLAST</t>
  </si>
  <si>
    <t>0557128534</t>
  </si>
  <si>
    <t>Po117310,P117449</t>
  </si>
  <si>
    <t>P117525</t>
  </si>
  <si>
    <t>P117657</t>
  </si>
  <si>
    <t>1- حفر وتمديد مواسير شبكة الاتصالات بطول 2000 متر طولي
2-حفر وتمديد شبكة انارة الشوارع بطول 1000 متر طولي</t>
  </si>
  <si>
    <t>The IFC is followed as shown in the drawings</t>
  </si>
  <si>
    <t>Mubashar Sohail</t>
  </si>
  <si>
    <t>Al-Munif</t>
  </si>
  <si>
    <t>0507775269</t>
  </si>
  <si>
    <t>Sea</t>
  </si>
  <si>
    <t>JDH4-02-007-PR-3021</t>
  </si>
  <si>
    <t>flow meter</t>
  </si>
  <si>
    <t>B7.15.1.2</t>
  </si>
  <si>
    <t>JDH4-02-007-PR-3022</t>
  </si>
  <si>
    <t>ATS</t>
  </si>
  <si>
    <t>JDH4-02-007-PR-3023</t>
  </si>
  <si>
    <t>IDF Cabinet 9U (for data &amp;Telephone)</t>
  </si>
  <si>
    <t xml:space="preserve">Execution Plan Approval </t>
  </si>
  <si>
    <t xml:space="preserve">5 Execution Plan Approval </t>
  </si>
  <si>
    <t>JDH4-02-007-ENJ-TS9-1-GEN-IPC-0001-00</t>
  </si>
  <si>
    <t>Telecom</t>
  </si>
  <si>
    <t>Potable</t>
  </si>
  <si>
    <t>Sewer</t>
  </si>
  <si>
    <t>Strom</t>
  </si>
  <si>
    <t>Enviromental</t>
  </si>
  <si>
    <t>Irrigation</t>
  </si>
  <si>
    <t>P119134</t>
  </si>
  <si>
    <t>P119594</t>
  </si>
  <si>
    <t xml:space="preserve">ZAMIL Trading </t>
  </si>
  <si>
    <t>0507972833</t>
  </si>
  <si>
    <t>under‑manufacturing</t>
  </si>
  <si>
    <t>P120012</t>
  </si>
  <si>
    <t>International Center of Fiberglass</t>
  </si>
  <si>
    <t>P120734</t>
  </si>
  <si>
    <t>T-Nagadi</t>
  </si>
  <si>
    <t>أعمال الطرق الرئيسية والثانوية (Road)</t>
  </si>
  <si>
    <t>شبكة الجهد المتوسط(MV)</t>
  </si>
  <si>
    <t>شبكة انارة الشوارع(SL)</t>
  </si>
  <si>
    <t>شبكة الاتصالات(TL)</t>
  </si>
  <si>
    <t xml:space="preserve">شبكة صرف مياه الأمطار(SW) </t>
  </si>
  <si>
    <t>شبكة الصرف الصحي(SE)</t>
  </si>
  <si>
    <t>شبكة المياه المعالجة(TSE)</t>
  </si>
  <si>
    <t>شبكة مياه الشرب(PW)</t>
  </si>
  <si>
    <t>شبكة صرف مياه الأمطار(SW)</t>
  </si>
  <si>
    <t>Activity Name</t>
  </si>
  <si>
    <t>Original Duration</t>
  </si>
  <si>
    <t>BL Project Start</t>
  </si>
  <si>
    <t>BL Project Finish</t>
  </si>
  <si>
    <t>Finish</t>
  </si>
  <si>
    <t xml:space="preserve">        JDH4-02-007-MS-1050</t>
  </si>
  <si>
    <t xml:space="preserve">        JDH4-02-007-MS-1060</t>
  </si>
  <si>
    <t>Completion of Sewerage networks</t>
  </si>
  <si>
    <t xml:space="preserve">        JDH4-02-007-MS-1070</t>
  </si>
  <si>
    <t>Completion of Road Works</t>
  </si>
  <si>
    <t xml:space="preserve">        JDH4-02-007-MS-1080</t>
  </si>
  <si>
    <t xml:space="preserve">        JDH4-02-007-MS-1090</t>
  </si>
  <si>
    <t>Completion of TSE Network</t>
  </si>
  <si>
    <t xml:space="preserve">        JDH4-02-007-MS-1100</t>
  </si>
  <si>
    <t>Completion of Electrical Networks</t>
  </si>
  <si>
    <t xml:space="preserve">        JDH4-02-007-MS-1110</t>
  </si>
  <si>
    <t>Completion of Entire Project</t>
  </si>
  <si>
    <t>JDH4-02-007-ENJ-TS9-1-GEN-IPC-0002-01</t>
  </si>
  <si>
    <t>Architectural</t>
  </si>
  <si>
    <t>MEC</t>
  </si>
  <si>
    <t>CIVIL</t>
  </si>
  <si>
    <t>TEL</t>
  </si>
  <si>
    <t>ELEC</t>
  </si>
  <si>
    <t>Approval of MV network materials and Quantity by SEC &amp; Modon</t>
  </si>
  <si>
    <t xml:space="preserve">The Modon and SEC to be finalized the issues related to MV network to excuting the work </t>
  </si>
  <si>
    <t>JDH4-02-007-ENJ-TS9-1-GEN-IPC-0003-01</t>
  </si>
  <si>
    <t>Mubashar Suhail</t>
  </si>
  <si>
    <t>S.NO</t>
  </si>
  <si>
    <t>FIR Date</t>
  </si>
  <si>
    <t>FIR Amount</t>
  </si>
  <si>
    <t>FIR Cum %</t>
  </si>
  <si>
    <t>JDH4-02-007-ENJ-TS9-1-GEN-IPC-0004-01</t>
  </si>
  <si>
    <t>JDH4-02-007-ENJ-TS9-1-GEN-IPC-0005-00</t>
  </si>
  <si>
    <t>Electrical &amp; Telecom Network</t>
  </si>
  <si>
    <t>Sewage Network</t>
  </si>
  <si>
    <t>Strom Water Network</t>
  </si>
  <si>
    <t>Lift Station</t>
  </si>
  <si>
    <t xml:space="preserve">1-توريد لوحات الانارة الخارجية 
2-توريد المضخات ولوحات غرفة mcc
</t>
  </si>
  <si>
    <t>1-اعمال الازالة
2-اعمال الردميات في الأراضي 
3-اعمال السفلتة بالطرق</t>
  </si>
  <si>
    <t>مستهدف الربع الثالث  2026</t>
  </si>
  <si>
    <t>1- حفر وتمديد مواسير السيول بطول200 متر طولي
2-حفر وتمديد مواسير شبكة المياه بطول 500 متر طولي
3-حفر وتمديد مواسير شبكة الري بطول 500 متر طولي
4-حفر وتمديد مواسير شبكة الصرف بطول 400 متر طولي</t>
  </si>
  <si>
    <t>1- حفر وتمديد مواسير السيول بطول2534 متر طولي
2-اعمال حفر وتمديد شبكة الري بطول 3978 متر طولي</t>
  </si>
  <si>
    <t>JDH4-02-007-ENJ-TS9-1-GEN-IPC-0006-00</t>
  </si>
  <si>
    <t>JDH4-02-007-ENJ-TS9-1-GEN-IPC-0007-00</t>
  </si>
  <si>
    <t>مجموع المبالغ المفوترة  المحققة بنهاية Q3  2026</t>
  </si>
  <si>
    <t>نسبة الانجاز المستهدفة بنهاية Q3 2026</t>
  </si>
  <si>
    <t>نسبة الانجاز المحققة بنهاية Q3 2026</t>
  </si>
  <si>
    <t>1. أعمال حفر وتمديد كابلات شبكة الجهد المتوسط بنسبة 46.4%
2. أعمال تركيب الاعمدة 
3. أعمال حفر وتمديد كابلات الجهد المنخفض 
4. أعمال مواسير الاتصالات وتركيب المناهل</t>
  </si>
  <si>
    <t>B1.32 14 13.03</t>
  </si>
  <si>
    <t>Precast Concrete curb, Type (K4)</t>
  </si>
  <si>
    <t>مجموع المبالغ المفوترة  المستهدفة بنهاية Q3  2026</t>
  </si>
  <si>
    <t>B1.31 22 00.01</t>
  </si>
  <si>
    <t>Road excavation</t>
  </si>
  <si>
    <t xml:space="preserve">Cum Previous FIR </t>
  </si>
  <si>
    <t>B4.33 14 13.02</t>
  </si>
  <si>
    <t>Chamber at pipe 400 mm Dia, Depth 1.5 - 4.0 m</t>
  </si>
  <si>
    <t>B7.7.2</t>
  </si>
  <si>
    <t xml:space="preserve">2 Coats of Bituminous Paint </t>
  </si>
  <si>
    <t>B1.32 14 13.02</t>
  </si>
  <si>
    <t>Precast Concrete curb, Type (K2)</t>
  </si>
  <si>
    <t>B7.15.16.1</t>
  </si>
  <si>
    <t>Bulk Fuel storage tank, 2500 Liter (7 Days of storage)</t>
  </si>
  <si>
    <t>B4.33 14 19.06</t>
  </si>
  <si>
    <t>Butterfly valves with dia (400) mm on pipe dia (355) mm</t>
  </si>
  <si>
    <t>(1)B2.33 71 19.01</t>
  </si>
  <si>
    <t>Road crossing ducts, 2 way (2 x 100mm PVC)</t>
  </si>
  <si>
    <t>B2.31 23 00.01</t>
  </si>
  <si>
    <t>Excavation for Trench size 40cm wide and 80cm deep (for 1 cable)</t>
  </si>
  <si>
    <t>JDH4-02-007-ENJ-TS9-1-CVL-FIR-1052</t>
  </si>
  <si>
    <t>JDH4-02-007-ENJ-TS9-1-CVL-FIR-1053</t>
  </si>
  <si>
    <t>JDH4-02-007-ENJ-TS9-1-CVL-FIR-1054</t>
  </si>
  <si>
    <t>JDH4-02-007-ENJ-TS9-1-CVL-FIR-1055</t>
  </si>
  <si>
    <t>JDH4-02-007-ENJ-TS9-1-CVL-FIR-1056</t>
  </si>
  <si>
    <t>JDH4-02-007-ENJ-TS9-1-CVL-FIR-1057</t>
  </si>
  <si>
    <t>JDH4-02-007-ENJ-TS9-1-CVL-FIR-1058</t>
  </si>
  <si>
    <t>JDH4-02-007-ENJ-TS9-1-CVL-FIR-1059</t>
  </si>
  <si>
    <t>JDH4-02-007-ENJ-TS9-1-CVL-FIR-1060</t>
  </si>
  <si>
    <t>JDH4-02-007-ENJ-TS9-1-CVL-FIR-1061</t>
  </si>
  <si>
    <t>JDH4-02-007-ENJ-TS9-1-CVL-FIR-1062</t>
  </si>
  <si>
    <t>JDH4-02-007-ENJ-TS9-1-CVL-FIR-1063</t>
  </si>
  <si>
    <t>JDH4-02-007-ENJ-TS9-1-CVL-FIR-1064</t>
  </si>
  <si>
    <t>JDH4-02-007-ENJ-TS9-1-CVL-FIR-1065</t>
  </si>
  <si>
    <t>JDH4-02-007-ENJ-TS9-1-MEC-FIR-0316</t>
  </si>
  <si>
    <t>JDH4-02-007-ENJ-TS9-1-MEC-FIR-0317</t>
  </si>
  <si>
    <t>JDH4-02-007-ENJ-TS9-1-MEC-FIR-0318</t>
  </si>
  <si>
    <t>JDH4-02-007-ENJ-TS9-1-MEC-FIR-0319</t>
  </si>
  <si>
    <t>JDH4-02-007-ENJ-TS9-1-MEC-FIR-0320</t>
  </si>
  <si>
    <t>JDH4-02-007-ENJ-TS9-1-ELE-FIR-0062</t>
  </si>
  <si>
    <t>JDH4-02-007-ENJ-TS9-1-ELE-FIR-0063</t>
  </si>
  <si>
    <t>INSPECTION REQUEST FOR EXCAVATION &amp; LEAN CONCRETE &amp; REINFORCED CONCRETE BASE OF BUTTERFLY VALVE ROOM DIA 400 MM FOR IRRIGATION LINE -02 DIA 400 MM , ROAD (1) AT STATION (00+060) NUMBER (101)</t>
  </si>
  <si>
    <t>INSPECTION REQUEST FOR REINFORCED CONCRETE WALL OF BUTTERFLY VALVE ROOM DIA 400 MM FOR IRRIGATION LINE -02 DIA 400 MM , ROAD (1) AT STATION (00+060) NUMBER (101)</t>
  </si>
  <si>
    <t>INSPECTION REQUEST FOR REINFORCED CONCRETE SLAB OF BUTTERFLY VALVE ROOM DIA 400 MM FOR IRRIGATION LINE -02 DIA 400 MM , ROAD (1) AT STATION (00+060) NUMBER (101)</t>
  </si>
  <si>
    <t>INSPECTION REQUEST FOR Bitumin Insulation , BACKFILLING , Installation and finishing Cover Frames FOR BUTTERFLY VALVE ROOM DIA 400 MM FOR IRRIGATION LINE -02 DIA 400 MM , ROAD (1) AT STATION (00+060) NUMBER (101)</t>
  </si>
  <si>
    <t>Inspection Request for Application of 2 Coats of Bituminous Paint for Remaining of pumping station control foundation , Under Ground fuel tank and oddor Inside Lift Station</t>
  </si>
  <si>
    <t>INSPECTION REQUEST FOR CASTING ( Curbstone K4 ) AT (ROAD 5 LEFT) RIGHT &amp; LEFT SIDE FROM STATION 0+00 TO 0+400</t>
  </si>
  <si>
    <t>INSPECTION REQUEST FOR BACKFILING SELECTED MATERIAL FOR 30 CM OVER ROCK FILL AT PLOT 1 AS PER SHOP DRAWING</t>
  </si>
  <si>
    <t>INSPECTION REQUEST FOR CASTING ( Curbstone K2 ) AT ROAD 5 LEFT FROM STATION 0+00 TO 0+400</t>
  </si>
  <si>
    <t>INSPECTION REQUEST FOR CASTINIG ( Curbstone K2 ) AT NTERSECTION BETWEEN ROAD 04R &amp; 07N</t>
  </si>
  <si>
    <t>INSPECTION REQUEST FOR PRECAST INTERLCOKING BLOCK PAVERS AT (ROAD 5 LEFT) RIGHT &amp; LEFT SIDE FROM STATION 0+000 TO 0+400</t>
  </si>
  <si>
    <t>INSPECTION REQUEST FOR N.G.L FOR TENT ROAD FROM STATION 0+00 TO 0+241</t>
  </si>
  <si>
    <t>INSPECTION REQUEST FOR EXCAVATION AT ROAD 1 FROM STATION 0+030 TO 0+604</t>
  </si>
  <si>
    <t>INSPECTION REQUEST FOR EXCAVATION AT ROAD 5 RIGHT AS PER SHOP DRAWING</t>
  </si>
  <si>
    <t>INSPECTION REQUEST FOR CASTING ( Curbstone K2 ) AT ROAD 3 FROM STATION 0+050 TO 1+304</t>
  </si>
  <si>
    <t>INSPECTION REQUEST FOR FULLY AUTOMATIC ODORS SCRUBBING SYSTEM</t>
  </si>
  <si>
    <t>instllation of Bulk Fuel storage tank, 2500 Liter</t>
  </si>
  <si>
    <t>INSPECTION REQUEST FOR INSTALLATION OF BUTTERFLY VALVE DIA 400 MM FOR IRRIGATION LINE -02 DIA 400 MM , ROAD (1) AT STATION (00+060) NUMBER (101)</t>
  </si>
  <si>
    <t>Inspection Request duct bank 2 way for Low voltage Cable street light for Trench Excavation, Duct Installation , Concrete Encasement ,Backfilling , Warring Tape– Road Crossing - at Road (01 - 03 - 05L -04L)</t>
  </si>
  <si>
    <t>Inspection Request for Medium Voltage Cable Trench Excavation Size 40cm wide and 80cm deep for ( 1 Cable ) At Road 03 &amp; 01 &amp; 04L &amp; 05L &amp; 07S &amp; EXISTING ROAD</t>
  </si>
  <si>
    <t>JDH4-02-007-ENJ-TS9-1-GEN-IPC-0008-00</t>
  </si>
  <si>
    <t xml:space="preserve">
2-اعمال الردميات في الأراضي 81%
3-اعمال الاجرجيت في الطرق  100%
-اعمال الاسفلت بطريق 7 و8  &amp; 4 </t>
  </si>
  <si>
    <t>Earth Work at Khaima Road</t>
  </si>
  <si>
    <t xml:space="preserve">Enforce mandatory rest breaks during peak heat hours (12:00–15:00), provide shaded rest areas and drinking water, conduct heat stress toolbox talks, monitor workers, and adjust work schedules where necessary. </t>
  </si>
  <si>
    <t>Strict implementation of approved Traffic Management Plan, use of banksmen, speed limit enforcement (20 km/h), proper barricading, high-visibility clothing, and daily inspection of traffic control measures.</t>
  </si>
  <si>
    <t>Install and maintain hard barriers around all deep openings, enforce strict no-leaning/no-entry rules, conduct regular toolbox talks, ensure continuous supervision, and implement confined space controls if entry is required.</t>
  </si>
  <si>
    <t>Strictly implemented the 3 hour summer break, provided cold drinking water, ORS and suun shades etc and provided fire extinguishers for equipment.</t>
  </si>
  <si>
    <t>Provided flagman and ensured signboards at site and monitoring compliance</t>
  </si>
  <si>
    <t>Provided hard barrications around the excavations, permit is obtained and excavation safety training has been delivered.</t>
  </si>
  <si>
    <t>Risk Log</t>
  </si>
  <si>
    <t>Parent Project ID</t>
  </si>
  <si>
    <t>Contract / Project ID</t>
  </si>
  <si>
    <t>Fund Source</t>
  </si>
  <si>
    <t>PM / Owner</t>
  </si>
  <si>
    <t>Contractor / Designer</t>
  </si>
  <si>
    <t>Value (SAR)</t>
  </si>
  <si>
    <t>Risk Title</t>
  </si>
  <si>
    <t>Description</t>
  </si>
  <si>
    <t>Evidence / Data</t>
  </si>
  <si>
    <t>Probability (1-5)</t>
  </si>
  <si>
    <t>Impact (1-5)</t>
  </si>
  <si>
    <t>Rating</t>
  </si>
  <si>
    <t>Response</t>
  </si>
  <si>
    <t>Mitigation Plan</t>
  </si>
  <si>
    <t>Target Date</t>
  </si>
  <si>
    <t>Notes / Updates</t>
  </si>
  <si>
    <t>Source</t>
  </si>
  <si>
    <t>Land Development of Jeddah Oasis</t>
  </si>
  <si>
    <t>Mohamed Al Shunaifi</t>
  </si>
  <si>
    <t>AL-ENJAZ Trading &amp; Contracting Company</t>
  </si>
  <si>
    <t>Work in progress</t>
  </si>
  <si>
    <t>Quality / Resources</t>
  </si>
  <si>
    <t>Delay in Inspection &amp; Testing Due to Shortage of Required Equipment</t>
  </si>
  <si>
    <t>Potential delays in conducting inspections and testing of the completed works due to a shortage of the required equipment may result in delays to the project handover</t>
  </si>
  <si>
    <t>Insufficient availability of the required inspection and testing equipment may delay the inspection, testing, and handover of completed works.</t>
  </si>
  <si>
    <t>4</t>
  </si>
  <si>
    <t>Ensure timely availability of all required inspection and testing equipment, coordinate with the concerned departments, and monitor equipment readiness prior to planned inspections and testing activities.</t>
  </si>
  <si>
    <t>Ensure availability of required inspection and testing equipment to avoid delays.</t>
  </si>
  <si>
    <t>Quality Department / Site Inspection Activities</t>
  </si>
  <si>
    <t>Procurement / Quality</t>
  </si>
  <si>
    <t>Delay in Material &amp; Supplier Approvals</t>
  </si>
  <si>
    <t>Delay in the approval of project materials and suppliers, which may affect the timely delivery of materials, completion of works, and overall project handover</t>
  </si>
  <si>
    <t>Pending material and supplier approval requests affecting procurement lead times</t>
  </si>
  <si>
    <t>Expedite pending approvals and closely follow up with the Consultant and relevant departments</t>
  </si>
  <si>
    <t>Monitor approval status and expedite pending submissions to avoid material delivery delays</t>
  </si>
  <si>
    <t>Material &amp; Supplier Approval Log / Procurement Department</t>
  </si>
  <si>
    <t>Quality/HSE</t>
  </si>
  <si>
    <t>Delay in Material Approval &amp; MIR Submission</t>
  </si>
  <si>
    <t>Failure to submit delivered materials for Consultant approval the required MIR, which may delay material utilization on site, impact work progress, and consequently delay project handover</t>
  </si>
  <si>
    <t>Materials delivered to site pending Consultant approval and MIR submission</t>
  </si>
  <si>
    <t>Ensure timely MIR submission and obtain Consultant approval before material use</t>
  </si>
  <si>
    <t>Monitor delivered materials and expedite pending MIR submissions and approvals</t>
  </si>
  <si>
    <t>Material Receiving Records / MIR Log / Quality Department</t>
  </si>
  <si>
    <t>Heat Stress and Heat-Related Illnesses due to High Ambient Temperature</t>
  </si>
  <si>
    <t>Extreme high temperatures in Jeddah during outdoor construction activities increase the risk of heat exhaustion, heat stroke, and reduced worker concentration, potentially leading to incidents which might also be fire related.</t>
  </si>
  <si>
    <t>Jeddah summer conditions with temperatures frequently exceeding 40°C; outdoor heavy activities ongoing</t>
  </si>
  <si>
    <t>18/04/2026</t>
  </si>
  <si>
    <t>Heat Stress Document</t>
  </si>
  <si>
    <t>Vehicle and Mobile Equipment Related Incidents during Road Works</t>
  </si>
  <si>
    <t>Ongoing road works and asphalt paving activities involving multiple mobile equipment and temporary traffic arrangements increase the risk of vehicle-plant collision, run-over, or struck-by incidents involving workers and equipment.</t>
  </si>
  <si>
    <t>Active wearing course, road marking, and traffic management activities within the project site</t>
  </si>
  <si>
    <t>15/8/2026</t>
  </si>
  <si>
    <t>Regularly approved updated site traffic layouts from consultant.</t>
  </si>
  <si>
    <t>Theft Incident during night</t>
  </si>
  <si>
    <t>Risk of Fall into Deep Open Excavations</t>
  </si>
  <si>
    <t>Presence of open excavations increases the risk of workers falling into the openings, which may result in fatal or serious injuries or vehicles falling into excavations.</t>
  </si>
  <si>
    <t>30/12/2025</t>
  </si>
  <si>
    <t>Permit to work, excavation safety trainings etc.</t>
  </si>
  <si>
    <t>Issue ID</t>
  </si>
  <si>
    <t>Issue Title</t>
  </si>
  <si>
    <t>Severity (1-5)</t>
  </si>
  <si>
    <t>Urgency (1-5)</t>
  </si>
  <si>
    <t>Priority Score</t>
  </si>
  <si>
    <t>Priority</t>
  </si>
  <si>
    <t>Action Required</t>
  </si>
  <si>
    <t>Date Raised</t>
  </si>
  <si>
    <t>Resolution / Updates</t>
  </si>
  <si>
    <t>Scope</t>
  </si>
  <si>
    <t>Reduction in Scope of Works – Road No. 6</t>
  </si>
  <si>
    <t>Confirm and formally document the reduction in scope along Road No. 6, including the associated utility networks. Obtain approval from the relevant stakeholders and update the scope, BOQ, drawings, programme, and contract documents accordingly.</t>
  </si>
  <si>
    <t>Design/Technical</t>
  </si>
  <si>
    <t>Missing Rock Protection – Wadi Channel and Box Culvert</t>
  </si>
  <si>
    <t>5</t>
  </si>
  <si>
    <t>Review the proposed wadi channel and box culvert design and provide suitable rock protection at the upstream and downstream ends and along the water-flow direction to prevent soil erosion. Obtain the necessary design approval before proceeding with the works.</t>
  </si>
  <si>
    <t>Discrepancy Between Wadi Channel and Box Culvert Width</t>
  </si>
  <si>
    <t>Conduct a technical/hydraulic review of the proposed CU-02 box culvert against the wadi channel cross-section and design flow requirements. Confirm the adequacy of the culvert dimensions and revise the design if required before construction.</t>
  </si>
  <si>
    <t>Potential Water Leakage and Odour – Existing Underpasses</t>
  </si>
  <si>
    <t>3</t>
  </si>
  <si>
    <t>Review the proposed modification works and provide appropriate waterproofing, drainage, and ventilation measures to prevent water leakage, stagnant water, unpleasant odours, and potential health/environmental issues. Obtain consultant/client approval before implementation.</t>
  </si>
  <si>
    <t>Safety Risk at Deep Openings</t>
  </si>
  <si>
    <t>Install and maintain rigid barriers around all deep openings. Enforce no-entry/no-leaning requirements, conduct regular toolbox talks, provide continuous supervision, and implement confined-space controls where applicable.</t>
  </si>
  <si>
    <t>Approval of MV Network Materials and Quantities</t>
  </si>
  <si>
    <t>Obtain formal approval from SEC and MODON for the proposed MV network materials and quantities. Ensure procurement and installation are carried out only in accordance with the approved materials, quantities, specifications, and drawings.</t>
  </si>
  <si>
    <t>Heat Stress During Peak Working Hours</t>
  </si>
  <si>
    <t>Implement mandatory rest breaks during peak heat hours (12:00–15:00), provide shaded rest areas and sufficient drinking water, conduct heat-stress awareness/toolbox talks, monitor workers, and adjust working hours where required.</t>
  </si>
  <si>
    <t>Traffic Management and Site Safety Compliance</t>
  </si>
  <si>
    <t>Strictly implement the approved Traffic Management Plan. Provide trained banksmen, enforce the 20 km/h speed limit, maintain proper barricading, ensure high-visibility PPE is worn, and conduct daily inspections of traffic-control arrangements.</t>
  </si>
  <si>
    <t xml:space="preserve">18-ug-26 </t>
  </si>
  <si>
    <t xml:space="preserve">12-ug-26 </t>
  </si>
  <si>
    <t>Falling of equipment during tent road activity</t>
  </si>
  <si>
    <t>Risk of equipment falling during tent road construction activities which may cause injury to workers or damage to property.</t>
  </si>
  <si>
    <t>Ongoing tent road related activities involving Dump truck and mobile equipment</t>
  </si>
  <si>
    <t>Install and maintain Hard barriers at the edge,Conduct regular Toolbox talk ,and ensure continous Supervision.</t>
  </si>
  <si>
    <t>Permit to work,Toolbox talk, trainings etc.</t>
  </si>
  <si>
    <t>Land Backfilling</t>
  </si>
  <si>
    <t>Installation of AC in Lift Station</t>
  </si>
  <si>
    <t>MV Cable Work at Existing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</si>
</sst>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_ ;[Red]\-#,##0.0\ "/>
    <numFmt numFmtId="196" formatCode="00"/>
    <numFmt numFmtId="197" formatCode="0.00%;[Red]\(0.00%\)"/>
    <numFmt numFmtId="198" formatCode="#,##0.000000000_);[Red]\(#,##0.000000000\)"/>
    <numFmt numFmtId="199" formatCode="#,##0.00000_);[Red]\(#,##0.00000\)"/>
    <numFmt numFmtId="200" formatCode="[$-F800]dddd\,\ mmmm\ dd\,\ yyyy"/>
    <numFmt numFmtId="201" formatCode="yyyy\-mm\-dd"/>
  </numFmts>
  <fonts count="195">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9"/>
      <name val="Verdan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6"/>
      <color theme="0"/>
      <name val="TheSansArabic Bold"/>
    </font>
    <font>
      <sz val="16"/>
      <color theme="1"/>
      <name val="TheSansArabic Bold"/>
    </font>
    <font>
      <sz val="11"/>
      <name val="Calibri"/>
      <family val="2"/>
    </font>
    <font>
      <b/>
      <sz val="9"/>
      <color theme="1"/>
      <name val="Calibri"/>
      <family val="2"/>
      <scheme val="minor"/>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sz val="11"/>
      <color theme="1"/>
      <name val="Calibri"/>
      <family val="2"/>
      <scheme val="minor"/>
    </font>
    <font>
      <sz val="11"/>
      <color theme="1"/>
      <name val="Calibri"/>
      <family val="2"/>
      <scheme val="minor"/>
    </font>
    <font>
      <sz val="12"/>
      <color rgb="FF000000"/>
      <name val="Arial"/>
      <family val="2"/>
    </font>
    <font>
      <sz val="11"/>
      <name val="TheSansArabic Bold"/>
      <family val="2"/>
      <charset val="178"/>
    </font>
    <font>
      <sz val="11"/>
      <color theme="1"/>
      <name val="Calibri"/>
      <family val="2"/>
      <scheme val="minor"/>
    </font>
    <font>
      <sz val="11"/>
      <color theme="1"/>
      <name val="Calibri"/>
      <family val="2"/>
      <scheme val="minor"/>
    </font>
    <font>
      <sz val="11"/>
      <color theme="1"/>
      <name val="Calibri"/>
      <family val="2"/>
      <scheme val="minor"/>
    </font>
    <font>
      <sz val="12"/>
      <color theme="1"/>
      <name val="TheSansArabic Bold"/>
      <family val="2"/>
      <charset val="178"/>
    </font>
    <font>
      <sz val="12"/>
      <name val="TheSansArabic Bold"/>
      <family val="2"/>
      <charset val="178"/>
    </font>
    <font>
      <sz val="13"/>
      <color theme="1"/>
      <name val="Calibri Light"/>
      <family val="1"/>
      <scheme val="major"/>
    </font>
    <font>
      <sz val="13"/>
      <name val="Calibri Light"/>
      <family val="1"/>
      <scheme val="major"/>
    </font>
    <font>
      <sz val="11"/>
      <color theme="1"/>
      <name val="Calibri"/>
      <family val="2"/>
      <scheme val="minor"/>
    </font>
    <font>
      <sz val="11"/>
      <color theme="1"/>
      <name val="Calibri"/>
      <family val="2"/>
      <charset val="1"/>
    </font>
    <font>
      <b/>
      <sz val="16"/>
      <color rgb="FF1B3A4B"/>
      <name val="Arial"/>
      <family val="2"/>
    </font>
    <font>
      <i/>
      <sz val="9"/>
      <color rgb="FF555555"/>
      <name val="Arial"/>
      <family val="2"/>
    </font>
    <font>
      <b/>
      <sz val="10"/>
      <color rgb="FFFFFFFF"/>
      <name val="Arial"/>
      <family val="2"/>
    </font>
    <font>
      <sz val="9"/>
      <name val="Arial"/>
      <family val="2"/>
    </font>
    <font>
      <sz val="9"/>
      <name val="Arial"/>
      <family val="2"/>
    </font>
    <font>
      <sz val="10"/>
      <color theme="1"/>
      <name val="TheSansArab Light"/>
      <family val="2"/>
    </font>
    <font>
      <sz val="11"/>
      <color theme="1"/>
      <name val="Calibri"/>
      <family val="2"/>
    </font>
    <font>
      <sz val="11"/>
      <color theme="1"/>
      <name val="Calibri"/>
      <charset val="1"/>
    </font>
    <font>
      <b/>
      <sz val="16"/>
      <color rgb="FF1B3A4B"/>
      <name val="Arial"/>
      <charset val="1"/>
    </font>
    <font>
      <i/>
      <sz val="9"/>
      <color rgb="FF555555"/>
      <name val="Arial"/>
      <charset val="1"/>
    </font>
    <font>
      <b/>
      <sz val="10"/>
      <color rgb="FFFFFFFF"/>
      <name val="Arial"/>
      <charset val="1"/>
    </font>
    <font>
      <sz val="9"/>
      <name val="Arial"/>
      <charset val="134"/>
    </font>
    <font>
      <sz val="9"/>
      <name val="Arial"/>
      <charset val="1"/>
    </font>
    <font>
      <sz val="11"/>
      <color theme="1"/>
      <name val="Calibri"/>
      <charset val="134"/>
    </font>
  </fonts>
  <fills count="6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99CC"/>
        <bgColor indexed="64"/>
      </patternFill>
    </fill>
    <fill>
      <patternFill patternType="solid">
        <fgColor rgb="FF99FF99"/>
        <bgColor indexed="64"/>
      </patternFill>
    </fill>
    <fill>
      <patternFill patternType="solid">
        <fgColor rgb="FFFFCCCC"/>
        <bgColor indexed="64"/>
      </patternFill>
    </fill>
    <fill>
      <patternFill patternType="solid">
        <fgColor rgb="FF66CCFF"/>
        <bgColor indexed="64"/>
      </patternFill>
    </fill>
    <fill>
      <patternFill patternType="solid">
        <fgColor rgb="FFFF00FF"/>
        <bgColor indexed="64"/>
      </patternFill>
    </fill>
    <fill>
      <patternFill patternType="solid">
        <fgColor rgb="FF33CCCC"/>
        <bgColor indexed="64"/>
      </patternFill>
    </fill>
    <fill>
      <patternFill patternType="solid">
        <fgColor rgb="FFFF9999"/>
        <bgColor indexed="64"/>
      </patternFill>
    </fill>
    <fill>
      <patternFill patternType="solid">
        <fgColor rgb="FFFFCC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1B3A4B"/>
        <bgColor rgb="FF003366"/>
      </patternFill>
    </fill>
    <fill>
      <patternFill patternType="solid">
        <fgColor theme="8" tint="0.79998168889431442"/>
        <bgColor theme="8" tint="0.79998168889431442"/>
      </patternFill>
    </fill>
  </fills>
  <borders count="581">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right style="medium">
        <color rgb="FF53B3DD"/>
      </right>
      <top style="hair">
        <color indexed="64"/>
      </top>
      <bottom style="hair">
        <color rgb="FF7F7F7F"/>
      </bottom>
      <diagonal/>
    </border>
    <border>
      <left style="thin">
        <color theme="0"/>
      </left>
      <right style="thin">
        <color indexed="64"/>
      </right>
      <top style="thin">
        <color theme="0"/>
      </top>
      <bottom style="thin">
        <color theme="0"/>
      </bottom>
      <diagonal/>
    </border>
    <border>
      <left style="dashed">
        <color auto="1"/>
      </left>
      <right style="dashed">
        <color auto="1"/>
      </right>
      <top style="thin">
        <color auto="1"/>
      </top>
      <bottom style="hair">
        <color auto="1"/>
      </bottom>
      <diagonal/>
    </border>
    <border>
      <left style="dashed">
        <color auto="1"/>
      </left>
      <right style="thin">
        <color auto="1"/>
      </right>
      <top style="thin">
        <color auto="1"/>
      </top>
      <bottom style="hair">
        <color auto="1"/>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style="dotted">
        <color indexed="64"/>
      </left>
      <right style="dotted">
        <color indexed="64"/>
      </right>
      <top style="dotted">
        <color indexed="64"/>
      </top>
      <bottom style="thick">
        <color rgb="FF53B3DD"/>
      </bottom>
      <diagonal/>
    </border>
    <border>
      <left style="thin">
        <color theme="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bottom style="hair">
        <color indexed="64"/>
      </bottom>
      <diagonal/>
    </border>
    <border>
      <left style="thick">
        <color rgb="FF53B3DD"/>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theme="4"/>
      </bottom>
      <diagonal/>
    </border>
    <border>
      <left style="dotted">
        <color indexed="64"/>
      </left>
      <right style="dotted">
        <color indexed="64"/>
      </right>
      <top style="dotted">
        <color indexed="64"/>
      </top>
      <bottom style="thick">
        <color theme="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medium">
        <color rgb="FF2C6682"/>
      </left>
      <right/>
      <top style="hair">
        <color theme="0" tint="-0.499984740745262"/>
      </top>
      <bottom style="hair">
        <color theme="0" tint="-0.499984740745262"/>
      </bottom>
      <diagonal/>
    </border>
    <border>
      <left/>
      <right style="medium">
        <color rgb="FF53B3DD"/>
      </right>
      <top style="hair">
        <color theme="0" tint="-0.499984740745262"/>
      </top>
      <bottom style="hair">
        <color theme="0" tint="-0.499984740745262"/>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theme="0"/>
      </left>
      <right/>
      <top style="medium">
        <color indexed="64"/>
      </top>
      <bottom/>
      <diagonal/>
    </border>
    <border>
      <left style="medium">
        <color indexed="64"/>
      </left>
      <right/>
      <top style="medium">
        <color theme="0"/>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hair">
        <color rgb="FF7F7F7F"/>
      </bottom>
      <diagonal/>
    </border>
    <border>
      <left style="medium">
        <color indexed="64"/>
      </left>
      <right/>
      <top style="hair">
        <color rgb="FF7F7F7F"/>
      </top>
      <bottom style="hair">
        <color rgb="FF7F7F7F"/>
      </bottom>
      <diagonal/>
    </border>
    <border>
      <left style="medium">
        <color indexed="64"/>
      </left>
      <right/>
      <top style="hair">
        <color theme="0" tint="-0.499984740745262"/>
      </top>
      <bottom style="medium">
        <color indexed="64"/>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thin">
        <color auto="1"/>
      </left>
      <right style="dashed">
        <color auto="1"/>
      </right>
      <top style="thin">
        <color auto="1"/>
      </top>
      <bottom style="hair">
        <color auto="1"/>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
      <left/>
      <right style="thin">
        <color rgb="FFD0D7DE"/>
      </right>
      <top style="thin">
        <color rgb="FFD0D7DE"/>
      </top>
      <bottom/>
      <diagonal/>
    </border>
    <border>
      <left style="thin">
        <color rgb="FFD0D7DE"/>
      </left>
      <right style="thin">
        <color rgb="FFD0D7DE"/>
      </right>
      <top style="thin">
        <color rgb="FFD0D7DE"/>
      </top>
      <bottom/>
      <diagonal/>
    </border>
    <border>
      <left style="thin">
        <color rgb="FFD0D7DE"/>
      </left>
      <right/>
      <top style="thin">
        <color rgb="FFD0D7DE"/>
      </top>
      <bottom/>
      <diagonal/>
    </border>
  </borders>
  <cellStyleXfs count="62">
    <xf numFmtId="0" fontId="0" fillId="0" borderId="0"/>
    <xf numFmtId="43"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16" fillId="0" borderId="0"/>
    <xf numFmtId="9" fontId="16" fillId="0" borderId="0" applyFont="0" applyFill="0" applyBorder="0" applyAlignment="0" applyProtection="0"/>
    <xf numFmtId="0" fontId="21" fillId="0" borderId="0"/>
    <xf numFmtId="0" fontId="3" fillId="0" borderId="0"/>
    <xf numFmtId="0" fontId="16" fillId="0" borderId="0"/>
    <xf numFmtId="0" fontId="49" fillId="0" borderId="0"/>
    <xf numFmtId="0" fontId="3" fillId="20" borderId="124" applyNumberFormat="0" applyFont="0" applyAlignment="0" applyProtection="0"/>
    <xf numFmtId="0" fontId="16" fillId="0" borderId="0"/>
    <xf numFmtId="187" fontId="129" fillId="0" borderId="0" applyFont="0" applyFill="0" applyBorder="0" applyAlignment="0" applyProtection="0"/>
    <xf numFmtId="43" fontId="16" fillId="0" borderId="0" applyFont="0" applyFill="0" applyBorder="0" applyAlignment="0" applyProtection="0"/>
    <xf numFmtId="188" fontId="3" fillId="0" borderId="0" applyFont="0" applyFill="0" applyBorder="0" applyAlignment="0" applyProtection="0"/>
    <xf numFmtId="0" fontId="16" fillId="0" borderId="0"/>
    <xf numFmtId="164" fontId="3" fillId="0" borderId="0" applyFont="0" applyFill="0" applyBorder="0" applyAlignment="0" applyProtection="0"/>
    <xf numFmtId="164" fontId="3" fillId="0" borderId="0" applyFont="0" applyFill="0" applyBorder="0" applyAlignment="0" applyProtection="0"/>
    <xf numFmtId="0" fontId="16" fillId="0" borderId="0"/>
    <xf numFmtId="188" fontId="3" fillId="0" borderId="0" applyFont="0" applyFill="0" applyBorder="0" applyAlignment="0" applyProtection="0"/>
    <xf numFmtId="0" fontId="132" fillId="0" borderId="0">
      <alignment vertical="center"/>
    </xf>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6" fillId="0" borderId="0">
      <protection locked="0"/>
    </xf>
    <xf numFmtId="0" fontId="3" fillId="0" borderId="0"/>
    <xf numFmtId="43" fontId="16" fillId="0" borderId="0" applyFont="0" applyFill="0" applyBorder="0" applyAlignment="0" applyProtection="0"/>
    <xf numFmtId="0" fontId="129" fillId="0" borderId="0"/>
    <xf numFmtId="43" fontId="16" fillId="0" borderId="0" applyFont="0" applyFill="0" applyBorder="0" applyAlignment="0" applyProtection="0"/>
    <xf numFmtId="0" fontId="168" fillId="0" borderId="0"/>
    <xf numFmtId="0" fontId="168" fillId="0" borderId="0"/>
    <xf numFmtId="0" fontId="169" fillId="0" borderId="0"/>
    <xf numFmtId="0" fontId="169" fillId="0" borderId="0"/>
    <xf numFmtId="0" fontId="172" fillId="0" borderId="0"/>
    <xf numFmtId="0" fontId="172" fillId="0" borderId="0"/>
    <xf numFmtId="0" fontId="173" fillId="0" borderId="0"/>
    <xf numFmtId="0" fontId="173" fillId="0" borderId="0"/>
    <xf numFmtId="0" fontId="174" fillId="0" borderId="0"/>
    <xf numFmtId="0" fontId="174" fillId="0" borderId="0"/>
    <xf numFmtId="0" fontId="2" fillId="0" borderId="0"/>
    <xf numFmtId="43" fontId="3" fillId="0" borderId="0" applyFont="0" applyFill="0" applyBorder="0" applyAlignment="0" applyProtection="0"/>
    <xf numFmtId="0" fontId="179" fillId="0" borderId="0"/>
    <xf numFmtId="0" fontId="179" fillId="0" borderId="0"/>
    <xf numFmtId="0" fontId="180" fillId="0" borderId="0"/>
    <xf numFmtId="0" fontId="187" fillId="0" borderId="0"/>
    <xf numFmtId="0" fontId="188" fillId="0" borderId="0"/>
  </cellStyleXfs>
  <cellXfs count="2159">
    <xf numFmtId="0" fontId="0" fillId="0" borderId="0" xfId="0"/>
    <xf numFmtId="17" fontId="0" fillId="0" borderId="0" xfId="0" applyNumberFormat="1"/>
    <xf numFmtId="0" fontId="7" fillId="0" borderId="0" xfId="0" applyFont="1"/>
    <xf numFmtId="0" fontId="0" fillId="0" borderId="0" xfId="0" applyAlignment="1">
      <alignment vertical="center"/>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center" vertical="center"/>
    </xf>
    <xf numFmtId="0" fontId="4" fillId="0" borderId="0" xfId="0" applyFont="1" applyAlignment="1">
      <alignment horizontal="left" indent="1"/>
    </xf>
    <xf numFmtId="0" fontId="13" fillId="0" borderId="0" xfId="0" applyFont="1"/>
    <xf numFmtId="9" fontId="0" fillId="0" borderId="0" xfId="2" applyFont="1" applyFill="1" applyBorder="1" applyAlignment="1">
      <alignment horizontal="center"/>
    </xf>
    <xf numFmtId="0" fontId="4" fillId="0" borderId="0" xfId="0" applyFont="1" applyAlignment="1">
      <alignment vertical="center"/>
    </xf>
    <xf numFmtId="9" fontId="4" fillId="0" borderId="0" xfId="2" applyFont="1" applyFill="1" applyBorder="1" applyAlignment="1">
      <alignment horizontal="center" vertical="center"/>
    </xf>
    <xf numFmtId="0" fontId="4" fillId="0" borderId="0" xfId="0" applyFont="1" applyAlignment="1">
      <alignment horizontal="center" vertical="center" wrapText="1"/>
    </xf>
    <xf numFmtId="0" fontId="4" fillId="0" borderId="0" xfId="0" applyFont="1"/>
    <xf numFmtId="0" fontId="6" fillId="0" borderId="0" xfId="0" applyFont="1"/>
    <xf numFmtId="10" fontId="0" fillId="0" borderId="0" xfId="2" applyNumberFormat="1" applyFont="1" applyFill="1" applyBorder="1" applyAlignment="1">
      <alignment horizontal="center"/>
    </xf>
    <xf numFmtId="37" fontId="0" fillId="0" borderId="0" xfId="0" applyNumberFormat="1"/>
    <xf numFmtId="0" fontId="8" fillId="0" borderId="5" xfId="0" applyFont="1" applyBorder="1"/>
    <xf numFmtId="0" fontId="14" fillId="0" borderId="7" xfId="0" applyFont="1" applyBorder="1" applyAlignment="1">
      <alignment horizontal="center"/>
    </xf>
    <xf numFmtId="0" fontId="8" fillId="0" borderId="18" xfId="0" applyFont="1" applyBorder="1" applyAlignment="1">
      <alignment horizontal="center"/>
    </xf>
    <xf numFmtId="0" fontId="8" fillId="0" borderId="1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170" fontId="9" fillId="0" borderId="0" xfId="0" applyNumberFormat="1" applyFont="1"/>
    <xf numFmtId="0" fontId="9" fillId="0" borderId="0" xfId="0" applyFont="1" applyAlignment="1">
      <alignment horizontal="center"/>
    </xf>
    <xf numFmtId="166" fontId="9" fillId="0" borderId="0" xfId="2" applyNumberFormat="1" applyFont="1" applyAlignment="1">
      <alignment horizontal="center"/>
    </xf>
    <xf numFmtId="170" fontId="11" fillId="0" borderId="0" xfId="0" applyNumberFormat="1" applyFont="1"/>
    <xf numFmtId="0" fontId="9" fillId="0" borderId="0" xfId="0" applyFont="1"/>
    <xf numFmtId="0" fontId="8" fillId="4" borderId="12" xfId="0" applyFont="1" applyFill="1" applyBorder="1" applyAlignment="1">
      <alignment horizontal="center"/>
    </xf>
    <xf numFmtId="170" fontId="9" fillId="4" borderId="0" xfId="0" applyNumberFormat="1" applyFont="1" applyFill="1"/>
    <xf numFmtId="17" fontId="0" fillId="4" borderId="16" xfId="0" applyNumberFormat="1" applyFill="1" applyBorder="1"/>
    <xf numFmtId="17" fontId="0" fillId="4" borderId="17" xfId="0" applyNumberFormat="1" applyFill="1" applyBorder="1"/>
    <xf numFmtId="0" fontId="4"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8" fillId="0" borderId="5" xfId="0" applyNumberFormat="1" applyFont="1" applyBorder="1"/>
    <xf numFmtId="168" fontId="8" fillId="0" borderId="18" xfId="0" applyNumberFormat="1" applyFont="1" applyBorder="1" applyAlignment="1">
      <alignment horizontal="center"/>
    </xf>
    <xf numFmtId="168" fontId="9" fillId="0" borderId="0" xfId="0" applyNumberFormat="1" applyFont="1"/>
    <xf numFmtId="165" fontId="0" fillId="4" borderId="0" xfId="1" applyNumberFormat="1" applyFont="1" applyFill="1"/>
    <xf numFmtId="0" fontId="23" fillId="16" borderId="70" xfId="0" applyFont="1" applyFill="1" applyBorder="1" applyAlignment="1">
      <alignment horizontal="center" vertical="center" wrapText="1"/>
    </xf>
    <xf numFmtId="0" fontId="30" fillId="0" borderId="0" xfId="0" applyFont="1" applyAlignment="1">
      <alignment vertical="center"/>
    </xf>
    <xf numFmtId="0" fontId="31" fillId="14" borderId="75" xfId="0" applyFont="1" applyFill="1" applyBorder="1" applyAlignment="1">
      <alignment horizontal="left" vertical="center"/>
    </xf>
    <xf numFmtId="0" fontId="0" fillId="0" borderId="0" xfId="0" applyAlignment="1">
      <alignment wrapText="1"/>
    </xf>
    <xf numFmtId="0" fontId="23" fillId="16" borderId="72" xfId="0" applyFont="1" applyFill="1" applyBorder="1" applyAlignment="1">
      <alignment horizontal="center" vertical="center" wrapText="1"/>
    </xf>
    <xf numFmtId="0" fontId="23" fillId="14" borderId="76" xfId="0" applyFont="1" applyFill="1" applyBorder="1" applyAlignment="1">
      <alignment horizontal="center" vertical="center" wrapText="1"/>
    </xf>
    <xf numFmtId="0" fontId="23" fillId="14" borderId="77" xfId="0" applyFont="1" applyFill="1" applyBorder="1" applyAlignment="1">
      <alignment horizontal="center" vertical="center" wrapText="1"/>
    </xf>
    <xf numFmtId="0" fontId="25" fillId="18" borderId="0" xfId="0" applyFont="1" applyFill="1" applyAlignment="1">
      <alignment horizontal="center" vertical="center"/>
    </xf>
    <xf numFmtId="15" fontId="25" fillId="18" borderId="0" xfId="0" applyNumberFormat="1" applyFont="1" applyFill="1" applyAlignment="1">
      <alignment horizontal="center" vertical="center"/>
    </xf>
    <xf numFmtId="0" fontId="29" fillId="16" borderId="29" xfId="0" applyFont="1" applyFill="1" applyBorder="1" applyAlignment="1">
      <alignment horizontal="center" vertical="center"/>
    </xf>
    <xf numFmtId="0" fontId="23" fillId="16" borderId="29" xfId="0" applyFont="1" applyFill="1" applyBorder="1" applyAlignment="1">
      <alignment horizontal="right" vertical="center"/>
    </xf>
    <xf numFmtId="0" fontId="46" fillId="0" borderId="26" xfId="0" applyFont="1" applyBorder="1" applyAlignment="1">
      <alignment horizontal="center" vertical="center"/>
    </xf>
    <xf numFmtId="0" fontId="23" fillId="16" borderId="122" xfId="0" applyFont="1" applyFill="1" applyBorder="1" applyAlignment="1">
      <alignment horizontal="right" vertical="center"/>
    </xf>
    <xf numFmtId="0" fontId="46" fillId="0" borderId="56" xfId="0" applyFont="1" applyBorder="1" applyAlignment="1">
      <alignment horizontal="center" vertical="center"/>
    </xf>
    <xf numFmtId="0" fontId="23" fillId="16" borderId="126" xfId="0" applyFont="1" applyFill="1" applyBorder="1" applyAlignment="1">
      <alignment horizontal="right" vertical="center"/>
    </xf>
    <xf numFmtId="0" fontId="46" fillId="0" borderId="127" xfId="0" applyFont="1" applyBorder="1" applyAlignment="1">
      <alignment horizontal="center" vertical="center"/>
    </xf>
    <xf numFmtId="0" fontId="23" fillId="16" borderId="130" xfId="0" applyFont="1" applyFill="1" applyBorder="1" applyAlignment="1">
      <alignment horizontal="center" vertical="center" wrapText="1"/>
    </xf>
    <xf numFmtId="15" fontId="50" fillId="4" borderId="124" xfId="10" applyNumberFormat="1" applyFont="1" applyFill="1" applyAlignment="1" applyProtection="1">
      <alignment horizontal="center" vertical="center"/>
      <protection locked="0"/>
    </xf>
    <xf numFmtId="0" fontId="50" fillId="4" borderId="124" xfId="10" applyFont="1" applyFill="1" applyAlignment="1" applyProtection="1">
      <alignment vertical="center" shrinkToFit="1"/>
      <protection locked="0"/>
    </xf>
    <xf numFmtId="179" fontId="51" fillId="4" borderId="124" xfId="10" applyNumberFormat="1" applyFont="1" applyFill="1" applyAlignment="1" applyProtection="1">
      <alignment horizontal="right" vertical="center"/>
      <protection locked="0"/>
    </xf>
    <xf numFmtId="0" fontId="50" fillId="4" borderId="124" xfId="10" applyFont="1" applyFill="1" applyAlignment="1" applyProtection="1">
      <alignment horizontal="center" vertical="center"/>
      <protection locked="0"/>
    </xf>
    <xf numFmtId="15" fontId="50" fillId="4" borderId="135" xfId="10" applyNumberFormat="1" applyFont="1" applyFill="1" applyBorder="1" applyAlignment="1" applyProtection="1">
      <alignment horizontal="center" vertical="center"/>
      <protection locked="0"/>
    </xf>
    <xf numFmtId="0" fontId="50" fillId="4" borderId="135" xfId="10" applyFont="1" applyFill="1" applyBorder="1" applyAlignment="1" applyProtection="1">
      <alignment vertical="center" shrinkToFit="1"/>
      <protection locked="0"/>
    </xf>
    <xf numFmtId="180" fontId="50" fillId="4" borderId="135" xfId="10" applyNumberFormat="1" applyFont="1" applyFill="1" applyBorder="1" applyAlignment="1" applyProtection="1">
      <alignment horizontal="right" vertical="center"/>
      <protection locked="0"/>
    </xf>
    <xf numFmtId="0" fontId="50" fillId="4" borderId="135" xfId="10" applyFont="1" applyFill="1" applyBorder="1" applyAlignment="1" applyProtection="1">
      <alignment horizontal="center" vertical="center"/>
      <protection locked="0"/>
    </xf>
    <xf numFmtId="0" fontId="52" fillId="22" borderId="136" xfId="9" applyFont="1" applyFill="1" applyBorder="1" applyAlignment="1">
      <alignment horizontal="center" vertical="center"/>
    </xf>
    <xf numFmtId="0" fontId="50" fillId="4" borderId="137" xfId="10" applyFont="1" applyFill="1" applyBorder="1" applyAlignment="1" applyProtection="1">
      <alignment horizontal="center" vertical="center"/>
      <protection locked="0"/>
    </xf>
    <xf numFmtId="179" fontId="51" fillId="4" borderId="138" xfId="10" applyNumberFormat="1" applyFont="1" applyFill="1" applyBorder="1" applyAlignment="1" applyProtection="1">
      <alignment horizontal="right" vertical="center"/>
      <protection locked="0"/>
    </xf>
    <xf numFmtId="0" fontId="50" fillId="4" borderId="139" xfId="10" applyFont="1" applyFill="1" applyBorder="1" applyAlignment="1" applyProtection="1">
      <alignment horizontal="center" vertical="center"/>
      <protection locked="0"/>
    </xf>
    <xf numFmtId="180" fontId="50" fillId="4" borderId="140" xfId="10" applyNumberFormat="1" applyFont="1" applyFill="1" applyBorder="1" applyAlignment="1" applyProtection="1">
      <alignment horizontal="right" vertical="center"/>
      <protection locked="0"/>
    </xf>
    <xf numFmtId="0" fontId="50" fillId="4" borderId="141" xfId="10" applyFont="1" applyFill="1" applyBorder="1" applyAlignment="1" applyProtection="1">
      <alignment horizontal="center" vertical="center"/>
      <protection locked="0"/>
    </xf>
    <xf numFmtId="0" fontId="50" fillId="4" borderId="142" xfId="10" applyFont="1" applyFill="1" applyBorder="1" applyAlignment="1" applyProtection="1">
      <alignment horizontal="center" vertical="center"/>
      <protection locked="0"/>
    </xf>
    <xf numFmtId="15" fontId="50" fillId="4" borderId="141" xfId="10" applyNumberFormat="1" applyFont="1" applyFill="1" applyBorder="1" applyAlignment="1" applyProtection="1">
      <alignment horizontal="center" vertical="center"/>
      <protection locked="0"/>
    </xf>
    <xf numFmtId="179" fontId="51" fillId="4" borderId="138" xfId="10" applyNumberFormat="1" applyFont="1" applyFill="1" applyBorder="1" applyAlignment="1" applyProtection="1">
      <alignment horizontal="center" vertical="center"/>
      <protection locked="0"/>
    </xf>
    <xf numFmtId="0" fontId="50" fillId="4" borderId="137" xfId="10" quotePrefix="1" applyFont="1" applyFill="1" applyBorder="1" applyAlignment="1" applyProtection="1">
      <alignment horizontal="center" vertical="center"/>
      <protection locked="0"/>
    </xf>
    <xf numFmtId="15" fontId="50" fillId="4" borderId="124" xfId="10" quotePrefix="1" applyNumberFormat="1" applyFont="1" applyFill="1" applyAlignment="1" applyProtection="1">
      <alignment horizontal="center" vertical="center"/>
      <protection locked="0"/>
    </xf>
    <xf numFmtId="0" fontId="50" fillId="4" borderId="124" xfId="10" quotePrefix="1" applyFont="1" applyFill="1" applyAlignment="1" applyProtection="1">
      <alignment vertical="center" shrinkToFit="1"/>
      <protection locked="0"/>
    </xf>
    <xf numFmtId="179" fontId="51" fillId="4" borderId="124" xfId="10" quotePrefix="1" applyNumberFormat="1" applyFont="1" applyFill="1" applyAlignment="1" applyProtection="1">
      <alignment horizontal="right" vertical="center"/>
      <protection locked="0"/>
    </xf>
    <xf numFmtId="0" fontId="50" fillId="4" borderId="124" xfId="10" quotePrefix="1" applyFont="1" applyFill="1" applyAlignment="1" applyProtection="1">
      <alignment horizontal="center" vertical="center"/>
      <protection locked="0"/>
    </xf>
    <xf numFmtId="0" fontId="50" fillId="4" borderId="141" xfId="10" quotePrefix="1" applyFont="1" applyFill="1" applyBorder="1" applyAlignment="1" applyProtection="1">
      <alignment horizontal="center" vertical="center"/>
      <protection locked="0"/>
    </xf>
    <xf numFmtId="179" fontId="51" fillId="4" borderId="138" xfId="10" quotePrefix="1" applyNumberFormat="1" applyFont="1" applyFill="1" applyBorder="1" applyAlignment="1" applyProtection="1">
      <alignment horizontal="right" vertical="center"/>
      <protection locked="0"/>
    </xf>
    <xf numFmtId="15" fontId="0" fillId="0" borderId="0" xfId="0" applyNumberFormat="1"/>
    <xf numFmtId="167" fontId="28" fillId="13" borderId="83" xfId="0" applyNumberFormat="1" applyFont="1" applyFill="1" applyBorder="1" applyAlignment="1">
      <alignment horizontal="center" vertical="center" wrapText="1"/>
    </xf>
    <xf numFmtId="167" fontId="54" fillId="13" borderId="83" xfId="0" applyNumberFormat="1" applyFont="1" applyFill="1" applyBorder="1" applyAlignment="1">
      <alignment horizontal="center" vertical="center" wrapText="1"/>
    </xf>
    <xf numFmtId="0" fontId="28" fillId="13" borderId="83" xfId="0" applyFont="1" applyFill="1" applyBorder="1" applyAlignment="1">
      <alignment horizontal="left" vertical="top" wrapText="1"/>
    </xf>
    <xf numFmtId="0" fontId="27" fillId="13" borderId="158" xfId="0" applyFont="1" applyFill="1" applyBorder="1" applyAlignment="1">
      <alignment horizontal="left" vertical="center" wrapText="1"/>
    </xf>
    <xf numFmtId="1" fontId="27" fillId="13" borderId="158" xfId="0" applyNumberFormat="1" applyFont="1" applyFill="1" applyBorder="1" applyAlignment="1">
      <alignment horizontal="center" vertical="center" wrapText="1"/>
    </xf>
    <xf numFmtId="0" fontId="27" fillId="13" borderId="158" xfId="0" quotePrefix="1" applyFont="1" applyFill="1" applyBorder="1" applyAlignment="1">
      <alignment horizontal="center" vertical="center" wrapText="1"/>
    </xf>
    <xf numFmtId="0" fontId="27" fillId="13" borderId="159" xfId="0" quotePrefix="1" applyFont="1" applyFill="1" applyBorder="1" applyAlignment="1">
      <alignment horizontal="center" vertical="center" wrapText="1"/>
    </xf>
    <xf numFmtId="177" fontId="27" fillId="13" borderId="160" xfId="0" applyNumberFormat="1" applyFont="1" applyFill="1" applyBorder="1" applyAlignment="1">
      <alignment horizontal="center" vertical="center" wrapText="1"/>
    </xf>
    <xf numFmtId="0" fontId="26" fillId="13" borderId="161" xfId="0" quotePrefix="1" applyFont="1" applyFill="1" applyBorder="1" applyAlignment="1">
      <alignment horizontal="center" vertical="center" wrapText="1"/>
    </xf>
    <xf numFmtId="177" fontId="26" fillId="13" borderId="154" xfId="0" applyNumberFormat="1" applyFont="1" applyFill="1" applyBorder="1" applyAlignment="1">
      <alignment horizontal="center" vertical="center" wrapText="1"/>
    </xf>
    <xf numFmtId="0" fontId="0" fillId="0" borderId="223" xfId="0" applyBorder="1"/>
    <xf numFmtId="0" fontId="0" fillId="0" borderId="57" xfId="0" applyBorder="1"/>
    <xf numFmtId="0" fontId="0" fillId="0" borderId="58" xfId="0" applyBorder="1"/>
    <xf numFmtId="0" fontId="0" fillId="0" borderId="64" xfId="0" applyBorder="1"/>
    <xf numFmtId="0" fontId="0" fillId="0" borderId="63" xfId="0" applyBorder="1"/>
    <xf numFmtId="0" fontId="67" fillId="14" borderId="107" xfId="0" applyFont="1" applyFill="1" applyBorder="1" applyAlignment="1">
      <alignment horizontal="center" vertical="center" wrapText="1"/>
    </xf>
    <xf numFmtId="0" fontId="67" fillId="14" borderId="264" xfId="0" applyFont="1" applyFill="1" applyBorder="1" applyAlignment="1">
      <alignment horizontal="center" vertical="center" wrapText="1"/>
    </xf>
    <xf numFmtId="0" fontId="67" fillId="14" borderId="265" xfId="0" applyFont="1" applyFill="1" applyBorder="1" applyAlignment="1">
      <alignment horizontal="center" vertical="center" wrapText="1"/>
    </xf>
    <xf numFmtId="0" fontId="67" fillId="14" borderId="121" xfId="0" applyFont="1" applyFill="1" applyBorder="1" applyAlignment="1">
      <alignment horizontal="center" vertical="center" wrapText="1"/>
    </xf>
    <xf numFmtId="0" fontId="67" fillId="14" borderId="69" xfId="0" applyFont="1" applyFill="1" applyBorder="1" applyAlignment="1">
      <alignment horizontal="center" vertical="center" wrapText="1"/>
    </xf>
    <xf numFmtId="0" fontId="41" fillId="31" borderId="280" xfId="0" applyFont="1" applyFill="1" applyBorder="1" applyAlignment="1">
      <alignment horizontal="center" vertical="center"/>
    </xf>
    <xf numFmtId="165" fontId="41" fillId="31" borderId="281" xfId="0" applyNumberFormat="1" applyFont="1" applyFill="1" applyBorder="1" applyAlignment="1">
      <alignment vertical="center"/>
    </xf>
    <xf numFmtId="0" fontId="55" fillId="26" borderId="321" xfId="0" applyFont="1" applyFill="1" applyBorder="1" applyAlignment="1">
      <alignment horizontal="centerContinuous" vertical="center"/>
    </xf>
    <xf numFmtId="0" fontId="55" fillId="26" borderId="298" xfId="0" applyFont="1" applyFill="1" applyBorder="1" applyAlignment="1">
      <alignment horizontal="centerContinuous" vertical="center"/>
    </xf>
    <xf numFmtId="0" fontId="55" fillId="26" borderId="299" xfId="0" applyFont="1" applyFill="1" applyBorder="1" applyAlignment="1">
      <alignment horizontal="centerContinuous" vertical="center"/>
    </xf>
    <xf numFmtId="0" fontId="55" fillId="0" borderId="322" xfId="0" applyFont="1" applyBorder="1" applyAlignment="1" applyProtection="1">
      <alignment horizontal="center" vertical="center"/>
      <protection locked="0"/>
    </xf>
    <xf numFmtId="0" fontId="55" fillId="0" borderId="301" xfId="0" applyFont="1" applyBorder="1" applyAlignment="1" applyProtection="1">
      <alignment horizontal="center" vertical="center"/>
      <protection locked="0"/>
    </xf>
    <xf numFmtId="0" fontId="55" fillId="0" borderId="302" xfId="0" applyFont="1" applyBorder="1" applyAlignment="1" applyProtection="1">
      <alignment horizontal="center" vertical="center" wrapText="1"/>
      <protection locked="0"/>
    </xf>
    <xf numFmtId="0" fontId="55" fillId="2" borderId="302" xfId="0" applyFont="1" applyFill="1" applyBorder="1" applyAlignment="1">
      <alignment horizontal="center" vertical="center"/>
    </xf>
    <xf numFmtId="38" fontId="55" fillId="0" borderId="301" xfId="0" applyNumberFormat="1" applyFont="1" applyBorder="1" applyAlignment="1" applyProtection="1">
      <alignment horizontal="center" vertical="center"/>
      <protection locked="0"/>
    </xf>
    <xf numFmtId="10" fontId="55" fillId="2" borderId="302" xfId="2" applyNumberFormat="1" applyFont="1" applyFill="1" applyBorder="1" applyAlignment="1">
      <alignment horizontal="center" vertical="center"/>
    </xf>
    <xf numFmtId="38" fontId="55" fillId="0" borderId="322" xfId="0" applyNumberFormat="1" applyFont="1" applyBorder="1" applyAlignment="1">
      <alignment horizontal="center" vertical="center"/>
    </xf>
    <xf numFmtId="38" fontId="55" fillId="2" borderId="301" xfId="0" applyNumberFormat="1" applyFont="1" applyFill="1" applyBorder="1" applyAlignment="1">
      <alignment horizontal="center" vertical="center"/>
    </xf>
    <xf numFmtId="0" fontId="76" fillId="26" borderId="324" xfId="0" applyFont="1" applyFill="1" applyBorder="1" applyAlignment="1">
      <alignment horizontal="centerContinuous" vertical="center"/>
    </xf>
    <xf numFmtId="0" fontId="76" fillId="26" borderId="325" xfId="0" applyFont="1" applyFill="1" applyBorder="1" applyAlignment="1">
      <alignment horizontal="centerContinuous" vertical="center"/>
    </xf>
    <xf numFmtId="0" fontId="75" fillId="26" borderId="344" xfId="0" applyFont="1" applyFill="1" applyBorder="1" applyAlignment="1">
      <alignment horizontal="centerContinuous" vertical="center"/>
    </xf>
    <xf numFmtId="0" fontId="55" fillId="26" borderId="297" xfId="0" applyFont="1" applyFill="1" applyBorder="1" applyAlignment="1">
      <alignment horizontal="centerContinuous" vertical="center"/>
    </xf>
    <xf numFmtId="38" fontId="55" fillId="0" borderId="303" xfId="0" applyNumberFormat="1" applyFont="1" applyBorder="1" applyAlignment="1" applyProtection="1">
      <alignment horizontal="center" vertical="center"/>
      <protection locked="0"/>
    </xf>
    <xf numFmtId="0" fontId="55" fillId="0" borderId="303" xfId="0" applyFont="1" applyBorder="1" applyAlignment="1" applyProtection="1">
      <alignment horizontal="center" vertical="center"/>
      <protection locked="0"/>
    </xf>
    <xf numFmtId="0" fontId="70" fillId="36" borderId="199" xfId="0" applyFont="1" applyFill="1" applyBorder="1" applyAlignment="1">
      <alignment horizontal="centerContinuous" vertical="center"/>
    </xf>
    <xf numFmtId="0" fontId="70" fillId="36" borderId="187" xfId="0" applyFont="1" applyFill="1" applyBorder="1" applyAlignment="1">
      <alignment horizontal="centerContinuous" vertical="center"/>
    </xf>
    <xf numFmtId="0" fontId="70" fillId="36" borderId="173" xfId="0" applyFont="1" applyFill="1" applyBorder="1" applyAlignment="1">
      <alignment horizontal="centerContinuous" vertical="center"/>
    </xf>
    <xf numFmtId="0" fontId="88" fillId="0" borderId="0" xfId="4" applyFont="1"/>
    <xf numFmtId="0" fontId="92" fillId="0" borderId="0" xfId="4" applyFont="1"/>
    <xf numFmtId="166" fontId="88" fillId="0" borderId="0" xfId="4" applyNumberFormat="1" applyFont="1"/>
    <xf numFmtId="10" fontId="88" fillId="0" borderId="0" xfId="4" applyNumberFormat="1" applyFont="1"/>
    <xf numFmtId="166" fontId="88" fillId="0" borderId="0" xfId="5" applyNumberFormat="1" applyFont="1" applyProtection="1"/>
    <xf numFmtId="0" fontId="88" fillId="0" borderId="0" xfId="4" applyFont="1" applyAlignment="1">
      <alignment horizontal="center" vertical="center"/>
    </xf>
    <xf numFmtId="0" fontId="88" fillId="13" borderId="0" xfId="4" applyFont="1" applyFill="1"/>
    <xf numFmtId="0" fontId="88" fillId="0" borderId="0" xfId="4" applyFont="1" applyAlignment="1">
      <alignment vertical="center"/>
    </xf>
    <xf numFmtId="0" fontId="92" fillId="13" borderId="0" xfId="4" applyFont="1" applyFill="1" applyAlignment="1">
      <alignment vertical="center" wrapText="1"/>
    </xf>
    <xf numFmtId="0" fontId="92" fillId="13" borderId="0" xfId="4" applyFont="1" applyFill="1" applyAlignment="1">
      <alignment horizontal="left" vertical="center" wrapText="1"/>
    </xf>
    <xf numFmtId="0" fontId="92" fillId="0" borderId="0" xfId="11" applyFont="1" applyAlignment="1">
      <alignment vertical="center" wrapText="1"/>
    </xf>
    <xf numFmtId="0" fontId="88" fillId="0" borderId="0" xfId="4" applyFont="1" applyAlignment="1">
      <alignment vertical="center" wrapText="1"/>
    </xf>
    <xf numFmtId="0" fontId="92" fillId="0" borderId="0" xfId="11" applyFont="1" applyAlignment="1">
      <alignment horizontal="left" vertical="center" wrapText="1"/>
    </xf>
    <xf numFmtId="0" fontId="70" fillId="25" borderId="371" xfId="0" applyFont="1" applyFill="1" applyBorder="1" applyAlignment="1">
      <alignment horizontal="centerContinuous" vertical="center"/>
    </xf>
    <xf numFmtId="0" fontId="41" fillId="31" borderId="373" xfId="0" applyFont="1" applyFill="1" applyBorder="1" applyAlignment="1">
      <alignment horizontal="center" vertical="center"/>
    </xf>
    <xf numFmtId="0" fontId="0" fillId="0" borderId="348" xfId="0" applyBorder="1"/>
    <xf numFmtId="0" fontId="0" fillId="0" borderId="349" xfId="0" applyBorder="1"/>
    <xf numFmtId="0" fontId="0" fillId="0" borderId="350" xfId="0" applyBorder="1"/>
    <xf numFmtId="0" fontId="97" fillId="0" borderId="0" xfId="0" applyFont="1"/>
    <xf numFmtId="0" fontId="98" fillId="0" borderId="0" xfId="0" applyFont="1"/>
    <xf numFmtId="9" fontId="97" fillId="0" borderId="0" xfId="2" applyFont="1" applyProtection="1"/>
    <xf numFmtId="0" fontId="97" fillId="0" borderId="0" xfId="2" applyNumberFormat="1" applyFont="1" applyProtection="1"/>
    <xf numFmtId="0" fontId="107" fillId="24" borderId="5" xfId="11" applyFont="1" applyFill="1" applyBorder="1" applyAlignment="1">
      <alignment horizontal="center" vertical="center"/>
    </xf>
    <xf numFmtId="0" fontId="107" fillId="24" borderId="393" xfId="11" applyFont="1" applyFill="1" applyBorder="1" applyAlignment="1">
      <alignment horizontal="center" vertical="center" wrapText="1"/>
    </xf>
    <xf numFmtId="0" fontId="107" fillId="24" borderId="394" xfId="11" applyFont="1" applyFill="1" applyBorder="1" applyAlignment="1">
      <alignment horizontal="center" vertical="center" wrapText="1"/>
    </xf>
    <xf numFmtId="0" fontId="101" fillId="2" borderId="0" xfId="0" applyFont="1" applyFill="1" applyAlignment="1">
      <alignment vertical="center"/>
    </xf>
    <xf numFmtId="0" fontId="108" fillId="24" borderId="5" xfId="11" applyFont="1" applyFill="1" applyBorder="1" applyAlignment="1">
      <alignment horizontal="center" vertical="center"/>
    </xf>
    <xf numFmtId="0" fontId="109" fillId="0" borderId="0" xfId="0" applyFont="1" applyAlignment="1">
      <alignment vertical="center"/>
    </xf>
    <xf numFmtId="0" fontId="113" fillId="2" borderId="0" xfId="0" applyFont="1" applyFill="1" applyAlignment="1">
      <alignment vertical="center"/>
    </xf>
    <xf numFmtId="0" fontId="109" fillId="38" borderId="0" xfId="0" applyFont="1" applyFill="1" applyAlignment="1">
      <alignment horizontal="center" vertical="center" wrapText="1"/>
    </xf>
    <xf numFmtId="0" fontId="98" fillId="0" borderId="0" xfId="11" applyFont="1" applyAlignment="1">
      <alignment vertical="center" wrapText="1"/>
    </xf>
    <xf numFmtId="1" fontId="97" fillId="0" borderId="0" xfId="0" applyNumberFormat="1" applyFont="1"/>
    <xf numFmtId="0" fontId="97" fillId="13" borderId="0" xfId="0" applyFont="1" applyFill="1"/>
    <xf numFmtId="0" fontId="97" fillId="0" borderId="0" xfId="0" applyFont="1" applyAlignment="1">
      <alignment horizontal="center" vertical="center"/>
    </xf>
    <xf numFmtId="0" fontId="98" fillId="0" borderId="0" xfId="11" applyFont="1" applyAlignment="1">
      <alignment horizontal="center" vertical="center" wrapText="1"/>
    </xf>
    <xf numFmtId="0" fontId="97" fillId="0" borderId="0" xfId="0" applyFont="1" applyAlignment="1">
      <alignment vertical="center"/>
    </xf>
    <xf numFmtId="0" fontId="97" fillId="0" borderId="0" xfId="0" applyFont="1" applyAlignment="1">
      <alignment vertical="center" wrapText="1"/>
    </xf>
    <xf numFmtId="0" fontId="97" fillId="0" borderId="84" xfId="0" applyFont="1" applyBorder="1" applyAlignment="1">
      <alignment horizontal="center" vertical="center"/>
    </xf>
    <xf numFmtId="10" fontId="97" fillId="0" borderId="84" xfId="0" applyNumberFormat="1" applyFont="1" applyBorder="1" applyAlignment="1">
      <alignment horizontal="center" vertical="center"/>
    </xf>
    <xf numFmtId="0" fontId="98" fillId="0" borderId="0" xfId="11" applyFont="1" applyAlignment="1">
      <alignment vertical="top" wrapText="1"/>
    </xf>
    <xf numFmtId="0" fontId="97" fillId="0" borderId="403" xfId="0" applyFont="1" applyBorder="1" applyAlignment="1">
      <alignment horizontal="center" vertical="center"/>
    </xf>
    <xf numFmtId="9" fontId="97" fillId="0" borderId="403" xfId="2" applyFont="1" applyFill="1" applyBorder="1" applyAlignment="1" applyProtection="1">
      <alignment horizontal="center" vertical="center"/>
    </xf>
    <xf numFmtId="0" fontId="97" fillId="0" borderId="0" xfId="0" applyFont="1" applyAlignment="1">
      <alignment horizontal="right" vertical="center"/>
    </xf>
    <xf numFmtId="2" fontId="97" fillId="0" borderId="0" xfId="0" applyNumberFormat="1" applyFont="1" applyAlignment="1">
      <alignment vertical="center"/>
    </xf>
    <xf numFmtId="0" fontId="116" fillId="0" borderId="0" xfId="11" applyFont="1" applyAlignment="1">
      <alignment horizontal="center" vertical="center" wrapText="1"/>
    </xf>
    <xf numFmtId="0" fontId="117" fillId="0" borderId="0" xfId="11" applyFont="1" applyAlignment="1">
      <alignment horizontal="center" vertical="center" wrapText="1"/>
    </xf>
    <xf numFmtId="2" fontId="97" fillId="2" borderId="0" xfId="0" applyNumberFormat="1" applyFont="1" applyFill="1" applyAlignment="1">
      <alignment vertical="center"/>
    </xf>
    <xf numFmtId="184" fontId="97" fillId="0" borderId="0" xfId="0" applyNumberFormat="1" applyFont="1"/>
    <xf numFmtId="0" fontId="98" fillId="0" borderId="0" xfId="11" applyFont="1" applyAlignment="1">
      <alignment horizontal="left" vertical="center" wrapText="1"/>
    </xf>
    <xf numFmtId="0" fontId="110" fillId="2" borderId="399" xfId="11" applyFont="1" applyFill="1" applyBorder="1" applyAlignment="1">
      <alignment horizontal="center" vertical="center"/>
    </xf>
    <xf numFmtId="0" fontId="118" fillId="2" borderId="0" xfId="11" applyFont="1" applyFill="1" applyAlignment="1">
      <alignment horizontal="center"/>
    </xf>
    <xf numFmtId="0" fontId="101" fillId="2" borderId="0" xfId="0" applyFont="1" applyFill="1"/>
    <xf numFmtId="0" fontId="118" fillId="0" borderId="0" xfId="11" applyFont="1" applyAlignment="1" applyProtection="1">
      <alignment horizontal="center" vertical="center"/>
      <protection locked="0"/>
    </xf>
    <xf numFmtId="0" fontId="101" fillId="2" borderId="0" xfId="0" applyFont="1" applyFill="1" applyAlignment="1">
      <alignment horizontal="center"/>
    </xf>
    <xf numFmtId="0" fontId="119" fillId="2" borderId="0" xfId="0" applyFont="1" applyFill="1" applyAlignment="1">
      <alignment vertical="center" wrapText="1"/>
    </xf>
    <xf numFmtId="0" fontId="107" fillId="2" borderId="0" xfId="0" applyFont="1" applyFill="1" applyAlignment="1">
      <alignment vertical="center" wrapText="1"/>
    </xf>
    <xf numFmtId="0" fontId="119" fillId="2" borderId="0" xfId="0" applyFont="1" applyFill="1" applyAlignment="1">
      <alignment horizontal="right" vertical="center" wrapText="1"/>
    </xf>
    <xf numFmtId="0" fontId="107" fillId="2" borderId="0" xfId="0" applyFont="1" applyFill="1" applyAlignment="1">
      <alignment horizontal="left" vertical="center" wrapText="1"/>
    </xf>
    <xf numFmtId="0" fontId="122" fillId="0" borderId="76" xfId="0" applyFont="1" applyBorder="1" applyAlignment="1">
      <alignment vertical="center" wrapText="1"/>
    </xf>
    <xf numFmtId="0" fontId="123" fillId="0" borderId="76" xfId="0" applyFont="1" applyBorder="1" applyAlignment="1">
      <alignment vertical="center" wrapText="1"/>
    </xf>
    <xf numFmtId="0" fontId="123" fillId="0" borderId="76" xfId="0" applyFont="1" applyBorder="1" applyAlignment="1">
      <alignment vertical="center"/>
    </xf>
    <xf numFmtId="0" fontId="122" fillId="0" borderId="0" xfId="0" applyFont="1" applyAlignment="1">
      <alignment vertical="center" wrapText="1"/>
    </xf>
    <xf numFmtId="0" fontId="124" fillId="0" borderId="0" xfId="0" applyFont="1" applyAlignment="1">
      <alignment vertical="top" wrapText="1"/>
    </xf>
    <xf numFmtId="0" fontId="97" fillId="0" borderId="0" xfId="0" applyFont="1" applyAlignment="1">
      <alignment vertical="top" wrapText="1"/>
    </xf>
    <xf numFmtId="0" fontId="125" fillId="0" borderId="0" xfId="0" applyFont="1" applyAlignment="1">
      <alignment vertical="center" wrapText="1"/>
    </xf>
    <xf numFmtId="166" fontId="126" fillId="39" borderId="271" xfId="2" applyNumberFormat="1" applyFont="1" applyFill="1" applyBorder="1" applyAlignment="1" applyProtection="1">
      <alignment horizontal="center" vertical="center"/>
    </xf>
    <xf numFmtId="165" fontId="4" fillId="39" borderId="268" xfId="1" applyNumberFormat="1" applyFont="1" applyFill="1" applyBorder="1" applyAlignment="1" applyProtection="1">
      <alignment vertical="center"/>
    </xf>
    <xf numFmtId="15" fontId="0" fillId="0" borderId="0" xfId="0" applyNumberFormat="1" applyAlignment="1">
      <alignment horizontal="center"/>
    </xf>
    <xf numFmtId="0" fontId="37" fillId="14" borderId="223" xfId="0" applyFont="1" applyFill="1" applyBorder="1" applyAlignment="1">
      <alignment horizontal="center" vertical="center" wrapText="1"/>
    </xf>
    <xf numFmtId="0" fontId="37" fillId="14" borderId="420" xfId="0" applyFont="1" applyFill="1" applyBorder="1" applyAlignment="1">
      <alignment horizontal="center" vertical="center" wrapText="1"/>
    </xf>
    <xf numFmtId="0" fontId="0" fillId="0" borderId="5" xfId="0" applyBorder="1" applyAlignment="1">
      <alignment horizontal="center" vertical="center"/>
    </xf>
    <xf numFmtId="0" fontId="4" fillId="0" borderId="223" xfId="0" applyFont="1" applyBorder="1"/>
    <xf numFmtId="0" fontId="4" fillId="0" borderId="57" xfId="0" applyFont="1" applyBorder="1"/>
    <xf numFmtId="0" fontId="4" fillId="0" borderId="58" xfId="0" applyFont="1" applyBorder="1"/>
    <xf numFmtId="0" fontId="0" fillId="19" borderId="399" xfId="0" applyFill="1" applyBorder="1" applyAlignment="1">
      <alignment horizontal="center" vertical="center"/>
    </xf>
    <xf numFmtId="0" fontId="0" fillId="0" borderId="18" xfId="0" applyBorder="1" applyAlignment="1">
      <alignment horizontal="center" vertical="center"/>
    </xf>
    <xf numFmtId="0" fontId="43" fillId="16" borderId="64" xfId="0" applyFont="1" applyFill="1" applyBorder="1" applyAlignment="1">
      <alignment wrapText="1"/>
    </xf>
    <xf numFmtId="0" fontId="43" fillId="16" borderId="0" xfId="0" applyFont="1" applyFill="1" applyAlignment="1">
      <alignment wrapText="1"/>
    </xf>
    <xf numFmtId="0" fontId="43" fillId="16" borderId="63"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6" fontId="0" fillId="0" borderId="348" xfId="0" applyNumberFormat="1" applyBorder="1" applyAlignment="1">
      <alignment wrapText="1"/>
    </xf>
    <xf numFmtId="186" fontId="0" fillId="0" borderId="349" xfId="0" applyNumberFormat="1" applyBorder="1" applyAlignment="1">
      <alignment wrapText="1"/>
    </xf>
    <xf numFmtId="185" fontId="0" fillId="0" borderId="349" xfId="0" applyNumberFormat="1" applyBorder="1" applyAlignment="1">
      <alignment wrapText="1"/>
    </xf>
    <xf numFmtId="185" fontId="0" fillId="0" borderId="350" xfId="0" applyNumberFormat="1" applyBorder="1" applyAlignment="1">
      <alignment wrapText="1"/>
    </xf>
    <xf numFmtId="37" fontId="0" fillId="0" borderId="348" xfId="0" applyNumberFormat="1" applyBorder="1" applyAlignment="1">
      <alignment wrapText="1"/>
    </xf>
    <xf numFmtId="37" fontId="0" fillId="0" borderId="349" xfId="0" applyNumberFormat="1" applyBorder="1" applyAlignment="1">
      <alignment wrapText="1"/>
    </xf>
    <xf numFmtId="38" fontId="0" fillId="0" borderId="349" xfId="0" applyNumberFormat="1" applyBorder="1" applyAlignment="1">
      <alignment wrapText="1"/>
    </xf>
    <xf numFmtId="38" fontId="0" fillId="0" borderId="350" xfId="0" applyNumberFormat="1" applyBorder="1" applyAlignment="1">
      <alignment wrapText="1"/>
    </xf>
    <xf numFmtId="10" fontId="0" fillId="0" borderId="348" xfId="0" applyNumberFormat="1" applyBorder="1" applyAlignment="1">
      <alignment wrapText="1"/>
    </xf>
    <xf numFmtId="10" fontId="0" fillId="0" borderId="349" xfId="0" applyNumberFormat="1" applyBorder="1" applyAlignment="1">
      <alignment wrapText="1"/>
    </xf>
    <xf numFmtId="0" fontId="0" fillId="0" borderId="349" xfId="0" applyBorder="1" applyAlignment="1">
      <alignment wrapText="1"/>
    </xf>
    <xf numFmtId="10" fontId="0" fillId="0" borderId="350" xfId="0" applyNumberFormat="1" applyBorder="1" applyAlignment="1">
      <alignment wrapText="1"/>
    </xf>
    <xf numFmtId="0" fontId="0" fillId="0" borderId="348" xfId="0" applyBorder="1" applyAlignment="1">
      <alignment wrapText="1"/>
    </xf>
    <xf numFmtId="0" fontId="0" fillId="0" borderId="350" xfId="0" applyBorder="1" applyAlignment="1">
      <alignment wrapText="1"/>
    </xf>
    <xf numFmtId="15" fontId="0" fillId="0" borderId="348" xfId="0" applyNumberFormat="1" applyBorder="1" applyAlignment="1">
      <alignment wrapText="1"/>
    </xf>
    <xf numFmtId="15" fontId="0" fillId="0" borderId="349" xfId="0" applyNumberFormat="1" applyBorder="1" applyAlignment="1">
      <alignment wrapText="1"/>
    </xf>
    <xf numFmtId="37" fontId="65" fillId="0" borderId="349" xfId="0" applyNumberFormat="1" applyFont="1" applyBorder="1" applyAlignment="1">
      <alignment wrapText="1"/>
    </xf>
    <xf numFmtId="15" fontId="65" fillId="0" borderId="349" xfId="0" applyNumberFormat="1" applyFont="1" applyBorder="1" applyAlignment="1">
      <alignment wrapText="1"/>
    </xf>
    <xf numFmtId="37" fontId="65" fillId="0" borderId="350" xfId="0" applyNumberFormat="1" applyFont="1" applyBorder="1" applyAlignment="1">
      <alignment wrapText="1"/>
    </xf>
    <xf numFmtId="1" fontId="0" fillId="0" borderId="348" xfId="0" applyNumberFormat="1" applyBorder="1" applyAlignment="1">
      <alignment wrapText="1"/>
    </xf>
    <xf numFmtId="1" fontId="0" fillId="0" borderId="349" xfId="0" applyNumberFormat="1" applyBorder="1" applyAlignment="1">
      <alignment wrapText="1"/>
    </xf>
    <xf numFmtId="38" fontId="0" fillId="0" borderId="348" xfId="0" applyNumberFormat="1" applyBorder="1" applyAlignment="1">
      <alignment wrapText="1"/>
    </xf>
    <xf numFmtId="9" fontId="0" fillId="0" borderId="349" xfId="2" applyFont="1" applyBorder="1" applyAlignment="1">
      <alignment wrapText="1"/>
    </xf>
    <xf numFmtId="0" fontId="55" fillId="28" borderId="364" xfId="0" applyFont="1" applyFill="1" applyBorder="1" applyAlignment="1">
      <alignment horizontal="center" vertical="center" wrapText="1"/>
    </xf>
    <xf numFmtId="0" fontId="55" fillId="28" borderId="367" xfId="0" applyFont="1" applyFill="1" applyBorder="1" applyAlignment="1">
      <alignment horizontal="center" vertical="center" wrapText="1"/>
    </xf>
    <xf numFmtId="0" fontId="55" fillId="28" borderId="229" xfId="0" applyFont="1" applyFill="1" applyBorder="1" applyAlignment="1">
      <alignment horizontal="center" vertical="center" wrapText="1"/>
    </xf>
    <xf numFmtId="0" fontId="55" fillId="28" borderId="230" xfId="0" applyFont="1" applyFill="1" applyBorder="1" applyAlignment="1">
      <alignment horizontal="center" vertical="center" wrapText="1"/>
    </xf>
    <xf numFmtId="0" fontId="55" fillId="28" borderId="247" xfId="0" applyFont="1" applyFill="1" applyBorder="1" applyAlignment="1">
      <alignment horizontal="center" vertical="center" wrapText="1"/>
    </xf>
    <xf numFmtId="0" fontId="83" fillId="29" borderId="234" xfId="0" applyFont="1" applyFill="1" applyBorder="1" applyAlignment="1">
      <alignment horizontal="center" vertical="center" wrapText="1"/>
    </xf>
    <xf numFmtId="0" fontId="83" fillId="2" borderId="237" xfId="0" applyFont="1" applyFill="1" applyBorder="1" applyAlignment="1">
      <alignment horizontal="center" vertical="center" wrapText="1"/>
    </xf>
    <xf numFmtId="0" fontId="83" fillId="29" borderId="237" xfId="0" applyFont="1" applyFill="1" applyBorder="1" applyAlignment="1">
      <alignment horizontal="center" vertical="center" wrapText="1"/>
    </xf>
    <xf numFmtId="0" fontId="83" fillId="2" borderId="249" xfId="0" applyFont="1" applyFill="1" applyBorder="1" applyAlignment="1">
      <alignment horizontal="center" vertical="center" wrapText="1"/>
    </xf>
    <xf numFmtId="0" fontId="83" fillId="29" borderId="235" xfId="0" applyFont="1" applyFill="1" applyBorder="1" applyAlignment="1">
      <alignment horizontal="center" vertical="center" wrapText="1"/>
    </xf>
    <xf numFmtId="0" fontId="83" fillId="2" borderId="238" xfId="0" applyFont="1" applyFill="1" applyBorder="1" applyAlignment="1">
      <alignment horizontal="center" vertical="center" wrapText="1"/>
    </xf>
    <xf numFmtId="0" fontId="83" fillId="29" borderId="238" xfId="0" applyFont="1" applyFill="1" applyBorder="1" applyAlignment="1">
      <alignment horizontal="center" vertical="center" wrapText="1"/>
    </xf>
    <xf numFmtId="0" fontId="83" fillId="2" borderId="250" xfId="0" applyFont="1" applyFill="1" applyBorder="1" applyAlignment="1">
      <alignment horizontal="center" vertical="center" wrapText="1"/>
    </xf>
    <xf numFmtId="0" fontId="55" fillId="28" borderId="184" xfId="0" applyFont="1" applyFill="1" applyBorder="1" applyAlignment="1">
      <alignment horizontal="center" vertical="center" wrapText="1"/>
    </xf>
    <xf numFmtId="0" fontId="55" fillId="28" borderId="151" xfId="0" applyFont="1" applyFill="1" applyBorder="1" applyAlignment="1">
      <alignment horizontal="center" vertical="center" wrapText="1"/>
    </xf>
    <xf numFmtId="0" fontId="55" fillId="28" borderId="257" xfId="0" applyFont="1" applyFill="1" applyBorder="1" applyAlignment="1">
      <alignment horizontal="center" vertical="center" wrapText="1"/>
    </xf>
    <xf numFmtId="0" fontId="55" fillId="28" borderId="240" xfId="0" applyFont="1" applyFill="1" applyBorder="1" applyAlignment="1">
      <alignment horizontal="center" vertical="center" wrapText="1"/>
    </xf>
    <xf numFmtId="0" fontId="55" fillId="28" borderId="259" xfId="0" applyFont="1" applyFill="1" applyBorder="1" applyAlignment="1">
      <alignment horizontal="center" vertical="center" wrapText="1"/>
    </xf>
    <xf numFmtId="0" fontId="127" fillId="27" borderId="321" xfId="0" applyFont="1" applyFill="1" applyBorder="1" applyAlignment="1">
      <alignment horizontal="center" vertical="center" wrapText="1"/>
    </xf>
    <xf numFmtId="0" fontId="127" fillId="27" borderId="298" xfId="0" applyFont="1" applyFill="1" applyBorder="1" applyAlignment="1">
      <alignment horizontal="center" vertical="center" wrapText="1"/>
    </xf>
    <xf numFmtId="0" fontId="127" fillId="27" borderId="299" xfId="0" applyFont="1" applyFill="1" applyBorder="1" applyAlignment="1">
      <alignment horizontal="center" vertical="center" wrapText="1"/>
    </xf>
    <xf numFmtId="0" fontId="70" fillId="36" borderId="167" xfId="0" applyFont="1" applyFill="1" applyBorder="1" applyAlignment="1">
      <alignment horizontal="centerContinuous" vertical="center"/>
    </xf>
    <xf numFmtId="0" fontId="67" fillId="36" borderId="0" xfId="0" applyFont="1" applyFill="1" applyAlignment="1">
      <alignment horizontal="centerContinuous" vertical="center"/>
    </xf>
    <xf numFmtId="0" fontId="70" fillId="36" borderId="0" xfId="0" applyFont="1" applyFill="1" applyAlignment="1">
      <alignment horizontal="centerContinuous" vertical="center"/>
    </xf>
    <xf numFmtId="0" fontId="67" fillId="36" borderId="366" xfId="0" applyFont="1" applyFill="1" applyBorder="1" applyAlignment="1">
      <alignment horizontal="centerContinuous" vertical="center"/>
    </xf>
    <xf numFmtId="0" fontId="55" fillId="27" borderId="168" xfId="0" applyFont="1" applyFill="1" applyBorder="1" applyAlignment="1">
      <alignment horizontal="center" vertical="center" wrapText="1"/>
    </xf>
    <xf numFmtId="0" fontId="55" fillId="27" borderId="183" xfId="0" applyFont="1" applyFill="1" applyBorder="1" applyAlignment="1">
      <alignment horizontal="center" vertical="center" wrapText="1"/>
    </xf>
    <xf numFmtId="0" fontId="55" fillId="27" borderId="388" xfId="0" applyFont="1" applyFill="1" applyBorder="1" applyAlignment="1">
      <alignment horizontal="center" vertical="center" wrapText="1"/>
    </xf>
    <xf numFmtId="0" fontId="75" fillId="26" borderId="378" xfId="0" applyFont="1" applyFill="1" applyBorder="1" applyAlignment="1">
      <alignment horizontal="centerContinuous" vertical="center"/>
    </xf>
    <xf numFmtId="0" fontId="76" fillId="26" borderId="208" xfId="0" applyFont="1" applyFill="1" applyBorder="1" applyAlignment="1">
      <alignment horizontal="centerContinuous" vertical="center"/>
    </xf>
    <xf numFmtId="0" fontId="76" fillId="26" borderId="319" xfId="0" applyFont="1" applyFill="1" applyBorder="1" applyAlignment="1">
      <alignment horizontal="centerContinuous" vertical="center"/>
    </xf>
    <xf numFmtId="0" fontId="76" fillId="26" borderId="429" xfId="0" applyFont="1" applyFill="1" applyBorder="1" applyAlignment="1">
      <alignment horizontal="centerContinuous" vertical="center"/>
    </xf>
    <xf numFmtId="0" fontId="55" fillId="27" borderId="121" xfId="0" applyFont="1" applyFill="1" applyBorder="1" applyAlignment="1">
      <alignment horizontal="centerContinuous"/>
    </xf>
    <xf numFmtId="0" fontId="67" fillId="24" borderId="202" xfId="0" applyFont="1" applyFill="1" applyBorder="1" applyAlignment="1">
      <alignment horizontal="center" vertical="center" wrapText="1"/>
    </xf>
    <xf numFmtId="0" fontId="55" fillId="27" borderId="189" xfId="0" applyFont="1" applyFill="1" applyBorder="1" applyAlignment="1">
      <alignment horizontal="centerContinuous"/>
    </xf>
    <xf numFmtId="0" fontId="55" fillId="27" borderId="0" xfId="0" applyFont="1" applyFill="1" applyAlignment="1">
      <alignment horizontal="centerContinuous"/>
    </xf>
    <xf numFmtId="0" fontId="55" fillId="27" borderId="210" xfId="0" applyFont="1" applyFill="1" applyBorder="1" applyAlignment="1">
      <alignment horizontal="centerContinuous"/>
    </xf>
    <xf numFmtId="0" fontId="67" fillId="24" borderId="200" xfId="0" applyFont="1" applyFill="1" applyBorder="1" applyAlignment="1">
      <alignment horizontal="center" vertical="center" wrapText="1"/>
    </xf>
    <xf numFmtId="0" fontId="76" fillId="26" borderId="209" xfId="0" applyFont="1" applyFill="1" applyBorder="1" applyAlignment="1">
      <alignment horizontal="centerContinuous" vertical="center"/>
    </xf>
    <xf numFmtId="0" fontId="75" fillId="26" borderId="0" xfId="0" applyFont="1" applyFill="1" applyAlignment="1">
      <alignment horizontal="centerContinuous" vertical="center"/>
    </xf>
    <xf numFmtId="0" fontId="70" fillId="25" borderId="150" xfId="0" applyFont="1" applyFill="1" applyBorder="1" applyAlignment="1">
      <alignment horizontal="centerContinuous" vertical="center"/>
    </xf>
    <xf numFmtId="0" fontId="57" fillId="25" borderId="193" xfId="0" applyFont="1" applyFill="1" applyBorder="1" applyAlignment="1">
      <alignment horizontal="centerContinuous" vertical="center"/>
    </xf>
    <xf numFmtId="0" fontId="59" fillId="25" borderId="193" xfId="0" applyFont="1" applyFill="1" applyBorder="1" applyAlignment="1">
      <alignment horizontal="centerContinuous" vertical="center"/>
    </xf>
    <xf numFmtId="0" fontId="57" fillId="25" borderId="374" xfId="0" applyFont="1" applyFill="1" applyBorder="1" applyAlignment="1">
      <alignment horizontal="centerContinuous" vertical="center"/>
    </xf>
    <xf numFmtId="0" fontId="55" fillId="37" borderId="212" xfId="0" applyFont="1" applyFill="1" applyBorder="1" applyAlignment="1">
      <alignment horizontal="center" vertical="center" wrapText="1"/>
    </xf>
    <xf numFmtId="0" fontId="55" fillId="37" borderId="148" xfId="0" applyFont="1" applyFill="1" applyBorder="1" applyAlignment="1">
      <alignment horizontal="center" vertical="center" wrapText="1"/>
    </xf>
    <xf numFmtId="0" fontId="55" fillId="37" borderId="244" xfId="0" applyFont="1" applyFill="1" applyBorder="1" applyAlignment="1">
      <alignment horizontal="center" vertical="center" wrapText="1"/>
    </xf>
    <xf numFmtId="0" fontId="75" fillId="0" borderId="444" xfId="0" applyFont="1" applyBorder="1" applyAlignment="1">
      <alignment horizontal="center" vertical="center" wrapText="1"/>
    </xf>
    <xf numFmtId="43" fontId="0" fillId="0" borderId="349" xfId="1" applyFont="1" applyBorder="1" applyAlignment="1">
      <alignment wrapText="1"/>
    </xf>
    <xf numFmtId="10" fontId="0" fillId="0" borderId="349" xfId="2" applyNumberFormat="1" applyFont="1" applyBorder="1" applyAlignment="1">
      <alignment wrapText="1"/>
    </xf>
    <xf numFmtId="0" fontId="76" fillId="0" borderId="410" xfId="0" applyFont="1" applyBorder="1" applyAlignment="1">
      <alignment horizontal="center" vertical="center"/>
    </xf>
    <xf numFmtId="185" fontId="69" fillId="0" borderId="298" xfId="0" applyNumberFormat="1" applyFont="1" applyBorder="1" applyAlignment="1">
      <alignment horizontal="center" vertical="center"/>
    </xf>
    <xf numFmtId="0" fontId="76" fillId="0" borderId="298" xfId="0" applyFont="1" applyBorder="1" applyAlignment="1">
      <alignment horizontal="center" vertical="center" wrapText="1"/>
    </xf>
    <xf numFmtId="0" fontId="76" fillId="0" borderId="298" xfId="0" applyFont="1" applyBorder="1" applyAlignment="1">
      <alignment horizontal="center" vertical="center"/>
    </xf>
    <xf numFmtId="185" fontId="76" fillId="0" borderId="298" xfId="0" applyNumberFormat="1" applyFont="1" applyBorder="1" applyAlignment="1">
      <alignment horizontal="center" vertical="center"/>
    </xf>
    <xf numFmtId="1" fontId="76" fillId="0" borderId="390" xfId="0" applyNumberFormat="1" applyFont="1" applyBorder="1" applyAlignment="1">
      <alignment horizontal="center" vertical="center"/>
    </xf>
    <xf numFmtId="0" fontId="76" fillId="0" borderId="391" xfId="0" applyFont="1" applyBorder="1" applyAlignment="1">
      <alignment horizontal="center" vertical="center"/>
    </xf>
    <xf numFmtId="0" fontId="77" fillId="16" borderId="375" xfId="0" applyFont="1" applyFill="1" applyBorder="1" applyAlignment="1">
      <alignment vertical="center"/>
    </xf>
    <xf numFmtId="0" fontId="79" fillId="16" borderId="79" xfId="0" applyFont="1" applyFill="1" applyBorder="1" applyAlignment="1">
      <alignment vertical="center"/>
    </xf>
    <xf numFmtId="0" fontId="79" fillId="16" borderId="376" xfId="0" applyFont="1" applyFill="1" applyBorder="1" applyAlignment="1">
      <alignment vertical="center"/>
    </xf>
    <xf numFmtId="0" fontId="70" fillId="25" borderId="225" xfId="0" applyFont="1" applyFill="1" applyBorder="1" applyAlignment="1">
      <alignment horizontal="centerContinuous" vertical="center"/>
    </xf>
    <xf numFmtId="0" fontId="70" fillId="25" borderId="163" xfId="0" applyFont="1" applyFill="1" applyBorder="1" applyAlignment="1">
      <alignment horizontal="centerContinuous" vertical="center"/>
    </xf>
    <xf numFmtId="0" fontId="70" fillId="25" borderId="156" xfId="0" applyFont="1" applyFill="1" applyBorder="1" applyAlignment="1">
      <alignment horizontal="centerContinuous" vertical="center"/>
    </xf>
    <xf numFmtId="0" fontId="70" fillId="25" borderId="157" xfId="0" applyFont="1" applyFill="1" applyBorder="1" applyAlignment="1">
      <alignment horizontal="centerContinuous" vertical="center"/>
    </xf>
    <xf numFmtId="0" fontId="70" fillId="25" borderId="151" xfId="0" applyFont="1" applyFill="1" applyBorder="1" applyAlignment="1">
      <alignment horizontal="centerContinuous" vertical="center"/>
    </xf>
    <xf numFmtId="0" fontId="70" fillId="25" borderId="377" xfId="0" applyFont="1" applyFill="1" applyBorder="1" applyAlignment="1">
      <alignment horizontal="centerContinuous" vertical="center"/>
    </xf>
    <xf numFmtId="0" fontId="0" fillId="0" borderId="366" xfId="0" applyBorder="1"/>
    <xf numFmtId="174" fontId="55" fillId="0" borderId="295" xfId="0" applyNumberFormat="1" applyFont="1" applyBorder="1" applyAlignment="1">
      <alignment horizontal="center"/>
    </xf>
    <xf numFmtId="174" fontId="55" fillId="0" borderId="295" xfId="0" applyNumberFormat="1" applyFont="1" applyBorder="1" applyAlignment="1">
      <alignment horizontal="center" vertical="center"/>
    </xf>
    <xf numFmtId="174" fontId="55" fillId="0" borderId="340" xfId="0" applyNumberFormat="1" applyFont="1" applyBorder="1" applyAlignment="1">
      <alignment horizontal="center" vertical="center"/>
    </xf>
    <xf numFmtId="174" fontId="0" fillId="0" borderId="366" xfId="0" applyNumberFormat="1" applyBorder="1"/>
    <xf numFmtId="174" fontId="75" fillId="11" borderId="343" xfId="1" applyNumberFormat="1" applyFont="1" applyFill="1" applyBorder="1" applyAlignment="1" applyProtection="1">
      <alignment horizontal="center" vertical="center"/>
    </xf>
    <xf numFmtId="174" fontId="55" fillId="0" borderId="298" xfId="0" applyNumberFormat="1" applyFont="1" applyBorder="1" applyAlignment="1">
      <alignment horizontal="center"/>
    </xf>
    <xf numFmtId="174" fontId="55" fillId="0" borderId="298" xfId="0" applyNumberFormat="1" applyFont="1" applyBorder="1" applyAlignment="1">
      <alignment horizontal="center" vertical="center"/>
    </xf>
    <xf numFmtId="174" fontId="55" fillId="0" borderId="341" xfId="0" applyNumberFormat="1" applyFont="1" applyBorder="1" applyAlignment="1">
      <alignment horizontal="center" vertical="center"/>
    </xf>
    <xf numFmtId="174" fontId="56" fillId="26" borderId="177" xfId="1" applyNumberFormat="1" applyFont="1" applyFill="1" applyBorder="1" applyAlignment="1" applyProtection="1">
      <alignment horizontal="center"/>
    </xf>
    <xf numFmtId="0" fontId="70" fillId="25" borderId="337" xfId="0" applyFont="1" applyFill="1" applyBorder="1" applyAlignment="1">
      <alignment horizontal="centerContinuous" vertical="center"/>
    </xf>
    <xf numFmtId="0" fontId="67" fillId="25" borderId="331" xfId="0" applyFont="1" applyFill="1" applyBorder="1" applyAlignment="1">
      <alignment horizontal="centerContinuous" vertical="center"/>
    </xf>
    <xf numFmtId="0" fontId="67" fillId="25" borderId="338" xfId="0" applyFont="1" applyFill="1" applyBorder="1" applyAlignment="1">
      <alignment horizontal="centerContinuous" vertical="center"/>
    </xf>
    <xf numFmtId="0" fontId="67" fillId="25" borderId="339" xfId="0" applyFont="1" applyFill="1" applyBorder="1" applyAlignment="1">
      <alignment horizontal="centerContinuous" vertical="center"/>
    </xf>
    <xf numFmtId="0" fontId="67" fillId="25" borderId="183" xfId="0" applyFont="1" applyFill="1" applyBorder="1" applyAlignment="1">
      <alignment horizontal="centerContinuous" vertical="center"/>
    </xf>
    <xf numFmtId="0" fontId="67" fillId="25" borderId="323" xfId="0" applyFont="1" applyFill="1" applyBorder="1" applyAlignment="1">
      <alignment horizontal="center" vertical="center"/>
    </xf>
    <xf numFmtId="37" fontId="75" fillId="0" borderId="0" xfId="1" applyNumberFormat="1" applyFont="1" applyFill="1" applyBorder="1" applyAlignment="1" applyProtection="1">
      <alignment horizontal="center" vertical="center"/>
    </xf>
    <xf numFmtId="37" fontId="76" fillId="0" borderId="185" xfId="0" applyNumberFormat="1" applyFont="1" applyBorder="1" applyAlignment="1">
      <alignment horizontal="center" vertical="center"/>
    </xf>
    <xf numFmtId="0" fontId="60" fillId="0" borderId="0" xfId="0" applyFont="1" applyAlignment="1">
      <alignment vertical="center"/>
    </xf>
    <xf numFmtId="0" fontId="58" fillId="0" borderId="243" xfId="0" applyFont="1" applyBorder="1" applyAlignment="1">
      <alignment vertical="center"/>
    </xf>
    <xf numFmtId="37" fontId="58" fillId="0" borderId="149" xfId="0" applyNumberFormat="1" applyFont="1" applyBorder="1" applyAlignment="1">
      <alignment vertical="center"/>
    </xf>
    <xf numFmtId="37" fontId="60" fillId="0" borderId="219" xfId="0" applyNumberFormat="1" applyFont="1" applyBorder="1" applyAlignment="1">
      <alignment vertical="center"/>
    </xf>
    <xf numFmtId="37" fontId="76" fillId="0" borderId="186" xfId="0" applyNumberFormat="1" applyFont="1" applyBorder="1" applyAlignment="1">
      <alignment horizontal="center" vertical="center"/>
    </xf>
    <xf numFmtId="165" fontId="60" fillId="0" borderId="0" xfId="0" applyNumberFormat="1" applyFont="1" applyAlignment="1">
      <alignment vertical="center"/>
    </xf>
    <xf numFmtId="37" fontId="0" fillId="0" borderId="221" xfId="0" applyNumberFormat="1" applyBorder="1" applyAlignment="1">
      <alignment vertical="center"/>
    </xf>
    <xf numFmtId="174" fontId="56" fillId="26" borderId="165" xfId="1" applyNumberFormat="1" applyFont="1" applyFill="1" applyBorder="1" applyAlignment="1" applyProtection="1">
      <alignment horizontal="center"/>
    </xf>
    <xf numFmtId="174" fontId="56" fillId="26" borderId="180" xfId="1" applyNumberFormat="1" applyFont="1" applyFill="1" applyBorder="1" applyAlignment="1" applyProtection="1">
      <alignment horizontal="center"/>
    </xf>
    <xf numFmtId="0" fontId="58" fillId="0" borderId="152" xfId="0" applyFont="1" applyBorder="1" applyAlignment="1">
      <alignment vertical="center"/>
    </xf>
    <xf numFmtId="167" fontId="76" fillId="0" borderId="186" xfId="0" applyNumberFormat="1" applyFont="1" applyBorder="1" applyAlignment="1">
      <alignment horizontal="center" vertical="center"/>
    </xf>
    <xf numFmtId="37" fontId="58" fillId="0" borderId="147" xfId="0" applyNumberFormat="1" applyFont="1" applyBorder="1" applyAlignment="1">
      <alignment vertical="center"/>
    </xf>
    <xf numFmtId="167" fontId="4" fillId="0" borderId="221" xfId="0" applyNumberFormat="1" applyFont="1" applyBorder="1" applyAlignment="1">
      <alignment vertical="center"/>
    </xf>
    <xf numFmtId="174" fontId="55" fillId="0" borderId="301" xfId="0" applyNumberFormat="1" applyFont="1" applyBorder="1" applyAlignment="1">
      <alignment horizontal="center"/>
    </xf>
    <xf numFmtId="174" fontId="55" fillId="0" borderId="301" xfId="0" applyNumberFormat="1" applyFont="1" applyBorder="1" applyAlignment="1">
      <alignment horizontal="center" vertical="center"/>
    </xf>
    <xf numFmtId="174" fontId="55" fillId="0" borderId="342" xfId="0" applyNumberFormat="1" applyFont="1" applyBorder="1" applyAlignment="1">
      <alignment horizontal="center" vertical="center"/>
    </xf>
    <xf numFmtId="9" fontId="75" fillId="0" borderId="0" xfId="2" applyFont="1" applyFill="1" applyBorder="1" applyAlignment="1" applyProtection="1">
      <alignment horizontal="center" vertical="center"/>
    </xf>
    <xf numFmtId="37" fontId="0" fillId="0" borderId="150" xfId="0" applyNumberFormat="1" applyBorder="1" applyAlignment="1">
      <alignment vertical="center"/>
    </xf>
    <xf numFmtId="9" fontId="75" fillId="0" borderId="220" xfId="2" applyFont="1" applyFill="1" applyBorder="1" applyAlignment="1" applyProtection="1">
      <alignment horizontal="center" vertical="center"/>
    </xf>
    <xf numFmtId="38" fontId="76" fillId="0" borderId="318" xfId="0" applyNumberFormat="1" applyFont="1" applyBorder="1" applyAlignment="1">
      <alignment horizontal="center" vertical="center"/>
    </xf>
    <xf numFmtId="0" fontId="58" fillId="0" borderId="222" xfId="0" applyFont="1" applyBorder="1" applyAlignment="1">
      <alignment vertical="center"/>
    </xf>
    <xf numFmtId="0" fontId="60" fillId="0" borderId="222" xfId="0" applyFont="1" applyBorder="1" applyAlignment="1">
      <alignment vertical="center"/>
    </xf>
    <xf numFmtId="38" fontId="0" fillId="0" borderId="222" xfId="0" applyNumberFormat="1" applyBorder="1" applyAlignment="1">
      <alignment vertical="center"/>
    </xf>
    <xf numFmtId="38" fontId="0" fillId="0" borderId="332" xfId="0" applyNumberFormat="1" applyBorder="1" applyAlignment="1">
      <alignment vertical="center"/>
    </xf>
    <xf numFmtId="0" fontId="55" fillId="0" borderId="320" xfId="0" applyFont="1" applyBorder="1" applyAlignment="1">
      <alignment horizontal="centerContinuous" vertical="center" wrapText="1"/>
    </xf>
    <xf numFmtId="0" fontId="55" fillId="0" borderId="295" xfId="0" applyFont="1" applyBorder="1" applyAlignment="1">
      <alignment horizontal="centerContinuous" vertical="center" wrapText="1"/>
    </xf>
    <xf numFmtId="0" fontId="55" fillId="0" borderId="295" xfId="0" applyFont="1" applyBorder="1" applyAlignment="1">
      <alignment horizontal="centerContinuous" vertical="center"/>
    </xf>
    <xf numFmtId="0" fontId="55" fillId="0" borderId="296" xfId="0" applyFont="1" applyBorder="1" applyAlignment="1">
      <alignment horizontal="centerContinuous" vertical="center" wrapText="1"/>
    </xf>
    <xf numFmtId="0" fontId="56" fillId="26" borderId="80" xfId="0" applyFont="1" applyFill="1" applyBorder="1" applyAlignment="1">
      <alignment horizontal="center" vertical="center" wrapText="1"/>
    </xf>
    <xf numFmtId="0" fontId="56" fillId="26" borderId="78" xfId="0" applyFont="1" applyFill="1" applyBorder="1" applyAlignment="1">
      <alignment horizontal="center" vertical="center" wrapText="1"/>
    </xf>
    <xf numFmtId="0" fontId="56" fillId="26" borderId="72" xfId="0" applyFont="1" applyFill="1" applyBorder="1" applyAlignment="1">
      <alignment horizontal="center" vertical="center" wrapText="1"/>
    </xf>
    <xf numFmtId="1" fontId="55" fillId="0" borderId="322" xfId="0" applyNumberFormat="1" applyFont="1" applyBorder="1" applyAlignment="1">
      <alignment horizontal="center" vertical="center"/>
    </xf>
    <xf numFmtId="0" fontId="55" fillId="0" borderId="301" xfId="0" applyFont="1" applyBorder="1" applyAlignment="1">
      <alignment horizontal="center" vertical="center"/>
    </xf>
    <xf numFmtId="1" fontId="55" fillId="0" borderId="301" xfId="0" applyNumberFormat="1" applyFont="1" applyBorder="1" applyAlignment="1">
      <alignment horizontal="center" vertical="center"/>
    </xf>
    <xf numFmtId="0" fontId="55" fillId="0" borderId="329" xfId="0" applyFont="1" applyBorder="1" applyAlignment="1">
      <alignment horizontal="center" vertical="center"/>
    </xf>
    <xf numFmtId="1" fontId="55" fillId="0" borderId="204" xfId="0" applyNumberFormat="1" applyFont="1" applyBorder="1" applyAlignment="1">
      <alignment horizontal="center" vertical="center"/>
    </xf>
    <xf numFmtId="0" fontId="55" fillId="0" borderId="204" xfId="0" applyFont="1" applyBorder="1" applyAlignment="1">
      <alignment horizontal="center" vertical="center"/>
    </xf>
    <xf numFmtId="1" fontId="60" fillId="0" borderId="0" xfId="0" applyNumberFormat="1" applyFont="1" applyAlignment="1">
      <alignment horizontal="center"/>
    </xf>
    <xf numFmtId="0" fontId="55" fillId="26" borderId="180" xfId="0" applyFont="1" applyFill="1" applyBorder="1" applyAlignment="1">
      <alignment horizontal="centerContinuous" vertical="center"/>
    </xf>
    <xf numFmtId="0" fontId="55" fillId="26" borderId="183" xfId="0" applyFont="1" applyFill="1" applyBorder="1" applyAlignment="1">
      <alignment horizontal="centerContinuous" vertical="center"/>
    </xf>
    <xf numFmtId="0" fontId="56" fillId="27" borderId="326" xfId="0" applyFont="1" applyFill="1" applyBorder="1" applyAlignment="1">
      <alignment horizontal="left" vertical="center" wrapText="1"/>
    </xf>
    <xf numFmtId="0" fontId="55" fillId="27" borderId="327" xfId="0" applyFont="1" applyFill="1" applyBorder="1" applyAlignment="1">
      <alignment horizontal="center" vertical="center"/>
    </xf>
    <xf numFmtId="0" fontId="55" fillId="27" borderId="328" xfId="0" applyFont="1" applyFill="1" applyBorder="1" applyAlignment="1">
      <alignment horizontal="center" vertical="center"/>
    </xf>
    <xf numFmtId="0" fontId="127" fillId="28" borderId="321" xfId="0" applyFont="1" applyFill="1" applyBorder="1" applyAlignment="1">
      <alignment horizontal="left" vertical="center" wrapText="1"/>
    </xf>
    <xf numFmtId="0" fontId="55" fillId="0" borderId="298" xfId="0" applyFont="1" applyBorder="1" applyAlignment="1">
      <alignment horizontal="center" vertical="center"/>
    </xf>
    <xf numFmtId="0" fontId="55" fillId="0" borderId="299" xfId="0" applyFont="1" applyBorder="1" applyAlignment="1">
      <alignment horizontal="center" vertical="center"/>
    </xf>
    <xf numFmtId="0" fontId="55" fillId="26" borderId="382" xfId="0" applyFont="1" applyFill="1" applyBorder="1" applyAlignment="1">
      <alignment horizontal="centerContinuous" vertical="center"/>
    </xf>
    <xf numFmtId="38" fontId="55" fillId="0" borderId="384" xfId="0" applyNumberFormat="1" applyFont="1" applyBorder="1" applyAlignment="1">
      <alignment horizontal="center" vertical="center"/>
    </xf>
    <xf numFmtId="38" fontId="55" fillId="0" borderId="301" xfId="0" applyNumberFormat="1" applyFont="1" applyBorder="1" applyAlignment="1">
      <alignment horizontal="center" vertical="center"/>
    </xf>
    <xf numFmtId="10" fontId="55" fillId="2" borderId="302" xfId="2" applyNumberFormat="1" applyFont="1" applyFill="1" applyBorder="1" applyAlignment="1" applyProtection="1">
      <alignment horizontal="center" vertical="center"/>
    </xf>
    <xf numFmtId="0" fontId="127" fillId="28" borderId="322" xfId="0" applyFont="1" applyFill="1" applyBorder="1" applyAlignment="1">
      <alignment horizontal="left" vertical="center" wrapText="1"/>
    </xf>
    <xf numFmtId="0" fontId="55" fillId="0" borderId="302" xfId="0" applyFont="1" applyBorder="1" applyAlignment="1">
      <alignment horizontal="center" vertical="center"/>
    </xf>
    <xf numFmtId="0" fontId="55" fillId="0" borderId="384" xfId="0" applyFont="1" applyBorder="1" applyAlignment="1">
      <alignment horizontal="center" vertical="center"/>
    </xf>
    <xf numFmtId="0" fontId="55" fillId="0" borderId="322" xfId="0" applyFont="1" applyBorder="1" applyAlignment="1">
      <alignment horizontal="center" vertical="center"/>
    </xf>
    <xf numFmtId="0" fontId="55" fillId="0" borderId="302" xfId="0" applyFont="1" applyBorder="1" applyAlignment="1">
      <alignment horizontal="center" vertical="center" wrapText="1"/>
    </xf>
    <xf numFmtId="0" fontId="55" fillId="0" borderId="180" xfId="0" applyFont="1" applyBorder="1" applyAlignment="1">
      <alignment horizontal="center" vertical="center"/>
    </xf>
    <xf numFmtId="0" fontId="55" fillId="0" borderId="183" xfId="0" applyFont="1" applyBorder="1" applyAlignment="1">
      <alignment horizontal="center" vertical="center"/>
    </xf>
    <xf numFmtId="0" fontId="55" fillId="0" borderId="323" xfId="0" applyFont="1" applyBorder="1" applyAlignment="1">
      <alignment horizontal="center" vertical="center"/>
    </xf>
    <xf numFmtId="0" fontId="77" fillId="16" borderId="336" xfId="0" applyFont="1" applyFill="1" applyBorder="1" applyAlignment="1">
      <alignment vertical="center"/>
    </xf>
    <xf numFmtId="0" fontId="70" fillId="16" borderId="108" xfId="0" applyFont="1" applyFill="1" applyBorder="1" applyAlignment="1">
      <alignment horizontal="centerContinuous" vertical="center"/>
    </xf>
    <xf numFmtId="0" fontId="70" fillId="16" borderId="379" xfId="0" applyFont="1" applyFill="1" applyBorder="1" applyAlignment="1">
      <alignment horizontal="centerContinuous" vertical="center"/>
    </xf>
    <xf numFmtId="0" fontId="59" fillId="25" borderId="116" xfId="0" applyFont="1" applyFill="1" applyBorder="1" applyAlignment="1">
      <alignment horizontal="centerContinuous" vertical="center"/>
    </xf>
    <xf numFmtId="0" fontId="67" fillId="25" borderId="108" xfId="0" applyFont="1" applyFill="1" applyBorder="1" applyAlignment="1">
      <alignment horizontal="centerContinuous" vertical="center"/>
    </xf>
    <xf numFmtId="0" fontId="67" fillId="25" borderId="379" xfId="0" applyFont="1" applyFill="1" applyBorder="1" applyAlignment="1">
      <alignment horizontal="centerContinuous" vertical="center"/>
    </xf>
    <xf numFmtId="0" fontId="55" fillId="26" borderId="345" xfId="0" quotePrefix="1" applyFont="1" applyFill="1" applyBorder="1" applyAlignment="1">
      <alignment horizontal="center" vertical="center" wrapText="1"/>
    </xf>
    <xf numFmtId="0" fontId="55" fillId="26" borderId="345" xfId="0" applyFont="1" applyFill="1" applyBorder="1" applyAlignment="1">
      <alignment horizontal="center" vertical="center" wrapText="1"/>
    </xf>
    <xf numFmtId="0" fontId="55" fillId="26" borderId="389" xfId="0" applyFont="1" applyFill="1" applyBorder="1" applyAlignment="1">
      <alignment horizontal="center" vertical="center" wrapText="1"/>
    </xf>
    <xf numFmtId="0" fontId="59" fillId="16" borderId="360" xfId="0" applyFont="1" applyFill="1" applyBorder="1" applyAlignment="1">
      <alignment horizontal="centerContinuous" vertical="center"/>
    </xf>
    <xf numFmtId="0" fontId="10" fillId="16" borderId="360" xfId="0" applyFont="1" applyFill="1" applyBorder="1" applyAlignment="1">
      <alignment vertical="center"/>
    </xf>
    <xf numFmtId="15" fontId="10" fillId="16" borderId="360" xfId="0" applyNumberFormat="1" applyFont="1" applyFill="1" applyBorder="1" applyAlignment="1">
      <alignment vertical="center"/>
    </xf>
    <xf numFmtId="0" fontId="60" fillId="16" borderId="360" xfId="0" applyFont="1" applyFill="1" applyBorder="1" applyAlignment="1">
      <alignment vertical="center"/>
    </xf>
    <xf numFmtId="0" fontId="81" fillId="16" borderId="360" xfId="0" applyFont="1" applyFill="1" applyBorder="1" applyAlignment="1">
      <alignment vertical="center"/>
    </xf>
    <xf numFmtId="15" fontId="81" fillId="16" borderId="203" xfId="0" applyNumberFormat="1" applyFont="1" applyFill="1" applyBorder="1" applyAlignment="1">
      <alignment vertical="center"/>
    </xf>
    <xf numFmtId="15" fontId="81" fillId="0" borderId="361" xfId="0" applyNumberFormat="1" applyFont="1" applyBorder="1" applyAlignment="1">
      <alignment vertical="center"/>
    </xf>
    <xf numFmtId="0" fontId="70" fillId="25" borderId="362" xfId="0" applyFont="1" applyFill="1" applyBorder="1" applyAlignment="1">
      <alignment horizontal="centerContinuous" vertical="center"/>
    </xf>
    <xf numFmtId="0" fontId="85" fillId="25" borderId="190" xfId="0" applyFont="1" applyFill="1" applyBorder="1" applyAlignment="1">
      <alignment horizontal="centerContinuous" vertical="top" wrapText="1"/>
    </xf>
    <xf numFmtId="0" fontId="85" fillId="25" borderId="191" xfId="0" applyFont="1" applyFill="1" applyBorder="1" applyAlignment="1">
      <alignment horizontal="centerContinuous" vertical="top" wrapText="1"/>
    </xf>
    <xf numFmtId="0" fontId="70" fillId="25" borderId="206" xfId="0" applyFont="1" applyFill="1" applyBorder="1" applyAlignment="1">
      <alignment horizontal="centerContinuous" vertical="center"/>
    </xf>
    <xf numFmtId="0" fontId="85" fillId="25" borderId="169" xfId="0" applyFont="1" applyFill="1" applyBorder="1" applyAlignment="1">
      <alignment horizontal="centerContinuous" vertical="center" wrapText="1"/>
    </xf>
    <xf numFmtId="0" fontId="85" fillId="25" borderId="214" xfId="0" applyFont="1" applyFill="1" applyBorder="1" applyAlignment="1">
      <alignment horizontal="centerContinuous" vertical="center" wrapText="1"/>
    </xf>
    <xf numFmtId="0" fontId="70" fillId="25" borderId="192" xfId="0" applyFont="1" applyFill="1" applyBorder="1" applyAlignment="1">
      <alignment horizontal="centerContinuous" vertical="center"/>
    </xf>
    <xf numFmtId="0" fontId="85" fillId="25" borderId="190" xfId="0" applyFont="1" applyFill="1" applyBorder="1" applyAlignment="1">
      <alignment horizontal="centerContinuous" vertical="center" wrapText="1"/>
    </xf>
    <xf numFmtId="0" fontId="86" fillId="25" borderId="194" xfId="0" applyFont="1" applyFill="1" applyBorder="1" applyAlignment="1">
      <alignment horizontal="centerContinuous" vertical="center"/>
    </xf>
    <xf numFmtId="0" fontId="70" fillId="25" borderId="194" xfId="0" applyFont="1" applyFill="1" applyBorder="1" applyAlignment="1">
      <alignment horizontal="centerContinuous" vertical="center"/>
    </xf>
    <xf numFmtId="0" fontId="86" fillId="0" borderId="363" xfId="0" applyFont="1" applyBorder="1" applyAlignment="1">
      <alignment horizontal="centerContinuous" vertical="center"/>
    </xf>
    <xf numFmtId="0" fontId="71" fillId="0" borderId="0" xfId="0" applyFont="1" applyAlignment="1">
      <alignment vertical="center"/>
    </xf>
    <xf numFmtId="0" fontId="75" fillId="2" borderId="225" xfId="0" applyFont="1" applyFill="1" applyBorder="1" applyAlignment="1">
      <alignment horizontal="centerContinuous" vertical="center" wrapText="1"/>
    </xf>
    <xf numFmtId="0" fontId="55" fillId="2" borderId="163" xfId="0" applyFont="1" applyFill="1" applyBorder="1" applyAlignment="1">
      <alignment horizontal="centerContinuous" vertical="center"/>
    </xf>
    <xf numFmtId="0" fontId="41" fillId="2" borderId="163" xfId="0" applyFont="1" applyFill="1" applyBorder="1" applyAlignment="1">
      <alignment horizontal="centerContinuous" vertical="center"/>
    </xf>
    <xf numFmtId="0" fontId="41" fillId="2" borderId="226" xfId="0" applyFont="1" applyFill="1" applyBorder="1" applyAlignment="1">
      <alignment horizontal="centerContinuous" vertical="center"/>
    </xf>
    <xf numFmtId="167" fontId="56" fillId="30" borderId="235" xfId="0" applyNumberFormat="1" applyFont="1" applyFill="1" applyBorder="1" applyAlignment="1">
      <alignment horizontal="center" vertical="center"/>
    </xf>
    <xf numFmtId="173" fontId="56" fillId="30" borderId="235" xfId="0" applyNumberFormat="1" applyFont="1" applyFill="1" applyBorder="1" applyAlignment="1">
      <alignment horizontal="center" vertical="center"/>
    </xf>
    <xf numFmtId="167" fontId="56" fillId="30" borderId="236" xfId="0" applyNumberFormat="1" applyFont="1" applyFill="1" applyBorder="1" applyAlignment="1">
      <alignment horizontal="center" vertical="center"/>
    </xf>
    <xf numFmtId="10" fontId="55" fillId="2" borderId="241" xfId="0" applyNumberFormat="1" applyFont="1" applyFill="1" applyBorder="1" applyAlignment="1">
      <alignment horizontal="center" vertical="center"/>
    </xf>
    <xf numFmtId="167" fontId="56" fillId="2" borderId="238" xfId="0" applyNumberFormat="1" applyFont="1" applyFill="1" applyBorder="1" applyAlignment="1">
      <alignment horizontal="center" vertical="center"/>
    </xf>
    <xf numFmtId="173" fontId="56" fillId="2" borderId="238" xfId="0" applyNumberFormat="1" applyFont="1" applyFill="1" applyBorder="1" applyAlignment="1">
      <alignment horizontal="center" vertical="center"/>
    </xf>
    <xf numFmtId="167" fontId="56" fillId="2" borderId="239" xfId="0" applyNumberFormat="1" applyFont="1" applyFill="1" applyBorder="1" applyAlignment="1">
      <alignment horizontal="center" vertical="center"/>
    </xf>
    <xf numFmtId="10" fontId="55" fillId="2" borderId="242" xfId="0" applyNumberFormat="1" applyFont="1" applyFill="1" applyBorder="1" applyAlignment="1">
      <alignment horizontal="center" vertical="center"/>
    </xf>
    <xf numFmtId="0" fontId="73" fillId="23" borderId="245" xfId="0" applyFont="1" applyFill="1" applyBorder="1" applyAlignment="1">
      <alignment horizontal="center" vertical="center" wrapText="1"/>
    </xf>
    <xf numFmtId="167" fontId="56" fillId="30" borderId="238" xfId="0" applyNumberFormat="1" applyFont="1" applyFill="1" applyBorder="1" applyAlignment="1">
      <alignment horizontal="center" vertical="center"/>
    </xf>
    <xf numFmtId="173" fontId="56" fillId="30" borderId="238" xfId="0" applyNumberFormat="1" applyFont="1" applyFill="1" applyBorder="1" applyAlignment="1">
      <alignment horizontal="center" vertical="center"/>
    </xf>
    <xf numFmtId="167" fontId="56" fillId="30" borderId="239" xfId="0" applyNumberFormat="1" applyFont="1" applyFill="1" applyBorder="1" applyAlignment="1">
      <alignment horizontal="center" vertical="center"/>
    </xf>
    <xf numFmtId="178" fontId="56" fillId="2" borderId="242" xfId="0" applyNumberFormat="1" applyFont="1" applyFill="1" applyBorder="1" applyAlignment="1">
      <alignment horizontal="center" vertical="center"/>
    </xf>
    <xf numFmtId="167" fontId="56" fillId="2" borderId="250" xfId="0" applyNumberFormat="1" applyFont="1" applyFill="1" applyBorder="1" applyAlignment="1">
      <alignment horizontal="center" vertical="center"/>
    </xf>
    <xf numFmtId="173" fontId="56" fillId="2" borderId="250" xfId="0" applyNumberFormat="1" applyFont="1" applyFill="1" applyBorder="1" applyAlignment="1">
      <alignment horizontal="center" vertical="center"/>
    </xf>
    <xf numFmtId="169" fontId="56" fillId="2" borderId="251" xfId="0" applyNumberFormat="1" applyFont="1" applyFill="1" applyBorder="1" applyAlignment="1">
      <alignment horizontal="center" vertical="center"/>
    </xf>
    <xf numFmtId="0" fontId="73" fillId="23" borderId="261" xfId="0" applyFont="1" applyFill="1" applyBorder="1" applyAlignment="1">
      <alignment horizontal="center" vertical="center" wrapText="1"/>
    </xf>
    <xf numFmtId="0" fontId="0" fillId="0" borderId="369" xfId="0" applyBorder="1"/>
    <xf numFmtId="0" fontId="77" fillId="16" borderId="370" xfId="0" applyFont="1" applyFill="1" applyBorder="1" applyAlignment="1">
      <alignment horizontal="left" vertical="center"/>
    </xf>
    <xf numFmtId="0" fontId="79" fillId="16" borderId="203" xfId="0" applyFont="1" applyFill="1" applyBorder="1" applyAlignment="1">
      <alignment horizontal="left" vertical="center"/>
    </xf>
    <xf numFmtId="0" fontId="79" fillId="16" borderId="361" xfId="0" applyFont="1" applyFill="1" applyBorder="1" applyAlignment="1">
      <alignment horizontal="left" vertical="center"/>
    </xf>
    <xf numFmtId="0" fontId="80" fillId="0" borderId="0" xfId="0" applyFont="1" applyAlignment="1">
      <alignment vertical="center"/>
    </xf>
    <xf numFmtId="0" fontId="80" fillId="0" borderId="0" xfId="0" applyFont="1" applyAlignment="1">
      <alignment horizontal="center"/>
    </xf>
    <xf numFmtId="0" fontId="80" fillId="0" borderId="0" xfId="0" applyFont="1"/>
    <xf numFmtId="0" fontId="85" fillId="25" borderId="151" xfId="0" applyFont="1" applyFill="1" applyBorder="1" applyAlignment="1">
      <alignment horizontal="centerContinuous" vertical="center" wrapText="1"/>
    </xf>
    <xf numFmtId="0" fontId="70" fillId="25" borderId="226" xfId="0" applyFont="1" applyFill="1" applyBorder="1" applyAlignment="1">
      <alignment horizontal="centerContinuous" vertical="center"/>
    </xf>
    <xf numFmtId="0" fontId="78" fillId="0" borderId="0" xfId="0" applyFont="1" applyAlignment="1">
      <alignment horizontal="center" vertical="center"/>
    </xf>
    <xf numFmtId="0" fontId="71" fillId="0" borderId="0" xfId="0" applyFont="1"/>
    <xf numFmtId="0" fontId="75" fillId="0" borderId="207" xfId="0" applyFont="1" applyBorder="1" applyAlignment="1">
      <alignment horizontal="centerContinuous" vertical="center" wrapText="1"/>
    </xf>
    <xf numFmtId="0" fontId="75" fillId="0" borderId="208" xfId="0" applyFont="1" applyBorder="1" applyAlignment="1">
      <alignment horizontal="centerContinuous" vertical="center" wrapText="1"/>
    </xf>
    <xf numFmtId="0" fontId="75" fillId="0" borderId="209" xfId="0" applyFont="1" applyBorder="1" applyAlignment="1">
      <alignment horizontal="centerContinuous" vertical="center" wrapText="1"/>
    </xf>
    <xf numFmtId="0" fontId="60" fillId="0" borderId="366" xfId="0" applyFont="1" applyBorder="1" applyAlignment="1">
      <alignment vertical="center"/>
    </xf>
    <xf numFmtId="0" fontId="60" fillId="0" borderId="0" xfId="0" applyFont="1"/>
    <xf numFmtId="0" fontId="35" fillId="14" borderId="447" xfId="0" applyFont="1" applyFill="1" applyBorder="1" applyAlignment="1">
      <alignment horizontal="center" vertical="center" wrapText="1"/>
    </xf>
    <xf numFmtId="0" fontId="35" fillId="14" borderId="448" xfId="0" applyFont="1" applyFill="1" applyBorder="1" applyAlignment="1">
      <alignment horizontal="center" vertical="center" wrapText="1"/>
    </xf>
    <xf numFmtId="0" fontId="35" fillId="14" borderId="265" xfId="0" applyFont="1" applyFill="1" applyBorder="1" applyAlignment="1">
      <alignment horizontal="center" vertical="center" wrapText="1"/>
    </xf>
    <xf numFmtId="0" fontId="35" fillId="14" borderId="121" xfId="0" applyFont="1" applyFill="1" applyBorder="1" applyAlignment="1">
      <alignment horizontal="center" vertical="center" wrapText="1"/>
    </xf>
    <xf numFmtId="166" fontId="35" fillId="14" borderId="121" xfId="0" applyNumberFormat="1" applyFont="1" applyFill="1" applyBorder="1" applyAlignment="1">
      <alignment horizontal="center" vertical="center" wrapText="1"/>
    </xf>
    <xf numFmtId="0" fontId="35" fillId="14" borderId="176" xfId="0" applyFont="1" applyFill="1" applyBorder="1" applyAlignment="1">
      <alignment horizontal="center" vertical="center" wrapText="1"/>
    </xf>
    <xf numFmtId="0" fontId="67" fillId="14" borderId="74" xfId="0" applyFont="1" applyFill="1" applyBorder="1" applyAlignment="1">
      <alignment horizontal="center" vertical="center" wrapText="1"/>
    </xf>
    <xf numFmtId="166" fontId="64" fillId="2" borderId="451" xfId="2" applyNumberFormat="1" applyFont="1" applyFill="1" applyBorder="1" applyAlignment="1" applyProtection="1">
      <alignment horizontal="center" vertical="center"/>
    </xf>
    <xf numFmtId="165" fontId="65" fillId="0" borderId="454" xfId="1" applyNumberFormat="1" applyFont="1" applyFill="1" applyBorder="1" applyAlignment="1" applyProtection="1">
      <alignment horizontal="center" vertical="center"/>
    </xf>
    <xf numFmtId="166" fontId="65" fillId="2" borderId="273" xfId="2" applyNumberFormat="1" applyFont="1" applyFill="1" applyBorder="1" applyAlignment="1" applyProtection="1">
      <alignment horizontal="center" vertical="center"/>
    </xf>
    <xf numFmtId="166" fontId="65" fillId="2" borderId="274" xfId="2" applyNumberFormat="1" applyFont="1" applyFill="1" applyBorder="1" applyAlignment="1" applyProtection="1">
      <alignment horizontal="center" vertical="center"/>
    </xf>
    <xf numFmtId="166" fontId="64" fillId="2" borderId="20" xfId="2" applyNumberFormat="1" applyFont="1" applyFill="1" applyBorder="1" applyAlignment="1" applyProtection="1">
      <alignment horizontal="center" vertical="center"/>
    </xf>
    <xf numFmtId="2" fontId="65" fillId="2" borderId="278" xfId="2" applyNumberFormat="1" applyFont="1" applyFill="1" applyBorder="1" applyAlignment="1" applyProtection="1">
      <alignment horizontal="center" vertical="center"/>
    </xf>
    <xf numFmtId="166" fontId="64" fillId="2" borderId="267" xfId="2" applyNumberFormat="1" applyFont="1" applyFill="1" applyBorder="1" applyAlignment="1" applyProtection="1">
      <alignment horizontal="center" vertical="center"/>
    </xf>
    <xf numFmtId="165" fontId="65" fillId="0" borderId="418" xfId="1" applyNumberFormat="1" applyFont="1" applyFill="1" applyBorder="1" applyAlignment="1" applyProtection="1">
      <alignment horizontal="center" vertical="center"/>
    </xf>
    <xf numFmtId="166" fontId="65" fillId="2" borderId="266" xfId="2" applyNumberFormat="1" applyFont="1" applyFill="1" applyBorder="1" applyAlignment="1" applyProtection="1">
      <alignment horizontal="center" vertical="center"/>
    </xf>
    <xf numFmtId="166" fontId="65" fillId="2" borderId="267" xfId="2" applyNumberFormat="1" applyFont="1" applyFill="1" applyBorder="1" applyAlignment="1" applyProtection="1">
      <alignment horizontal="center" vertical="center"/>
    </xf>
    <xf numFmtId="0" fontId="0" fillId="0" borderId="366" xfId="0" applyBorder="1" applyAlignment="1">
      <alignment vertical="center"/>
    </xf>
    <xf numFmtId="166" fontId="64" fillId="2" borderId="272" xfId="2" applyNumberFormat="1" applyFont="1" applyFill="1" applyBorder="1" applyAlignment="1" applyProtection="1">
      <alignment horizontal="center" vertical="center"/>
    </xf>
    <xf numFmtId="165" fontId="65" fillId="0" borderId="164" xfId="1" applyNumberFormat="1" applyFont="1" applyFill="1" applyBorder="1" applyAlignment="1" applyProtection="1">
      <alignment horizontal="center" vertical="center"/>
    </xf>
    <xf numFmtId="166" fontId="65" fillId="2" borderId="275" xfId="2" applyNumberFormat="1" applyFont="1" applyFill="1" applyBorder="1" applyAlignment="1" applyProtection="1">
      <alignment horizontal="center" vertical="center"/>
    </xf>
    <xf numFmtId="166" fontId="65" fillId="2" borderId="276" xfId="2" applyNumberFormat="1" applyFont="1" applyFill="1" applyBorder="1" applyAlignment="1" applyProtection="1">
      <alignment horizontal="center" vertical="center"/>
    </xf>
    <xf numFmtId="166" fontId="64" fillId="2" borderId="26" xfId="2" applyNumberFormat="1" applyFont="1" applyFill="1" applyBorder="1" applyAlignment="1" applyProtection="1">
      <alignment horizontal="center" vertical="center"/>
    </xf>
    <xf numFmtId="2" fontId="65" fillId="2" borderId="164" xfId="2" applyNumberFormat="1" applyFont="1" applyFill="1" applyBorder="1" applyAlignment="1" applyProtection="1">
      <alignment horizontal="center" vertical="center"/>
    </xf>
    <xf numFmtId="166" fontId="64" fillId="2" borderId="270" xfId="2" applyNumberFormat="1" applyFont="1" applyFill="1" applyBorder="1" applyAlignment="1" applyProtection="1">
      <alignment horizontal="center" vertical="center"/>
    </xf>
    <xf numFmtId="165" fontId="65" fillId="0" borderId="417" xfId="1" applyNumberFormat="1" applyFont="1" applyFill="1" applyBorder="1" applyAlignment="1" applyProtection="1">
      <alignment horizontal="center" vertical="center"/>
    </xf>
    <xf numFmtId="166" fontId="65" fillId="2" borderId="269" xfId="2" applyNumberFormat="1" applyFont="1" applyFill="1" applyBorder="1" applyAlignment="1" applyProtection="1">
      <alignment horizontal="center" vertical="center"/>
    </xf>
    <xf numFmtId="166" fontId="65" fillId="2" borderId="270" xfId="2" applyNumberFormat="1" applyFont="1" applyFill="1" applyBorder="1" applyAlignment="1" applyProtection="1">
      <alignment horizontal="center" vertical="center"/>
    </xf>
    <xf numFmtId="3" fontId="35" fillId="0" borderId="0" xfId="0" applyNumberFormat="1" applyFont="1" applyAlignment="1">
      <alignment vertical="center"/>
    </xf>
    <xf numFmtId="3" fontId="35" fillId="0" borderId="0" xfId="0" applyNumberFormat="1" applyFont="1" applyAlignment="1">
      <alignment horizontal="center" vertical="center"/>
    </xf>
    <xf numFmtId="43" fontId="0" fillId="0" borderId="0" xfId="1" applyFont="1" applyProtection="1"/>
    <xf numFmtId="165" fontId="65" fillId="0" borderId="279" xfId="1" applyNumberFormat="1" applyFont="1" applyFill="1" applyBorder="1" applyAlignment="1" applyProtection="1">
      <alignment horizontal="center" vertical="center"/>
    </xf>
    <xf numFmtId="165" fontId="65" fillId="0" borderId="419" xfId="1" applyNumberFormat="1" applyFont="1" applyFill="1" applyBorder="1" applyAlignment="1" applyProtection="1">
      <alignment horizontal="center" vertical="center"/>
    </xf>
    <xf numFmtId="43" fontId="0" fillId="0" borderId="0" xfId="0" applyNumberFormat="1"/>
    <xf numFmtId="165" fontId="65" fillId="0" borderId="270" xfId="1" applyNumberFormat="1" applyFont="1" applyFill="1" applyBorder="1" applyAlignment="1" applyProtection="1">
      <alignment horizontal="center" vertical="center"/>
    </xf>
    <xf numFmtId="166" fontId="64" fillId="2" borderId="14" xfId="2" applyNumberFormat="1" applyFont="1" applyFill="1" applyBorder="1" applyAlignment="1" applyProtection="1">
      <alignment horizontal="center" vertical="center"/>
    </xf>
    <xf numFmtId="165" fontId="65" fillId="0" borderId="269"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87" fillId="31" borderId="280" xfId="0" applyNumberFormat="1" applyFont="1" applyFill="1" applyBorder="1" applyAlignment="1">
      <alignment horizontal="center" vertical="center"/>
    </xf>
    <xf numFmtId="165" fontId="62" fillId="31" borderId="283" xfId="0" applyNumberFormat="1" applyFont="1" applyFill="1" applyBorder="1" applyAlignment="1">
      <alignment vertical="center"/>
    </xf>
    <xf numFmtId="165" fontId="62" fillId="31" borderId="285" xfId="0" applyNumberFormat="1" applyFont="1" applyFill="1" applyBorder="1" applyAlignment="1">
      <alignment vertical="center"/>
    </xf>
    <xf numFmtId="165" fontId="41" fillId="31" borderId="286" xfId="0" applyNumberFormat="1" applyFont="1" applyFill="1" applyBorder="1" applyAlignment="1">
      <alignment vertical="center"/>
    </xf>
    <xf numFmtId="10" fontId="62" fillId="31" borderId="286" xfId="2" applyNumberFormat="1" applyFont="1" applyFill="1" applyBorder="1" applyAlignment="1" applyProtection="1">
      <alignment horizontal="center" vertical="center"/>
    </xf>
    <xf numFmtId="10" fontId="62" fillId="31" borderId="287" xfId="2" applyNumberFormat="1" applyFont="1" applyFill="1" applyBorder="1" applyAlignment="1" applyProtection="1">
      <alignment horizontal="center" vertical="center"/>
    </xf>
    <xf numFmtId="10" fontId="87" fillId="31" borderId="288" xfId="0" applyNumberFormat="1" applyFont="1" applyFill="1" applyBorder="1" applyAlignment="1">
      <alignment horizontal="center" vertical="center"/>
    </xf>
    <xf numFmtId="2" fontId="62" fillId="31" borderId="289" xfId="2" applyNumberFormat="1" applyFont="1" applyFill="1" applyBorder="1" applyAlignment="1" applyProtection="1">
      <alignment horizontal="center" vertical="center"/>
    </xf>
    <xf numFmtId="165" fontId="41" fillId="31" borderId="280" xfId="0" applyNumberFormat="1" applyFont="1" applyFill="1" applyBorder="1" applyAlignment="1">
      <alignment vertical="center"/>
    </xf>
    <xf numFmtId="166" fontId="87" fillId="31" borderId="282" xfId="0" applyNumberFormat="1" applyFont="1" applyFill="1" applyBorder="1" applyAlignment="1">
      <alignment horizontal="center" vertical="center"/>
    </xf>
    <xf numFmtId="165" fontId="62" fillId="31" borderId="280" xfId="0" applyNumberFormat="1" applyFont="1" applyFill="1" applyBorder="1" applyAlignment="1">
      <alignment vertical="center"/>
    </xf>
    <xf numFmtId="10" fontId="62" fillId="31" borderId="284" xfId="2" applyNumberFormat="1" applyFont="1" applyFill="1" applyBorder="1" applyAlignment="1" applyProtection="1">
      <alignment horizontal="center" vertical="center"/>
    </xf>
    <xf numFmtId="10" fontId="62" fillId="31" borderId="285" xfId="0" applyNumberFormat="1" applyFont="1" applyFill="1" applyBorder="1" applyAlignment="1">
      <alignment horizontal="center" vertical="center"/>
    </xf>
    <xf numFmtId="165" fontId="62" fillId="31" borderId="290" xfId="1" applyNumberFormat="1" applyFont="1" applyFill="1" applyBorder="1" applyAlignment="1" applyProtection="1">
      <alignment vertical="center"/>
    </xf>
    <xf numFmtId="165" fontId="62" fillId="31" borderId="291" xfId="1" applyNumberFormat="1" applyFont="1" applyFill="1" applyBorder="1" applyAlignment="1" applyProtection="1">
      <alignment vertical="center"/>
    </xf>
    <xf numFmtId="0" fontId="41" fillId="0" borderId="0" xfId="0" applyFont="1"/>
    <xf numFmtId="0" fontId="41" fillId="0" borderId="366" xfId="0" applyFont="1" applyBorder="1"/>
    <xf numFmtId="0" fontId="41" fillId="0" borderId="0" xfId="0" applyFont="1" applyAlignment="1">
      <alignment vertical="center"/>
    </xf>
    <xf numFmtId="0" fontId="60" fillId="0" borderId="369" xfId="0" applyFont="1" applyBorder="1" applyAlignment="1">
      <alignment vertical="center"/>
    </xf>
    <xf numFmtId="0" fontId="60" fillId="0" borderId="449" xfId="0" applyFont="1" applyBorder="1" applyAlignment="1">
      <alignment vertical="center"/>
    </xf>
    <xf numFmtId="0" fontId="60" fillId="0" borderId="220" xfId="0" applyFont="1" applyBorder="1" applyAlignment="1">
      <alignment vertical="center"/>
    </xf>
    <xf numFmtId="0" fontId="60" fillId="0" borderId="450" xfId="0" applyFont="1" applyBorder="1" applyAlignment="1">
      <alignment vertical="center"/>
    </xf>
    <xf numFmtId="0" fontId="61" fillId="15" borderId="0" xfId="0" applyFont="1" applyFill="1" applyAlignment="1">
      <alignment horizontal="center" vertical="center"/>
    </xf>
    <xf numFmtId="0" fontId="0" fillId="2" borderId="0" xfId="0" applyFill="1"/>
    <xf numFmtId="0" fontId="0" fillId="2" borderId="366" xfId="0" applyFill="1" applyBorder="1"/>
    <xf numFmtId="0" fontId="66" fillId="0" borderId="369" xfId="0" applyFont="1" applyBorder="1" applyAlignment="1">
      <alignment vertical="center"/>
    </xf>
    <xf numFmtId="0" fontId="66" fillId="0" borderId="0" xfId="0" applyFont="1" applyAlignment="1">
      <alignment vertical="center"/>
    </xf>
    <xf numFmtId="0" fontId="0" fillId="2" borderId="205" xfId="0" applyFill="1" applyBorder="1"/>
    <xf numFmtId="0" fontId="61" fillId="16" borderId="0" xfId="0" applyFont="1" applyFill="1" applyAlignment="1">
      <alignment horizontal="center" vertical="center"/>
    </xf>
    <xf numFmtId="0" fontId="61" fillId="14" borderId="0" xfId="0" applyFont="1" applyFill="1" applyAlignment="1">
      <alignment horizontal="center" vertical="center"/>
    </xf>
    <xf numFmtId="0" fontId="60" fillId="16" borderId="0" xfId="0" applyFont="1" applyFill="1"/>
    <xf numFmtId="0" fontId="60" fillId="0" borderId="0" xfId="0" applyFont="1" applyAlignment="1">
      <alignment horizontal="center" vertical="center"/>
    </xf>
    <xf numFmtId="0" fontId="60" fillId="0" borderId="205" xfId="0" applyFont="1" applyBorder="1" applyAlignment="1">
      <alignment vertical="center"/>
    </xf>
    <xf numFmtId="165" fontId="41" fillId="0" borderId="0" xfId="1" applyNumberFormat="1" applyFont="1" applyBorder="1" applyAlignment="1" applyProtection="1">
      <alignment vertical="center"/>
    </xf>
    <xf numFmtId="0" fontId="60" fillId="0" borderId="293" xfId="0" applyFont="1" applyBorder="1" applyAlignment="1">
      <alignment vertical="center"/>
    </xf>
    <xf numFmtId="0" fontId="76" fillId="0" borderId="0" xfId="0" applyFont="1"/>
    <xf numFmtId="0" fontId="76" fillId="0" borderId="0" xfId="0" applyFont="1" applyAlignment="1">
      <alignment vertical="center"/>
    </xf>
    <xf numFmtId="0" fontId="72" fillId="0" borderId="0" xfId="0" applyFont="1"/>
    <xf numFmtId="0" fontId="7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2" fillId="27" borderId="298" xfId="0" applyFont="1" applyFill="1" applyBorder="1" applyAlignment="1">
      <alignment horizontal="center" vertical="center" wrapText="1"/>
    </xf>
    <xf numFmtId="0" fontId="55" fillId="0" borderId="408" xfId="0" applyFont="1" applyBorder="1" applyAlignment="1">
      <alignment horizontal="center" vertical="center"/>
    </xf>
    <xf numFmtId="0" fontId="55" fillId="0" borderId="459" xfId="0" applyFont="1" applyBorder="1" applyAlignment="1">
      <alignment horizontal="center" vertical="center"/>
    </xf>
    <xf numFmtId="0" fontId="69" fillId="0" borderId="320" xfId="0" applyFont="1" applyBorder="1" applyAlignment="1">
      <alignment horizontal="center" vertical="center"/>
    </xf>
    <xf numFmtId="2" fontId="69" fillId="0" borderId="295" xfId="0" applyNumberFormat="1" applyFont="1" applyBorder="1" applyAlignment="1">
      <alignment horizontal="center" vertical="center"/>
    </xf>
    <xf numFmtId="0" fontId="69" fillId="0" borderId="321" xfId="0" applyFont="1" applyBorder="1" applyAlignment="1">
      <alignment horizontal="center" vertical="center"/>
    </xf>
    <xf numFmtId="2" fontId="69" fillId="0" borderId="298" xfId="0" applyNumberFormat="1" applyFont="1" applyBorder="1" applyAlignment="1">
      <alignment horizontal="center" vertical="center"/>
    </xf>
    <xf numFmtId="0" fontId="0" fillId="0" borderId="463" xfId="0" applyBorder="1"/>
    <xf numFmtId="0" fontId="0" fillId="0" borderId="464" xfId="0" applyBorder="1"/>
    <xf numFmtId="0" fontId="0" fillId="0" borderId="465" xfId="0" applyBorder="1"/>
    <xf numFmtId="0" fontId="0" fillId="0" borderId="466" xfId="0" applyBorder="1"/>
    <xf numFmtId="9" fontId="69" fillId="2" borderId="258" xfId="2" applyFont="1" applyFill="1" applyBorder="1" applyAlignment="1">
      <alignment horizontal="center" vertical="center"/>
    </xf>
    <xf numFmtId="38" fontId="33" fillId="2" borderId="425" xfId="0" applyNumberFormat="1" applyFont="1" applyFill="1" applyBorder="1" applyAlignment="1">
      <alignment horizontal="center" vertical="center"/>
    </xf>
    <xf numFmtId="0" fontId="130" fillId="16" borderId="130" xfId="0" applyFont="1" applyFill="1" applyBorder="1" applyAlignment="1">
      <alignment horizontal="center" vertical="center" wrapText="1"/>
    </xf>
    <xf numFmtId="4" fontId="0" fillId="0" borderId="0" xfId="0" applyNumberFormat="1"/>
    <xf numFmtId="165" fontId="0" fillId="35" borderId="268" xfId="1" applyNumberFormat="1" applyFont="1" applyFill="1" applyBorder="1" applyAlignment="1" applyProtection="1">
      <alignment vertical="center"/>
    </xf>
    <xf numFmtId="166" fontId="64" fillId="35" borderId="271" xfId="2" applyNumberFormat="1" applyFont="1" applyFill="1" applyBorder="1" applyAlignment="1" applyProtection="1">
      <alignment horizontal="center" vertical="center"/>
    </xf>
    <xf numFmtId="0" fontId="0" fillId="35" borderId="0" xfId="0" applyFill="1"/>
    <xf numFmtId="10" fontId="4" fillId="39" borderId="268" xfId="2" applyNumberFormat="1" applyFont="1" applyFill="1" applyBorder="1" applyAlignment="1" applyProtection="1">
      <alignment horizontal="center" vertical="center"/>
    </xf>
    <xf numFmtId="10" fontId="0" fillId="35" borderId="268" xfId="2" applyNumberFormat="1" applyFont="1" applyFill="1" applyBorder="1" applyAlignment="1" applyProtection="1">
      <alignment horizontal="center" vertical="center"/>
    </xf>
    <xf numFmtId="0" fontId="31" fillId="18" borderId="0" xfId="0" applyFont="1" applyFill="1" applyAlignment="1">
      <alignment horizontal="center" vertical="center"/>
    </xf>
    <xf numFmtId="10" fontId="0" fillId="0" borderId="0" xfId="2" applyNumberFormat="1" applyFont="1"/>
    <xf numFmtId="43" fontId="65" fillId="0" borderId="24" xfId="1" applyFont="1" applyFill="1" applyBorder="1" applyAlignment="1" applyProtection="1">
      <alignment horizontal="center" vertical="center"/>
    </xf>
    <xf numFmtId="0" fontId="83" fillId="35" borderId="320" xfId="0" applyFont="1" applyFill="1" applyBorder="1" applyAlignment="1">
      <alignment horizontal="center" vertical="center" wrapText="1"/>
    </xf>
    <xf numFmtId="167" fontId="68" fillId="35" borderId="295" xfId="0" applyNumberFormat="1" applyFont="1" applyFill="1" applyBorder="1" applyAlignment="1">
      <alignment horizontal="center" vertical="center" wrapText="1"/>
    </xf>
    <xf numFmtId="177" fontId="82" fillId="35" borderId="457" xfId="0" applyNumberFormat="1" applyFont="1" applyFill="1" applyBorder="1" applyAlignment="1">
      <alignment horizontal="center" vertical="center" wrapText="1"/>
    </xf>
    <xf numFmtId="0" fontId="83" fillId="35" borderId="321" xfId="0" applyFont="1" applyFill="1" applyBorder="1" applyAlignment="1">
      <alignment horizontal="center" vertical="center" wrapText="1"/>
    </xf>
    <xf numFmtId="167" fontId="68" fillId="35" borderId="298" xfId="0" applyNumberFormat="1" applyFont="1" applyFill="1" applyBorder="1" applyAlignment="1">
      <alignment horizontal="center" vertical="center" wrapText="1"/>
    </xf>
    <xf numFmtId="177" fontId="82" fillId="35" borderId="390" xfId="0" applyNumberFormat="1" applyFont="1" applyFill="1" applyBorder="1" applyAlignment="1">
      <alignment horizontal="center" vertical="center" wrapText="1"/>
    </xf>
    <xf numFmtId="0" fontId="0" fillId="2" borderId="181" xfId="0" applyFill="1" applyBorder="1" applyAlignment="1">
      <alignment vertical="center"/>
    </xf>
    <xf numFmtId="0" fontId="0" fillId="2" borderId="0" xfId="0" applyFill="1" applyAlignment="1">
      <alignment vertical="center"/>
    </xf>
    <xf numFmtId="0" fontId="0" fillId="2" borderId="366"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3" fillId="2" borderId="352" xfId="4" applyFont="1" applyFill="1" applyBorder="1" applyAlignment="1">
      <alignment horizontal="center" vertical="top"/>
    </xf>
    <xf numFmtId="0" fontId="88" fillId="13" borderId="349" xfId="4" applyFont="1" applyFill="1" applyBorder="1"/>
    <xf numFmtId="0" fontId="88" fillId="13" borderId="63" xfId="4" applyFont="1" applyFill="1" applyBorder="1"/>
    <xf numFmtId="0" fontId="90" fillId="0" borderId="0" xfId="4" applyFont="1"/>
    <xf numFmtId="0" fontId="58" fillId="13" borderId="64" xfId="11" applyFont="1" applyFill="1" applyBorder="1" applyAlignment="1">
      <alignment horizontal="center" vertical="center"/>
    </xf>
    <xf numFmtId="0" fontId="91" fillId="11" borderId="393" xfId="4" applyFont="1" applyFill="1" applyBorder="1" applyAlignment="1">
      <alignment vertical="center" wrapText="1"/>
    </xf>
    <xf numFmtId="0" fontId="88" fillId="11" borderId="399" xfId="4" applyFont="1" applyFill="1" applyBorder="1" applyAlignment="1">
      <alignment vertical="center"/>
    </xf>
    <xf numFmtId="0" fontId="88" fillId="0" borderId="3" xfId="4" applyFont="1" applyBorder="1"/>
    <xf numFmtId="0" fontId="88" fillId="0" borderId="398" xfId="4" applyFont="1" applyBorder="1" applyAlignment="1" applyProtection="1">
      <alignment vertical="center" wrapText="1"/>
      <protection locked="0"/>
    </xf>
    <xf numFmtId="0" fontId="93" fillId="0" borderId="0" xfId="4" applyFont="1"/>
    <xf numFmtId="0" fontId="95" fillId="0" borderId="0" xfId="4" applyFont="1"/>
    <xf numFmtId="0" fontId="90" fillId="13" borderId="0" xfId="4" applyFont="1" applyFill="1"/>
    <xf numFmtId="17" fontId="45" fillId="0" borderId="26" xfId="0" applyNumberFormat="1" applyFont="1" applyBorder="1" applyAlignment="1">
      <alignment horizontal="center" vertical="center" textRotation="90"/>
    </xf>
    <xf numFmtId="0" fontId="42" fillId="0" borderId="0" xfId="0" applyFont="1" applyAlignment="1">
      <alignment vertical="center"/>
    </xf>
    <xf numFmtId="43" fontId="0" fillId="0" borderId="0" xfId="1" applyFont="1" applyAlignment="1">
      <alignment vertical="center"/>
    </xf>
    <xf numFmtId="43" fontId="4"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9" fillId="0" borderId="0" xfId="0" applyNumberFormat="1" applyFont="1" applyAlignment="1">
      <alignment wrapText="1"/>
    </xf>
    <xf numFmtId="0" fontId="9"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34" fillId="0" borderId="0" xfId="4" applyNumberFormat="1" applyFont="1" applyAlignment="1">
      <alignment horizontal="center" vertical="center" wrapText="1"/>
    </xf>
    <xf numFmtId="190" fontId="135" fillId="0" borderId="0" xfId="0" applyNumberFormat="1" applyFont="1"/>
    <xf numFmtId="0" fontId="29" fillId="17" borderId="84" xfId="0" applyFont="1" applyFill="1" applyBorder="1" applyAlignment="1">
      <alignment horizontal="center" vertical="center"/>
    </xf>
    <xf numFmtId="0" fontId="29" fillId="17" borderId="120" xfId="0" applyFont="1" applyFill="1" applyBorder="1" applyAlignment="1">
      <alignment horizontal="center" vertical="center"/>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45" xfId="0" applyFont="1" applyBorder="1" applyAlignment="1">
      <alignment horizontal="center" vertical="center" wrapText="1"/>
    </xf>
    <xf numFmtId="0" fontId="9" fillId="2" borderId="19" xfId="0" applyFont="1" applyFill="1" applyBorder="1" applyAlignment="1">
      <alignment horizontal="center" vertical="center"/>
    </xf>
    <xf numFmtId="170" fontId="9" fillId="0" borderId="19" xfId="0" applyNumberFormat="1" applyFont="1" applyBorder="1" applyAlignment="1" applyProtection="1">
      <alignment vertical="center"/>
      <protection locked="0"/>
    </xf>
    <xf numFmtId="170" fontId="9" fillId="2" borderId="20" xfId="0" applyNumberFormat="1" applyFont="1" applyFill="1" applyBorder="1" applyAlignment="1">
      <alignment vertical="center"/>
    </xf>
    <xf numFmtId="0" fontId="9" fillId="2" borderId="25" xfId="0" applyFont="1" applyFill="1" applyBorder="1" applyAlignment="1">
      <alignment horizontal="center" vertical="center"/>
    </xf>
    <xf numFmtId="0" fontId="9" fillId="4" borderId="26" xfId="0" applyFont="1" applyFill="1" applyBorder="1" applyAlignment="1" applyProtection="1">
      <alignment horizontal="center" vertical="center"/>
      <protection locked="0"/>
    </xf>
    <xf numFmtId="0" fontId="9" fillId="4" borderId="27" xfId="0" applyFont="1" applyFill="1" applyBorder="1" applyAlignment="1" applyProtection="1">
      <alignment horizontal="center" vertical="center"/>
      <protection locked="0"/>
    </xf>
    <xf numFmtId="170" fontId="9" fillId="0" borderId="26" xfId="0" applyNumberFormat="1" applyFont="1" applyBorder="1" applyAlignment="1" applyProtection="1">
      <alignment vertical="center"/>
      <protection locked="0"/>
    </xf>
    <xf numFmtId="170" fontId="9" fillId="2" borderId="28" xfId="0" applyNumberFormat="1" applyFont="1" applyFill="1" applyBorder="1" applyAlignment="1">
      <alignment vertical="center"/>
    </xf>
    <xf numFmtId="167" fontId="9" fillId="0" borderId="29" xfId="0" applyNumberFormat="1" applyFont="1" applyBorder="1" applyAlignment="1" applyProtection="1">
      <alignment horizontal="center" vertical="center"/>
      <protection locked="0"/>
    </xf>
    <xf numFmtId="167" fontId="9" fillId="0" borderId="27" xfId="0" applyNumberFormat="1" applyFont="1" applyBorder="1" applyAlignment="1" applyProtection="1">
      <alignment horizontal="center" vertical="center"/>
      <protection locked="0"/>
    </xf>
    <xf numFmtId="167" fontId="9" fillId="0" borderId="25" xfId="0" applyNumberFormat="1" applyFont="1" applyBorder="1" applyAlignment="1" applyProtection="1">
      <alignment horizontal="center" vertical="center"/>
      <protection locked="0"/>
    </xf>
    <xf numFmtId="0" fontId="9" fillId="0" borderId="26" xfId="0" applyFont="1" applyBorder="1" applyAlignment="1" applyProtection="1">
      <alignment horizontal="center" vertical="center"/>
      <protection locked="0"/>
    </xf>
    <xf numFmtId="167" fontId="9" fillId="0" borderId="26" xfId="0" applyNumberFormat="1" applyFont="1" applyBorder="1" applyAlignment="1" applyProtection="1">
      <alignment horizontal="center" vertical="center"/>
      <protection locked="0"/>
    </xf>
    <xf numFmtId="0" fontId="9" fillId="2" borderId="8" xfId="0" applyFont="1" applyFill="1" applyBorder="1" applyAlignment="1">
      <alignment horizontal="center" vertical="center"/>
    </xf>
    <xf numFmtId="167" fontId="9" fillId="0" borderId="30" xfId="0" applyNumberFormat="1" applyFont="1" applyBorder="1" applyAlignment="1" applyProtection="1">
      <alignment horizontal="center" vertical="center"/>
      <protection locked="0"/>
    </xf>
    <xf numFmtId="167" fontId="9" fillId="0" borderId="28" xfId="0" applyNumberFormat="1" applyFont="1" applyBorder="1" applyAlignment="1" applyProtection="1">
      <alignment horizontal="center" vertical="center"/>
      <protection locked="0"/>
    </xf>
    <xf numFmtId="0" fontId="9" fillId="2" borderId="31" xfId="0" applyFont="1" applyFill="1" applyBorder="1" applyAlignment="1">
      <alignment horizontal="center" vertical="center"/>
    </xf>
    <xf numFmtId="166" fontId="9" fillId="2" borderId="26" xfId="2" applyNumberFormat="1" applyFont="1" applyFill="1" applyBorder="1" applyAlignment="1">
      <alignment horizontal="center" vertical="center"/>
    </xf>
    <xf numFmtId="1" fontId="9" fillId="2" borderId="26" xfId="0" applyNumberFormat="1" applyFont="1" applyFill="1" applyBorder="1" applyAlignment="1">
      <alignment horizontal="center" vertical="center"/>
    </xf>
    <xf numFmtId="170" fontId="9" fillId="0" borderId="25" xfId="0" applyNumberFormat="1" applyFont="1" applyBorder="1" applyAlignment="1" applyProtection="1">
      <alignment vertical="center"/>
      <protection locked="0"/>
    </xf>
    <xf numFmtId="170" fontId="9" fillId="2" borderId="26" xfId="0" applyNumberFormat="1" applyFont="1" applyFill="1" applyBorder="1" applyAlignment="1">
      <alignment vertical="center"/>
    </xf>
    <xf numFmtId="0" fontId="9" fillId="2" borderId="438" xfId="0" applyFont="1" applyFill="1" applyBorder="1" applyAlignment="1">
      <alignment horizontal="center" vertical="center"/>
    </xf>
    <xf numFmtId="0" fontId="9" fillId="4" borderId="56" xfId="0" applyFont="1" applyFill="1" applyBorder="1" applyAlignment="1" applyProtection="1">
      <alignment horizontal="center" vertical="center"/>
      <protection locked="0"/>
    </xf>
    <xf numFmtId="0" fontId="9" fillId="4" borderId="439" xfId="0" applyFont="1" applyFill="1" applyBorder="1" applyAlignment="1" applyProtection="1">
      <alignment horizontal="center" vertical="center"/>
      <protection locked="0"/>
    </xf>
    <xf numFmtId="170" fontId="9" fillId="0" borderId="438" xfId="0" applyNumberFormat="1" applyFont="1" applyBorder="1" applyAlignment="1" applyProtection="1">
      <alignment vertical="center"/>
      <protection locked="0"/>
    </xf>
    <xf numFmtId="170" fontId="9" fillId="2" borderId="56" xfId="0" applyNumberFormat="1" applyFont="1" applyFill="1" applyBorder="1" applyAlignment="1">
      <alignment vertical="center"/>
    </xf>
    <xf numFmtId="170" fontId="9" fillId="0" borderId="56" xfId="0" applyNumberFormat="1" applyFont="1" applyBorder="1" applyAlignment="1" applyProtection="1">
      <alignment vertical="center"/>
      <protection locked="0"/>
    </xf>
    <xf numFmtId="167" fontId="9" fillId="0" borderId="122" xfId="0" applyNumberFormat="1" applyFont="1" applyBorder="1" applyAlignment="1" applyProtection="1">
      <alignment horizontal="center" vertical="center"/>
      <protection locked="0"/>
    </xf>
    <xf numFmtId="167" fontId="9" fillId="0" borderId="439" xfId="0" applyNumberFormat="1" applyFont="1" applyBorder="1" applyAlignment="1" applyProtection="1">
      <alignment horizontal="center" vertical="center"/>
      <protection locked="0"/>
    </xf>
    <xf numFmtId="167" fontId="9" fillId="0" borderId="438" xfId="0" applyNumberFormat="1"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167" fontId="9" fillId="0" borderId="56" xfId="0" applyNumberFormat="1" applyFont="1" applyBorder="1" applyAlignment="1" applyProtection="1">
      <alignment horizontal="center" vertical="center"/>
      <protection locked="0"/>
    </xf>
    <xf numFmtId="0" fontId="9" fillId="2" borderId="440" xfId="0" applyFont="1" applyFill="1" applyBorder="1" applyAlignment="1">
      <alignment horizontal="center" vertical="center"/>
    </xf>
    <xf numFmtId="167" fontId="9" fillId="0" borderId="55" xfId="0" applyNumberFormat="1" applyFont="1" applyBorder="1" applyAlignment="1" applyProtection="1">
      <alignment horizontal="center" vertical="center"/>
      <protection locked="0"/>
    </xf>
    <xf numFmtId="167" fontId="9" fillId="0" borderId="54" xfId="0" applyNumberFormat="1" applyFont="1" applyBorder="1" applyAlignment="1" applyProtection="1">
      <alignment horizontal="center" vertical="center"/>
      <protection locked="0"/>
    </xf>
    <xf numFmtId="0" fontId="9" fillId="2" borderId="441" xfId="0" applyFont="1" applyFill="1" applyBorder="1" applyAlignment="1">
      <alignment horizontal="center" vertical="center"/>
    </xf>
    <xf numFmtId="166" fontId="9" fillId="2" borderId="56" xfId="2" applyNumberFormat="1" applyFont="1" applyFill="1" applyBorder="1" applyAlignment="1">
      <alignment horizontal="center" vertical="center"/>
    </xf>
    <xf numFmtId="1" fontId="9" fillId="2" borderId="56" xfId="0" applyNumberFormat="1" applyFont="1" applyFill="1" applyBorder="1" applyAlignment="1">
      <alignment horizontal="center" vertical="center"/>
    </xf>
    <xf numFmtId="0" fontId="9" fillId="19" borderId="32" xfId="0" applyFont="1" applyFill="1" applyBorder="1" applyAlignment="1">
      <alignment horizontal="center" vertical="center"/>
    </xf>
    <xf numFmtId="0" fontId="9" fillId="19" borderId="33" xfId="0" applyFont="1" applyFill="1" applyBorder="1" applyAlignment="1">
      <alignment vertical="center"/>
    </xf>
    <xf numFmtId="0" fontId="8" fillId="19" borderId="34" xfId="0" applyFont="1" applyFill="1" applyBorder="1" applyAlignment="1">
      <alignment horizontal="right" vertical="center"/>
    </xf>
    <xf numFmtId="170" fontId="9" fillId="19" borderId="32" xfId="0" applyNumberFormat="1" applyFont="1" applyFill="1" applyBorder="1" applyAlignment="1" applyProtection="1">
      <alignment vertical="center"/>
      <protection locked="0"/>
    </xf>
    <xf numFmtId="170" fontId="9" fillId="19" borderId="33" xfId="0" applyNumberFormat="1" applyFont="1" applyFill="1" applyBorder="1" applyAlignment="1">
      <alignment vertical="center"/>
    </xf>
    <xf numFmtId="170" fontId="9" fillId="19" borderId="33" xfId="0" applyNumberFormat="1" applyFont="1" applyFill="1" applyBorder="1" applyAlignment="1" applyProtection="1">
      <alignment vertical="center"/>
      <protection locked="0"/>
    </xf>
    <xf numFmtId="170" fontId="9" fillId="19" borderId="35" xfId="0" applyNumberFormat="1" applyFont="1" applyFill="1" applyBorder="1" applyAlignment="1">
      <alignment vertical="center"/>
    </xf>
    <xf numFmtId="167" fontId="9" fillId="19" borderId="36" xfId="0" applyNumberFormat="1" applyFont="1" applyFill="1" applyBorder="1" applyAlignment="1">
      <alignment horizontal="center" vertical="center"/>
    </xf>
    <xf numFmtId="167" fontId="9" fillId="19" borderId="34" xfId="0" applyNumberFormat="1" applyFont="1" applyFill="1" applyBorder="1" applyAlignment="1">
      <alignment horizontal="center" vertical="center"/>
    </xf>
    <xf numFmtId="167" fontId="9" fillId="19" borderId="32" xfId="0" applyNumberFormat="1" applyFont="1" applyFill="1" applyBorder="1" applyAlignment="1">
      <alignment horizontal="center" vertical="center"/>
    </xf>
    <xf numFmtId="0" fontId="9" fillId="19" borderId="33" xfId="0" applyFont="1" applyFill="1" applyBorder="1" applyAlignment="1">
      <alignment horizontal="center" vertical="center"/>
    </xf>
    <xf numFmtId="0" fontId="9" fillId="19" borderId="38" xfId="0" applyFont="1" applyFill="1" applyBorder="1" applyAlignment="1">
      <alignment horizontal="center" vertical="center"/>
    </xf>
    <xf numFmtId="0" fontId="9" fillId="19" borderId="34" xfId="0" applyFont="1" applyFill="1" applyBorder="1" applyAlignment="1">
      <alignment vertical="center"/>
    </xf>
    <xf numFmtId="167" fontId="9" fillId="19" borderId="37" xfId="0" applyNumberFormat="1" applyFont="1" applyFill="1" applyBorder="1" applyAlignment="1">
      <alignment horizontal="center" vertical="center"/>
    </xf>
    <xf numFmtId="0" fontId="9" fillId="19" borderId="35" xfId="0" applyFont="1" applyFill="1" applyBorder="1" applyAlignment="1">
      <alignment vertical="center"/>
    </xf>
    <xf numFmtId="166" fontId="9" fillId="19" borderId="33" xfId="2" applyNumberFormat="1" applyFont="1" applyFill="1" applyBorder="1" applyAlignment="1">
      <alignment horizontal="center" vertical="center"/>
    </xf>
    <xf numFmtId="1" fontId="9" fillId="19" borderId="33" xfId="0" applyNumberFormat="1" applyFont="1" applyFill="1" applyBorder="1" applyAlignment="1">
      <alignment horizontal="center" vertical="center"/>
    </xf>
    <xf numFmtId="4" fontId="4"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4" fillId="0" borderId="0" xfId="0" applyNumberFormat="1" applyFont="1" applyAlignment="1">
      <alignment horizontal="left" indent="1"/>
    </xf>
    <xf numFmtId="168" fontId="4" fillId="0" borderId="0" xfId="0" applyNumberFormat="1" applyFont="1" applyAlignment="1">
      <alignment vertical="center"/>
    </xf>
    <xf numFmtId="168" fontId="4" fillId="0" borderId="0" xfId="0" applyNumberFormat="1" applyFont="1" applyAlignment="1">
      <alignment horizontal="center" vertical="center" wrapText="1"/>
    </xf>
    <xf numFmtId="168" fontId="4" fillId="0" borderId="0" xfId="0" applyNumberFormat="1" applyFont="1" applyAlignment="1">
      <alignment horizontal="center"/>
    </xf>
    <xf numFmtId="165" fontId="35" fillId="16" borderId="61" xfId="27" applyNumberFormat="1" applyFont="1" applyFill="1" applyBorder="1"/>
    <xf numFmtId="0" fontId="35" fillId="16" borderId="69" xfId="0" applyFont="1" applyFill="1" applyBorder="1" applyAlignment="1">
      <alignment horizontal="centerContinuous"/>
    </xf>
    <xf numFmtId="0" fontId="24" fillId="16" borderId="70" xfId="0" applyFont="1" applyFill="1" applyBorder="1" applyAlignment="1">
      <alignment horizontal="center" vertical="center" wrapText="1"/>
    </xf>
    <xf numFmtId="165" fontId="0" fillId="0" borderId="0" xfId="0" applyNumberFormat="1"/>
    <xf numFmtId="0" fontId="0" fillId="0" borderId="71" xfId="0" applyBorder="1"/>
    <xf numFmtId="171" fontId="0" fillId="0" borderId="104" xfId="0" applyNumberFormat="1" applyBorder="1" applyAlignment="1">
      <alignment horizontal="center" vertical="center"/>
    </xf>
    <xf numFmtId="0" fontId="39" fillId="16" borderId="72" xfId="0" applyFont="1" applyFill="1" applyBorder="1" applyAlignment="1">
      <alignment horizontal="center" vertical="center" wrapText="1"/>
    </xf>
    <xf numFmtId="9" fontId="0" fillId="2" borderId="0" xfId="2" applyFont="1" applyFill="1" applyAlignment="1">
      <alignment vertical="center"/>
    </xf>
    <xf numFmtId="0" fontId="4" fillId="0" borderId="486" xfId="0" applyFont="1" applyBorder="1" applyAlignment="1">
      <alignment horizontal="center" vertical="center"/>
    </xf>
    <xf numFmtId="15" fontId="38" fillId="0" borderId="487" xfId="0" applyNumberFormat="1" applyFont="1" applyBorder="1" applyAlignment="1">
      <alignment horizontal="center" vertical="center"/>
    </xf>
    <xf numFmtId="0" fontId="4" fillId="0" borderId="487" xfId="0" applyFont="1" applyBorder="1"/>
    <xf numFmtId="0" fontId="4" fillId="0" borderId="489" xfId="0" applyFont="1" applyBorder="1" applyAlignment="1">
      <alignment horizontal="center" vertical="center"/>
    </xf>
    <xf numFmtId="0" fontId="4" fillId="0" borderId="490" xfId="0" applyFont="1" applyBorder="1"/>
    <xf numFmtId="0" fontId="0" fillId="0" borderId="487" xfId="0" applyBorder="1" applyAlignment="1">
      <alignment horizontal="center"/>
    </xf>
    <xf numFmtId="0" fontId="0" fillId="0" borderId="488" xfId="0" applyBorder="1" applyAlignment="1">
      <alignment horizontal="center"/>
    </xf>
    <xf numFmtId="0" fontId="0" fillId="0" borderId="490" xfId="0" applyBorder="1" applyAlignment="1">
      <alignment horizontal="center"/>
    </xf>
    <xf numFmtId="0" fontId="0" fillId="0" borderId="491" xfId="0" applyBorder="1" applyAlignment="1">
      <alignment horizontal="center"/>
    </xf>
    <xf numFmtId="0" fontId="4" fillId="0" borderId="486" xfId="0" applyFont="1" applyBorder="1" applyAlignment="1">
      <alignment horizontal="center"/>
    </xf>
    <xf numFmtId="15" fontId="38" fillId="0" borderId="487" xfId="0" applyNumberFormat="1" applyFont="1" applyBorder="1" applyAlignment="1">
      <alignment horizontal="center"/>
    </xf>
    <xf numFmtId="0" fontId="4" fillId="0" borderId="489" xfId="0" applyFont="1" applyBorder="1" applyAlignment="1">
      <alignment horizontal="center"/>
    </xf>
    <xf numFmtId="0" fontId="23" fillId="14" borderId="494" xfId="0" applyFont="1" applyFill="1" applyBorder="1" applyAlignment="1">
      <alignment horizontal="center" vertical="center" wrapText="1"/>
    </xf>
    <xf numFmtId="0" fontId="23" fillId="14" borderId="224" xfId="0" applyFont="1" applyFill="1" applyBorder="1" applyAlignment="1">
      <alignment horizontal="center" vertical="center" wrapText="1"/>
    </xf>
    <xf numFmtId="0" fontId="23" fillId="14" borderId="495" xfId="0" applyFont="1" applyFill="1" applyBorder="1" applyAlignment="1">
      <alignment horizontal="center" vertical="center" wrapText="1"/>
    </xf>
    <xf numFmtId="167" fontId="28" fillId="13" borderId="496" xfId="0" applyNumberFormat="1" applyFont="1" applyFill="1" applyBorder="1" applyAlignment="1">
      <alignment horizontal="center" vertical="center" wrapText="1"/>
    </xf>
    <xf numFmtId="40" fontId="0" fillId="0" borderId="0" xfId="0" applyNumberFormat="1"/>
    <xf numFmtId="172" fontId="9" fillId="4" borderId="0" xfId="0" applyNumberFormat="1" applyFont="1" applyFill="1"/>
    <xf numFmtId="15" fontId="0" fillId="0" borderId="223" xfId="0" applyNumberFormat="1" applyBorder="1" applyAlignment="1">
      <alignment horizontal="center"/>
    </xf>
    <xf numFmtId="15" fontId="0" fillId="0" borderId="356" xfId="0" applyNumberFormat="1" applyBorder="1" applyAlignment="1">
      <alignment horizontal="center"/>
    </xf>
    <xf numFmtId="0" fontId="43" fillId="0" borderId="120" xfId="0" applyFont="1" applyBorder="1" applyAlignment="1">
      <alignment horizontal="center"/>
    </xf>
    <xf numFmtId="0" fontId="43" fillId="0" borderId="123" xfId="0" applyFont="1" applyBorder="1" applyAlignment="1">
      <alignment horizontal="center"/>
    </xf>
    <xf numFmtId="15" fontId="0" fillId="0" borderId="64" xfId="0" applyNumberFormat="1" applyBorder="1" applyAlignment="1">
      <alignment horizontal="center"/>
    </xf>
    <xf numFmtId="0" fontId="0" fillId="0" borderId="223" xfId="0" applyBorder="1" applyAlignment="1">
      <alignment horizontal="center"/>
    </xf>
    <xf numFmtId="15" fontId="0" fillId="0" borderId="354" xfId="0" applyNumberFormat="1" applyBorder="1" applyAlignment="1">
      <alignment horizontal="center"/>
    </xf>
    <xf numFmtId="165" fontId="0" fillId="0" borderId="268" xfId="1" applyNumberFormat="1" applyFont="1" applyFill="1" applyBorder="1" applyAlignment="1" applyProtection="1">
      <alignment vertical="center"/>
    </xf>
    <xf numFmtId="165" fontId="0" fillId="0" borderId="476" xfId="1" applyNumberFormat="1" applyFont="1" applyFill="1" applyBorder="1" applyAlignment="1" applyProtection="1">
      <alignment vertical="center"/>
    </xf>
    <xf numFmtId="0" fontId="137" fillId="0" borderId="0" xfId="0" applyFont="1"/>
    <xf numFmtId="10" fontId="137" fillId="0" borderId="0" xfId="2" applyNumberFormat="1" applyFont="1"/>
    <xf numFmtId="165" fontId="137" fillId="0" borderId="0" xfId="0" applyNumberFormat="1" applyFont="1"/>
    <xf numFmtId="43" fontId="137" fillId="0" borderId="0" xfId="1" applyFont="1"/>
    <xf numFmtId="43" fontId="137" fillId="0" borderId="0" xfId="0" applyNumberFormat="1" applyFont="1"/>
    <xf numFmtId="10" fontId="137" fillId="0" borderId="0" xfId="0" applyNumberFormat="1" applyFont="1"/>
    <xf numFmtId="165" fontId="137" fillId="0" borderId="0" xfId="2" applyNumberFormat="1" applyFont="1"/>
    <xf numFmtId="10" fontId="137" fillId="0" borderId="0" xfId="1" applyNumberFormat="1" applyFont="1"/>
    <xf numFmtId="0" fontId="133" fillId="0" borderId="0" xfId="0" applyFont="1" applyAlignment="1">
      <alignment horizontal="center" vertical="center" wrapText="1"/>
    </xf>
    <xf numFmtId="0" fontId="133" fillId="0" borderId="500" xfId="0" applyFont="1" applyBorder="1" applyAlignment="1">
      <alignment horizontal="left" vertical="center" wrapText="1"/>
    </xf>
    <xf numFmtId="0" fontId="133" fillId="0" borderId="498" xfId="0" applyFont="1" applyBorder="1" applyAlignment="1">
      <alignment horizontal="left" vertical="center" wrapText="1"/>
    </xf>
    <xf numFmtId="0" fontId="133" fillId="0" borderId="498" xfId="0" applyFont="1" applyBorder="1" applyAlignment="1">
      <alignment horizontal="center" vertical="center"/>
    </xf>
    <xf numFmtId="0" fontId="133" fillId="0" borderId="498" xfId="0" applyFont="1" applyBorder="1" applyAlignment="1">
      <alignment horizontal="center" vertical="center" wrapText="1"/>
    </xf>
    <xf numFmtId="43" fontId="133" fillId="0" borderId="498" xfId="1" applyFont="1" applyFill="1" applyBorder="1" applyAlignment="1">
      <alignment horizontal="center" vertical="center" wrapText="1"/>
    </xf>
    <xf numFmtId="43" fontId="133" fillId="0" borderId="499" xfId="1" applyFont="1" applyFill="1" applyBorder="1" applyAlignment="1">
      <alignment horizontal="center" vertical="center" wrapText="1"/>
    </xf>
    <xf numFmtId="0" fontId="133" fillId="19" borderId="84" xfId="0" applyFont="1" applyFill="1" applyBorder="1" applyAlignment="1">
      <alignment horizontal="center" vertical="center" wrapText="1"/>
    </xf>
    <xf numFmtId="0" fontId="133" fillId="19" borderId="84" xfId="0" applyFont="1" applyFill="1" applyBorder="1" applyAlignment="1">
      <alignment horizontal="center" vertical="center"/>
    </xf>
    <xf numFmtId="0" fontId="138" fillId="41" borderId="503" xfId="0" applyFont="1" applyFill="1" applyBorder="1" applyAlignment="1">
      <alignment horizontal="center" vertical="center"/>
    </xf>
    <xf numFmtId="0" fontId="138" fillId="41" borderId="503" xfId="0" applyFont="1" applyFill="1" applyBorder="1" applyAlignment="1">
      <alignment horizontal="center" vertical="center" wrapText="1"/>
    </xf>
    <xf numFmtId="43" fontId="138" fillId="41" borderId="31" xfId="0" applyNumberFormat="1" applyFont="1" applyFill="1" applyBorder="1" applyAlignment="1">
      <alignment horizontal="center" vertical="center" wrapText="1"/>
    </xf>
    <xf numFmtId="0" fontId="139" fillId="0" borderId="0" xfId="0" applyFont="1" applyAlignment="1">
      <alignment horizontal="center" vertical="center" wrapText="1"/>
    </xf>
    <xf numFmtId="0" fontId="90" fillId="0" borderId="468" xfId="43" applyFont="1" applyBorder="1" applyAlignment="1">
      <alignment horizontal="center" vertical="center" wrapText="1"/>
    </xf>
    <xf numFmtId="43" fontId="90" fillId="9" borderId="468" xfId="1" applyFont="1" applyFill="1" applyBorder="1" applyAlignment="1">
      <alignment horizontal="center" vertical="center" wrapText="1"/>
    </xf>
    <xf numFmtId="43" fontId="139" fillId="9" borderId="31" xfId="1" applyFont="1" applyFill="1" applyBorder="1" applyAlignment="1">
      <alignment horizontal="center" vertical="center" wrapText="1"/>
    </xf>
    <xf numFmtId="0" fontId="139" fillId="11" borderId="468" xfId="0" applyFont="1" applyFill="1" applyBorder="1" applyAlignment="1">
      <alignment horizontal="center" vertical="center"/>
    </xf>
    <xf numFmtId="0" fontId="90" fillId="11" borderId="468" xfId="0" applyFont="1" applyFill="1" applyBorder="1" applyAlignment="1">
      <alignment horizontal="left" vertical="center" wrapText="1"/>
    </xf>
    <xf numFmtId="0" fontId="90" fillId="11" borderId="468" xfId="43" applyFont="1" applyFill="1" applyBorder="1" applyAlignment="1">
      <alignment horizontal="center" vertical="center" wrapText="1"/>
    </xf>
    <xf numFmtId="0" fontId="139" fillId="0" borderId="0" xfId="0" applyFont="1" applyAlignment="1">
      <alignment horizontal="left" vertical="center" wrapText="1"/>
    </xf>
    <xf numFmtId="0" fontId="139" fillId="0" borderId="0" xfId="0" applyFont="1" applyAlignment="1">
      <alignment horizontal="center" vertical="center"/>
    </xf>
    <xf numFmtId="43" fontId="139"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61" xfId="1" applyNumberFormat="1" applyFont="1" applyFill="1" applyBorder="1" applyAlignment="1">
      <alignment horizontal="center" vertical="center"/>
    </xf>
    <xf numFmtId="165" fontId="0" fillId="11" borderId="98" xfId="1" applyNumberFormat="1" applyFont="1" applyFill="1" applyBorder="1" applyAlignment="1">
      <alignment horizontal="center" vertical="center"/>
    </xf>
    <xf numFmtId="165" fontId="0" fillId="11" borderId="62"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9" fillId="4" borderId="20" xfId="0" applyFont="1" applyFill="1" applyBorder="1" applyAlignment="1" applyProtection="1">
      <alignment horizontal="center"/>
      <protection locked="0"/>
    </xf>
    <xf numFmtId="191" fontId="9" fillId="4" borderId="21" xfId="0" applyNumberFormat="1" applyFont="1" applyFill="1" applyBorder="1" applyAlignment="1" applyProtection="1">
      <alignment horizontal="center"/>
      <protection locked="0"/>
    </xf>
    <xf numFmtId="170" fontId="9" fillId="0" borderId="19" xfId="0" applyNumberFormat="1" applyFont="1" applyBorder="1" applyProtection="1">
      <protection locked="0"/>
    </xf>
    <xf numFmtId="170" fontId="9" fillId="2" borderId="20" xfId="0" applyNumberFormat="1" applyFont="1" applyFill="1" applyBorder="1"/>
    <xf numFmtId="170" fontId="9" fillId="0" borderId="20" xfId="0" applyNumberFormat="1" applyFont="1" applyBorder="1" applyProtection="1">
      <protection locked="0"/>
    </xf>
    <xf numFmtId="170" fontId="9" fillId="2" borderId="28" xfId="0" applyNumberFormat="1" applyFont="1" applyFill="1" applyBorder="1"/>
    <xf numFmtId="167" fontId="9" fillId="0" borderId="23" xfId="0" applyNumberFormat="1" applyFont="1" applyBorder="1" applyAlignment="1" applyProtection="1">
      <alignment horizontal="center"/>
      <protection locked="0"/>
    </xf>
    <xf numFmtId="167" fontId="9" fillId="0" borderId="21" xfId="0" applyNumberFormat="1" applyFont="1" applyBorder="1" applyAlignment="1" applyProtection="1">
      <alignment horizontal="center"/>
      <protection locked="0"/>
    </xf>
    <xf numFmtId="167" fontId="9" fillId="0" borderId="19" xfId="0" applyNumberFormat="1" applyFont="1" applyBorder="1" applyAlignment="1" applyProtection="1">
      <alignment horizontal="center"/>
      <protection locked="0"/>
    </xf>
    <xf numFmtId="0" fontId="9" fillId="0" borderId="20" xfId="0" applyFont="1" applyBorder="1" applyAlignment="1" applyProtection="1">
      <alignment horizontal="center"/>
      <protection locked="0"/>
    </xf>
    <xf numFmtId="167" fontId="9" fillId="0" borderId="20" xfId="0" applyNumberFormat="1" applyFont="1" applyBorder="1" applyAlignment="1" applyProtection="1">
      <alignment horizontal="center"/>
      <protection locked="0"/>
    </xf>
    <xf numFmtId="0" fontId="9" fillId="2" borderId="8" xfId="0" applyFont="1" applyFill="1" applyBorder="1" applyAlignment="1">
      <alignment horizontal="center"/>
    </xf>
    <xf numFmtId="0" fontId="9" fillId="0" borderId="22" xfId="0" applyFont="1" applyBorder="1" applyAlignment="1" applyProtection="1">
      <alignment horizontal="center"/>
      <protection locked="0"/>
    </xf>
    <xf numFmtId="167" fontId="9" fillId="0" borderId="24" xfId="0" applyNumberFormat="1" applyFont="1" applyBorder="1" applyAlignment="1" applyProtection="1">
      <alignment horizontal="center"/>
      <protection locked="0"/>
    </xf>
    <xf numFmtId="0" fontId="9" fillId="2" borderId="506" xfId="0" applyFont="1" applyFill="1" applyBorder="1" applyAlignment="1">
      <alignment horizontal="center"/>
    </xf>
    <xf numFmtId="166" fontId="9" fillId="2" borderId="26" xfId="2" applyNumberFormat="1" applyFont="1" applyFill="1" applyBorder="1" applyAlignment="1">
      <alignment horizontal="center"/>
    </xf>
    <xf numFmtId="1" fontId="9" fillId="2" borderId="20" xfId="0" applyNumberFormat="1" applyFont="1" applyFill="1" applyBorder="1" applyAlignment="1">
      <alignment horizontal="center"/>
    </xf>
    <xf numFmtId="170" fontId="9" fillId="2" borderId="22" xfId="0" applyNumberFormat="1" applyFont="1" applyFill="1" applyBorder="1"/>
    <xf numFmtId="0" fontId="9" fillId="4" borderId="26" xfId="0" applyFont="1" applyFill="1" applyBorder="1" applyAlignment="1" applyProtection="1">
      <alignment horizontal="center"/>
      <protection locked="0"/>
    </xf>
    <xf numFmtId="167" fontId="9" fillId="0" borderId="29" xfId="0" applyNumberFormat="1" applyFont="1" applyBorder="1" applyAlignment="1" applyProtection="1">
      <alignment horizontal="center"/>
      <protection locked="0"/>
    </xf>
    <xf numFmtId="167" fontId="9" fillId="0" borderId="25" xfId="0" applyNumberFormat="1" applyFont="1" applyBorder="1" applyAlignment="1" applyProtection="1">
      <alignment horizontal="center"/>
      <protection locked="0"/>
    </xf>
    <xf numFmtId="0" fontId="0" fillId="0" borderId="501" xfId="0" applyBorder="1" applyAlignment="1">
      <alignment horizontal="center" vertical="center"/>
    </xf>
    <xf numFmtId="170" fontId="9" fillId="0" borderId="26" xfId="0" applyNumberFormat="1" applyFont="1" applyBorder="1" applyProtection="1">
      <protection locked="0"/>
    </xf>
    <xf numFmtId="167" fontId="9" fillId="0" borderId="26" xfId="0" applyNumberFormat="1" applyFont="1" applyBorder="1" applyAlignment="1" applyProtection="1">
      <alignment horizontal="center"/>
      <protection locked="0"/>
    </xf>
    <xf numFmtId="0" fontId="23" fillId="14" borderId="0" xfId="0" applyFont="1" applyFill="1" applyAlignment="1">
      <alignment horizontal="center" vertical="center" wrapText="1"/>
    </xf>
    <xf numFmtId="1" fontId="9" fillId="0" borderId="0" xfId="0" applyNumberFormat="1" applyFont="1"/>
    <xf numFmtId="0" fontId="26" fillId="13" borderId="507" xfId="0" quotePrefix="1" applyFont="1" applyFill="1" applyBorder="1" applyAlignment="1">
      <alignment horizontal="center" vertical="center" wrapText="1"/>
    </xf>
    <xf numFmtId="167" fontId="54" fillId="13" borderId="509" xfId="0" applyNumberFormat="1" applyFont="1" applyFill="1" applyBorder="1" applyAlignment="1">
      <alignment horizontal="center" vertical="center" wrapText="1"/>
    </xf>
    <xf numFmtId="177" fontId="26" fillId="13" borderId="508" xfId="0" applyNumberFormat="1" applyFont="1" applyFill="1" applyBorder="1" applyAlignment="1">
      <alignment horizontal="center" vertical="center" wrapText="1"/>
    </xf>
    <xf numFmtId="1" fontId="0" fillId="0" borderId="0" xfId="0" applyNumberFormat="1" applyAlignment="1">
      <alignment vertical="center" wrapText="1"/>
    </xf>
    <xf numFmtId="167" fontId="28" fillId="13" borderId="496" xfId="0" applyNumberFormat="1" applyFont="1" applyFill="1" applyBorder="1" applyAlignment="1">
      <alignment horizontal="left" vertical="center" wrapText="1"/>
    </xf>
    <xf numFmtId="192" fontId="0" fillId="0" borderId="0" xfId="0" applyNumberFormat="1"/>
    <xf numFmtId="38" fontId="0" fillId="0" borderId="0" xfId="0" applyNumberFormat="1"/>
    <xf numFmtId="43" fontId="0" fillId="0" borderId="511" xfId="1" applyFont="1" applyBorder="1" applyAlignment="1">
      <alignment vertical="center"/>
    </xf>
    <xf numFmtId="172" fontId="0" fillId="0" borderId="0" xfId="0" applyNumberFormat="1"/>
    <xf numFmtId="165" fontId="0" fillId="0" borderId="0" xfId="0" applyNumberFormat="1" applyAlignment="1">
      <alignment horizontal="center"/>
    </xf>
    <xf numFmtId="0" fontId="139" fillId="11" borderId="505" xfId="0" applyFont="1" applyFill="1" applyBorder="1" applyAlignment="1">
      <alignment horizontal="left" vertical="center"/>
    </xf>
    <xf numFmtId="43" fontId="90" fillId="9" borderId="505" xfId="1" applyFont="1" applyFill="1" applyBorder="1" applyAlignment="1">
      <alignment horizontal="center" vertical="center" wrapText="1"/>
    </xf>
    <xf numFmtId="167" fontId="9" fillId="11" borderId="22" xfId="0" applyNumberFormat="1" applyFont="1" applyFill="1" applyBorder="1" applyAlignment="1" applyProtection="1">
      <alignment horizontal="center"/>
      <protection locked="0"/>
    </xf>
    <xf numFmtId="193" fontId="0" fillId="0" borderId="0" xfId="0" applyNumberFormat="1"/>
    <xf numFmtId="43" fontId="139" fillId="19" borderId="424" xfId="1" applyFont="1" applyFill="1" applyBorder="1" applyAlignment="1">
      <alignment horizontal="center" vertical="center" wrapText="1"/>
    </xf>
    <xf numFmtId="1" fontId="0" fillId="0" borderId="0" xfId="0" applyNumberFormat="1" applyAlignment="1">
      <alignment vertical="center"/>
    </xf>
    <xf numFmtId="1" fontId="71" fillId="0" borderId="0" xfId="0" applyNumberFormat="1" applyFont="1" applyAlignment="1">
      <alignment vertical="center"/>
    </xf>
    <xf numFmtId="3" fontId="0" fillId="0" borderId="502" xfId="0" quotePrefix="1" applyNumberFormat="1" applyBorder="1" applyAlignment="1">
      <alignment horizontal="center" vertical="center"/>
    </xf>
    <xf numFmtId="194" fontId="0" fillId="0" borderId="0" xfId="0" applyNumberFormat="1"/>
    <xf numFmtId="0" fontId="70" fillId="25" borderId="514" xfId="0" applyFont="1" applyFill="1" applyBorder="1" applyAlignment="1">
      <alignment horizontal="centerContinuous" vertical="center"/>
    </xf>
    <xf numFmtId="0" fontId="85" fillId="25" borderId="515" xfId="0" applyFont="1" applyFill="1" applyBorder="1" applyAlignment="1">
      <alignment horizontal="centerContinuous" vertical="center" wrapText="1"/>
    </xf>
    <xf numFmtId="0" fontId="70" fillId="25" borderId="515" xfId="0" applyFont="1" applyFill="1" applyBorder="1" applyAlignment="1">
      <alignment horizontal="centerContinuous" vertical="center"/>
    </xf>
    <xf numFmtId="0" fontId="70" fillId="25" borderId="57" xfId="0" applyFont="1" applyFill="1" applyBorder="1" applyAlignment="1">
      <alignment horizontal="centerContinuous" vertical="center"/>
    </xf>
    <xf numFmtId="0" fontId="67" fillId="14" borderId="0" xfId="0" applyFont="1" applyFill="1" applyAlignment="1">
      <alignment horizontal="center" vertical="center" wrapText="1"/>
    </xf>
    <xf numFmtId="0" fontId="67" fillId="14" borderId="519" xfId="0" applyFont="1" applyFill="1" applyBorder="1" applyAlignment="1">
      <alignment horizontal="center" vertical="center" wrapText="1"/>
    </xf>
    <xf numFmtId="0" fontId="4" fillId="39" borderId="0" xfId="0" applyFont="1" applyFill="1"/>
    <xf numFmtId="0" fontId="41" fillId="31" borderId="523" xfId="0" applyFont="1" applyFill="1" applyBorder="1" applyAlignment="1">
      <alignment horizontal="center" vertical="center"/>
    </xf>
    <xf numFmtId="0" fontId="41" fillId="31" borderId="524" xfId="0" applyFont="1" applyFill="1" applyBorder="1" applyAlignment="1">
      <alignment horizontal="center" vertical="center"/>
    </xf>
    <xf numFmtId="165" fontId="41" fillId="31" borderId="525" xfId="0" applyNumberFormat="1" applyFont="1" applyFill="1" applyBorder="1" applyAlignment="1">
      <alignment vertical="center"/>
    </xf>
    <xf numFmtId="9" fontId="41" fillId="31" borderId="525" xfId="2" applyFont="1" applyFill="1" applyBorder="1" applyAlignment="1">
      <alignment horizontal="center" vertical="center"/>
    </xf>
    <xf numFmtId="170" fontId="9" fillId="19" borderId="420" xfId="0" applyNumberFormat="1" applyFont="1" applyFill="1" applyBorder="1" applyAlignment="1" applyProtection="1">
      <alignment vertical="center"/>
      <protection locked="0"/>
    </xf>
    <xf numFmtId="9" fontId="0" fillId="0" borderId="0" xfId="2" applyFont="1"/>
    <xf numFmtId="43" fontId="139" fillId="9" borderId="441" xfId="1" applyFont="1" applyFill="1" applyBorder="1" applyAlignment="1">
      <alignment horizontal="center" vertical="center" wrapText="1"/>
    </xf>
    <xf numFmtId="10" fontId="0" fillId="0" borderId="487" xfId="2" applyNumberFormat="1" applyFont="1" applyBorder="1" applyAlignment="1">
      <alignment horizontal="center"/>
    </xf>
    <xf numFmtId="10" fontId="0" fillId="0" borderId="490" xfId="2" applyNumberFormat="1" applyFont="1" applyBorder="1" applyAlignment="1">
      <alignment horizontal="center"/>
    </xf>
    <xf numFmtId="0" fontId="4" fillId="43" borderId="487" xfId="0" applyFont="1" applyFill="1" applyBorder="1"/>
    <xf numFmtId="15" fontId="38" fillId="43" borderId="484" xfId="0" applyNumberFormat="1" applyFont="1" applyFill="1" applyBorder="1" applyAlignment="1">
      <alignment horizontal="center" vertical="center"/>
    </xf>
    <xf numFmtId="0" fontId="38" fillId="43" borderId="484" xfId="0" applyFont="1" applyFill="1" applyBorder="1" applyAlignment="1">
      <alignment horizontal="center" vertical="center"/>
    </xf>
    <xf numFmtId="10" fontId="38" fillId="43" borderId="484" xfId="2" applyNumberFormat="1" applyFont="1" applyFill="1" applyBorder="1" applyAlignment="1">
      <alignment horizontal="center" vertical="center"/>
    </xf>
    <xf numFmtId="0" fontId="38" fillId="43" borderId="485" xfId="0" applyFont="1" applyFill="1" applyBorder="1" applyAlignment="1">
      <alignment horizontal="center" vertical="center"/>
    </xf>
    <xf numFmtId="0" fontId="4" fillId="43" borderId="486" xfId="0" applyFont="1" applyFill="1" applyBorder="1" applyAlignment="1">
      <alignment horizontal="center" vertical="center"/>
    </xf>
    <xf numFmtId="15" fontId="38" fillId="43" borderId="487" xfId="0" applyNumberFormat="1" applyFont="1" applyFill="1" applyBorder="1" applyAlignment="1">
      <alignment horizontal="center" vertical="center"/>
    </xf>
    <xf numFmtId="0" fontId="38" fillId="43" borderId="487" xfId="0" applyFont="1" applyFill="1" applyBorder="1" applyAlignment="1">
      <alignment horizontal="center" vertical="center"/>
    </xf>
    <xf numFmtId="10" fontId="38" fillId="43" borderId="487" xfId="2" applyNumberFormat="1" applyFont="1" applyFill="1" applyBorder="1" applyAlignment="1">
      <alignment horizontal="center" vertical="center"/>
    </xf>
    <xf numFmtId="0" fontId="0" fillId="43" borderId="487" xfId="0" applyFill="1" applyBorder="1" applyAlignment="1">
      <alignment horizontal="center"/>
    </xf>
    <xf numFmtId="0" fontId="0" fillId="43" borderId="488" xfId="0" applyFill="1" applyBorder="1" applyAlignment="1">
      <alignment horizontal="center"/>
    </xf>
    <xf numFmtId="10" fontId="0" fillId="43" borderId="487" xfId="2" applyNumberFormat="1" applyFont="1" applyFill="1" applyBorder="1" applyAlignment="1">
      <alignment horizontal="center"/>
    </xf>
    <xf numFmtId="15" fontId="0" fillId="43" borderId="487" xfId="0" applyNumberFormat="1" applyFill="1" applyBorder="1" applyAlignment="1">
      <alignment horizontal="center"/>
    </xf>
    <xf numFmtId="15" fontId="38" fillId="43" borderId="484" xfId="0" applyNumberFormat="1" applyFont="1" applyFill="1" applyBorder="1" applyAlignment="1">
      <alignment horizontal="center"/>
    </xf>
    <xf numFmtId="15" fontId="38" fillId="43" borderId="487" xfId="0" applyNumberFormat="1" applyFont="1" applyFill="1" applyBorder="1" applyAlignment="1">
      <alignment horizontal="center"/>
    </xf>
    <xf numFmtId="0" fontId="38" fillId="43" borderId="484" xfId="0" applyFont="1" applyFill="1" applyBorder="1" applyAlignment="1">
      <alignment horizontal="center"/>
    </xf>
    <xf numFmtId="10" fontId="38" fillId="43" borderId="484" xfId="2" applyNumberFormat="1" applyFont="1" applyFill="1" applyBorder="1" applyAlignment="1">
      <alignment horizontal="center"/>
    </xf>
    <xf numFmtId="0" fontId="38" fillId="43" borderId="485" xfId="0" applyFont="1" applyFill="1" applyBorder="1" applyAlignment="1">
      <alignment horizontal="center"/>
    </xf>
    <xf numFmtId="10" fontId="38" fillId="43" borderId="487" xfId="2" applyNumberFormat="1" applyFont="1" applyFill="1" applyBorder="1" applyAlignment="1">
      <alignment horizontal="center"/>
    </xf>
    <xf numFmtId="0" fontId="4" fillId="43" borderId="486" xfId="0" applyFont="1" applyFill="1" applyBorder="1" applyAlignment="1">
      <alignment horizontal="center"/>
    </xf>
    <xf numFmtId="10" fontId="0" fillId="0" borderId="104" xfId="0" applyNumberFormat="1" applyBorder="1" applyAlignment="1">
      <alignment horizontal="center" vertical="center"/>
    </xf>
    <xf numFmtId="10" fontId="0" fillId="0" borderId="105" xfId="0" applyNumberFormat="1" applyBorder="1" applyAlignment="1">
      <alignment horizontal="center" vertical="center" wrapText="1"/>
    </xf>
    <xf numFmtId="0" fontId="4" fillId="43" borderId="526" xfId="0" applyFont="1" applyFill="1" applyBorder="1" applyAlignment="1">
      <alignment horizontal="center"/>
    </xf>
    <xf numFmtId="15" fontId="38" fillId="0" borderId="490" xfId="0" applyNumberFormat="1" applyFont="1" applyBorder="1" applyAlignment="1">
      <alignment horizontal="center"/>
    </xf>
    <xf numFmtId="0" fontId="4" fillId="43" borderId="526" xfId="0" applyFont="1" applyFill="1" applyBorder="1" applyAlignment="1">
      <alignment horizontal="center" vertical="center"/>
    </xf>
    <xf numFmtId="0" fontId="4" fillId="43" borderId="484" xfId="0" applyFont="1" applyFill="1" applyBorder="1"/>
    <xf numFmtId="15" fontId="38" fillId="0" borderId="490" xfId="0" applyNumberFormat="1" applyFont="1" applyBorder="1" applyAlignment="1">
      <alignment horizontal="center" vertical="center"/>
    </xf>
    <xf numFmtId="0" fontId="133" fillId="19" borderId="84" xfId="0" applyFont="1" applyFill="1" applyBorder="1" applyAlignment="1">
      <alignment horizontal="left" vertical="center" wrapText="1"/>
    </xf>
    <xf numFmtId="0" fontId="90" fillId="11" borderId="505" xfId="0" applyFont="1" applyFill="1" applyBorder="1" applyAlignment="1">
      <alignment horizontal="left" vertical="center"/>
    </xf>
    <xf numFmtId="0" fontId="90" fillId="11" borderId="505" xfId="0" applyFont="1" applyFill="1" applyBorder="1" applyAlignment="1">
      <alignment horizontal="center" vertical="center" wrapText="1"/>
    </xf>
    <xf numFmtId="165" fontId="4" fillId="39" borderId="527" xfId="1" applyNumberFormat="1" applyFont="1" applyFill="1" applyBorder="1" applyAlignment="1" applyProtection="1">
      <alignment vertical="center"/>
    </xf>
    <xf numFmtId="165" fontId="0" fillId="0" borderId="527" xfId="1" applyNumberFormat="1" applyFont="1" applyFill="1" applyBorder="1" applyAlignment="1" applyProtection="1">
      <alignment vertical="center"/>
    </xf>
    <xf numFmtId="165" fontId="41" fillId="31" borderId="528" xfId="0" applyNumberFormat="1" applyFont="1" applyFill="1" applyBorder="1" applyAlignment="1">
      <alignment vertical="center"/>
    </xf>
    <xf numFmtId="0" fontId="41" fillId="3" borderId="529" xfId="0" applyFont="1" applyFill="1" applyBorder="1" applyAlignment="1">
      <alignment horizontal="center" wrapText="1"/>
    </xf>
    <xf numFmtId="4" fontId="41" fillId="3" borderId="529" xfId="0" applyNumberFormat="1" applyFont="1" applyFill="1" applyBorder="1" applyAlignment="1">
      <alignment vertical="center"/>
    </xf>
    <xf numFmtId="0" fontId="43" fillId="0" borderId="0" xfId="0" applyFont="1" applyAlignment="1">
      <alignment horizontal="center"/>
    </xf>
    <xf numFmtId="43" fontId="139" fillId="0" borderId="0" xfId="1" applyFont="1" applyAlignment="1">
      <alignment horizontal="center" vertical="center" wrapText="1"/>
    </xf>
    <xf numFmtId="4" fontId="133" fillId="0" borderId="0" xfId="0" applyNumberFormat="1" applyFont="1" applyAlignment="1">
      <alignment horizontal="center" vertical="center" wrapText="1"/>
    </xf>
    <xf numFmtId="0" fontId="7" fillId="44" borderId="392" xfId="0" applyFont="1" applyFill="1" applyBorder="1" applyAlignment="1">
      <alignment horizontal="center" vertical="center" wrapText="1"/>
    </xf>
    <xf numFmtId="0" fontId="7" fillId="44" borderId="1" xfId="0" applyFont="1" applyFill="1" applyBorder="1" applyAlignment="1">
      <alignment horizontal="center" vertical="center" wrapText="1"/>
    </xf>
    <xf numFmtId="0" fontId="7" fillId="44" borderId="2" xfId="0" applyFont="1" applyFill="1" applyBorder="1" applyAlignment="1">
      <alignment horizontal="center" vertical="center" wrapText="1"/>
    </xf>
    <xf numFmtId="0" fontId="0" fillId="0" borderId="57" xfId="0" applyBorder="1" applyAlignment="1">
      <alignment horizontal="center" vertical="center" wrapText="1"/>
    </xf>
    <xf numFmtId="4" fontId="140" fillId="45" borderId="530" xfId="0" applyNumberFormat="1" applyFont="1" applyFill="1" applyBorder="1" applyAlignment="1">
      <alignment horizontal="center" vertical="center"/>
    </xf>
    <xf numFmtId="4" fontId="140" fillId="3" borderId="530" xfId="0" applyNumberFormat="1" applyFont="1" applyFill="1" applyBorder="1" applyAlignment="1">
      <alignment horizontal="center" vertical="center"/>
    </xf>
    <xf numFmtId="4" fontId="140" fillId="3" borderId="531" xfId="0" applyNumberFormat="1" applyFont="1" applyFill="1" applyBorder="1" applyAlignment="1">
      <alignment horizontal="center" vertical="center"/>
    </xf>
    <xf numFmtId="4" fontId="140" fillId="45" borderId="531" xfId="0" applyNumberFormat="1" applyFont="1" applyFill="1" applyBorder="1" applyAlignment="1">
      <alignment horizontal="center" vertical="center"/>
    </xf>
    <xf numFmtId="0" fontId="140" fillId="45" borderId="530" xfId="0" applyFont="1" applyFill="1" applyBorder="1" applyAlignment="1">
      <alignment horizontal="center" vertical="center"/>
    </xf>
    <xf numFmtId="0" fontId="140" fillId="45" borderId="531" xfId="0" applyFont="1" applyFill="1" applyBorder="1" applyAlignment="1">
      <alignment horizontal="center" vertical="center"/>
    </xf>
    <xf numFmtId="4" fontId="140" fillId="17" borderId="530" xfId="0" applyNumberFormat="1" applyFont="1" applyFill="1" applyBorder="1" applyAlignment="1">
      <alignment horizontal="center" vertical="center"/>
    </xf>
    <xf numFmtId="4" fontId="140" fillId="17" borderId="531" xfId="0" applyNumberFormat="1" applyFont="1" applyFill="1" applyBorder="1" applyAlignment="1">
      <alignment horizontal="center" vertical="center"/>
    </xf>
    <xf numFmtId="0" fontId="140" fillId="17" borderId="531" xfId="0" applyFont="1" applyFill="1" applyBorder="1" applyAlignment="1">
      <alignment horizontal="center" vertical="center"/>
    </xf>
    <xf numFmtId="4" fontId="140" fillId="46" borderId="530" xfId="0" applyNumberFormat="1" applyFont="1" applyFill="1" applyBorder="1" applyAlignment="1">
      <alignment horizontal="center" vertical="center"/>
    </xf>
    <xf numFmtId="4" fontId="140" fillId="46" borderId="531" xfId="0" applyNumberFormat="1" applyFont="1" applyFill="1" applyBorder="1" applyAlignment="1">
      <alignment horizontal="center" vertical="center"/>
    </xf>
    <xf numFmtId="0" fontId="140" fillId="46" borderId="530" xfId="0" applyFont="1" applyFill="1" applyBorder="1" applyAlignment="1">
      <alignment horizontal="center" vertical="center"/>
    </xf>
    <xf numFmtId="0" fontId="140" fillId="46" borderId="531" xfId="0" applyFont="1" applyFill="1" applyBorder="1" applyAlignment="1">
      <alignment horizontal="center" vertical="center"/>
    </xf>
    <xf numFmtId="4" fontId="140" fillId="47" borderId="530" xfId="0" applyNumberFormat="1" applyFont="1" applyFill="1" applyBorder="1" applyAlignment="1">
      <alignment horizontal="center" vertical="center"/>
    </xf>
    <xf numFmtId="4" fontId="140" fillId="47" borderId="531" xfId="0" applyNumberFormat="1" applyFont="1" applyFill="1" applyBorder="1" applyAlignment="1">
      <alignment horizontal="center" vertical="center"/>
    </xf>
    <xf numFmtId="0" fontId="140" fillId="47" borderId="530" xfId="0" applyFont="1" applyFill="1" applyBorder="1" applyAlignment="1">
      <alignment horizontal="center" vertical="center"/>
    </xf>
    <xf numFmtId="0" fontId="140" fillId="47" borderId="531" xfId="0" applyFont="1" applyFill="1" applyBorder="1" applyAlignment="1">
      <alignment horizontal="center" vertical="center"/>
    </xf>
    <xf numFmtId="4" fontId="140" fillId="48" borderId="530" xfId="0" applyNumberFormat="1" applyFont="1" applyFill="1" applyBorder="1" applyAlignment="1">
      <alignment horizontal="center" vertical="center"/>
    </xf>
    <xf numFmtId="4" fontId="140" fillId="48" borderId="531" xfId="0" applyNumberFormat="1" applyFont="1" applyFill="1" applyBorder="1" applyAlignment="1">
      <alignment horizontal="center" vertical="center"/>
    </xf>
    <xf numFmtId="0" fontId="140" fillId="48" borderId="530" xfId="0" applyFont="1" applyFill="1" applyBorder="1" applyAlignment="1">
      <alignment horizontal="center" vertical="center"/>
    </xf>
    <xf numFmtId="0" fontId="140" fillId="48" borderId="531" xfId="0" applyFont="1" applyFill="1" applyBorder="1" applyAlignment="1">
      <alignment horizontal="center" vertical="center"/>
    </xf>
    <xf numFmtId="4" fontId="140" fillId="49" borderId="530" xfId="0" applyNumberFormat="1" applyFont="1" applyFill="1" applyBorder="1" applyAlignment="1">
      <alignment horizontal="center" vertical="center"/>
    </xf>
    <xf numFmtId="4" fontId="140" fillId="49" borderId="531" xfId="0" applyNumberFormat="1" applyFont="1" applyFill="1" applyBorder="1" applyAlignment="1">
      <alignment horizontal="center" vertical="center"/>
    </xf>
    <xf numFmtId="0" fontId="140" fillId="49" borderId="530" xfId="0" applyFont="1" applyFill="1" applyBorder="1" applyAlignment="1">
      <alignment horizontal="center" vertical="center"/>
    </xf>
    <xf numFmtId="0" fontId="140" fillId="49" borderId="531" xfId="0" applyFont="1" applyFill="1" applyBorder="1" applyAlignment="1">
      <alignment horizontal="center" vertical="center"/>
    </xf>
    <xf numFmtId="4" fontId="140" fillId="12" borderId="530" xfId="0" applyNumberFormat="1" applyFont="1" applyFill="1" applyBorder="1" applyAlignment="1">
      <alignment horizontal="center" vertical="center"/>
    </xf>
    <xf numFmtId="4" fontId="140" fillId="12" borderId="531" xfId="0" applyNumberFormat="1" applyFont="1" applyFill="1" applyBorder="1" applyAlignment="1">
      <alignment horizontal="center" vertical="center"/>
    </xf>
    <xf numFmtId="0" fontId="140" fillId="12" borderId="530" xfId="0" applyFont="1" applyFill="1" applyBorder="1" applyAlignment="1">
      <alignment horizontal="center" vertical="center"/>
    </xf>
    <xf numFmtId="0" fontId="140" fillId="12" borderId="531" xfId="0" applyFont="1" applyFill="1" applyBorder="1" applyAlignment="1">
      <alignment horizontal="center" vertical="center"/>
    </xf>
    <xf numFmtId="4" fontId="140" fillId="50" borderId="530" xfId="0" applyNumberFormat="1" applyFont="1" applyFill="1" applyBorder="1" applyAlignment="1">
      <alignment horizontal="center" vertical="center"/>
    </xf>
    <xf numFmtId="4" fontId="140" fillId="50" borderId="531" xfId="0" applyNumberFormat="1" applyFont="1" applyFill="1" applyBorder="1" applyAlignment="1">
      <alignment horizontal="center" vertical="center"/>
    </xf>
    <xf numFmtId="0" fontId="0" fillId="50" borderId="0" xfId="0" applyFill="1"/>
    <xf numFmtId="0" fontId="140" fillId="50" borderId="530" xfId="0" applyFont="1" applyFill="1" applyBorder="1" applyAlignment="1">
      <alignment horizontal="center" vertical="center"/>
    </xf>
    <xf numFmtId="0" fontId="140" fillId="50" borderId="531" xfId="0" applyFont="1" applyFill="1" applyBorder="1" applyAlignment="1">
      <alignment horizontal="center" vertical="center"/>
    </xf>
    <xf numFmtId="4" fontId="140" fillId="51" borderId="530" xfId="0" applyNumberFormat="1" applyFont="1" applyFill="1" applyBorder="1" applyAlignment="1">
      <alignment horizontal="center" vertical="center"/>
    </xf>
    <xf numFmtId="4" fontId="140" fillId="51" borderId="531" xfId="0" applyNumberFormat="1" applyFont="1" applyFill="1" applyBorder="1" applyAlignment="1">
      <alignment horizontal="center" vertical="center"/>
    </xf>
    <xf numFmtId="0" fontId="0" fillId="51" borderId="0" xfId="0" applyFill="1"/>
    <xf numFmtId="0" fontId="140" fillId="51" borderId="530" xfId="0" applyFont="1" applyFill="1" applyBorder="1" applyAlignment="1">
      <alignment horizontal="center" vertical="center"/>
    </xf>
    <xf numFmtId="0" fontId="140" fillId="51" borderId="531" xfId="0" applyFont="1" applyFill="1" applyBorder="1" applyAlignment="1">
      <alignment horizontal="center" vertical="center"/>
    </xf>
    <xf numFmtId="4" fontId="140" fillId="52" borderId="530" xfId="0" applyNumberFormat="1" applyFont="1" applyFill="1" applyBorder="1" applyAlignment="1">
      <alignment horizontal="center" vertical="center"/>
    </xf>
    <xf numFmtId="4" fontId="140" fillId="52" borderId="531" xfId="0" applyNumberFormat="1" applyFont="1" applyFill="1" applyBorder="1" applyAlignment="1">
      <alignment horizontal="center" vertical="center"/>
    </xf>
    <xf numFmtId="0" fontId="0" fillId="52" borderId="0" xfId="0" applyFill="1"/>
    <xf numFmtId="0" fontId="140" fillId="52" borderId="530" xfId="0" applyFont="1" applyFill="1" applyBorder="1" applyAlignment="1">
      <alignment horizontal="center" vertical="center"/>
    </xf>
    <xf numFmtId="0" fontId="140" fillId="52" borderId="531" xfId="0" applyFont="1" applyFill="1" applyBorder="1" applyAlignment="1">
      <alignment horizontal="center" vertical="center"/>
    </xf>
    <xf numFmtId="4" fontId="140" fillId="53" borderId="530" xfId="0" applyNumberFormat="1" applyFont="1" applyFill="1" applyBorder="1" applyAlignment="1">
      <alignment horizontal="center" vertical="center"/>
    </xf>
    <xf numFmtId="4" fontId="140" fillId="53" borderId="531" xfId="0" applyNumberFormat="1" applyFont="1" applyFill="1" applyBorder="1" applyAlignment="1">
      <alignment horizontal="center" vertical="center"/>
    </xf>
    <xf numFmtId="0" fontId="0" fillId="53" borderId="0" xfId="0" applyFill="1"/>
    <xf numFmtId="0" fontId="140" fillId="53" borderId="530" xfId="0" applyFont="1" applyFill="1" applyBorder="1" applyAlignment="1">
      <alignment horizontal="center" vertical="center"/>
    </xf>
    <xf numFmtId="0" fontId="140" fillId="53" borderId="531" xfId="0" applyFont="1" applyFill="1" applyBorder="1" applyAlignment="1">
      <alignment horizontal="center" vertical="center"/>
    </xf>
    <xf numFmtId="4" fontId="140" fillId="54" borderId="530" xfId="0" applyNumberFormat="1" applyFont="1" applyFill="1" applyBorder="1" applyAlignment="1">
      <alignment horizontal="center" vertical="center"/>
    </xf>
    <xf numFmtId="4" fontId="140" fillId="54" borderId="531" xfId="0" applyNumberFormat="1" applyFont="1" applyFill="1" applyBorder="1" applyAlignment="1">
      <alignment horizontal="center" vertical="center"/>
    </xf>
    <xf numFmtId="0" fontId="0" fillId="54" borderId="0" xfId="0" applyFill="1"/>
    <xf numFmtId="0" fontId="140" fillId="54" borderId="530" xfId="0" applyFont="1" applyFill="1" applyBorder="1" applyAlignment="1">
      <alignment horizontal="center" vertical="center"/>
    </xf>
    <xf numFmtId="0" fontId="140" fillId="54" borderId="531" xfId="0" applyFont="1" applyFill="1" applyBorder="1" applyAlignment="1">
      <alignment horizontal="center" vertical="center"/>
    </xf>
    <xf numFmtId="4" fontId="140" fillId="55" borderId="530" xfId="0" applyNumberFormat="1" applyFont="1" applyFill="1" applyBorder="1" applyAlignment="1">
      <alignment horizontal="center" vertical="center"/>
    </xf>
    <xf numFmtId="4" fontId="140" fillId="55" borderId="531" xfId="0" applyNumberFormat="1" applyFont="1" applyFill="1" applyBorder="1" applyAlignment="1">
      <alignment horizontal="center" vertical="center"/>
    </xf>
    <xf numFmtId="0" fontId="0" fillId="55" borderId="0" xfId="0" applyFill="1"/>
    <xf numFmtId="0" fontId="140" fillId="55" borderId="530" xfId="0" applyFont="1" applyFill="1" applyBorder="1" applyAlignment="1">
      <alignment horizontal="center" vertical="center"/>
    </xf>
    <xf numFmtId="0" fontId="140" fillId="55" borderId="531" xfId="0" applyFont="1" applyFill="1" applyBorder="1" applyAlignment="1">
      <alignment horizontal="center" vertical="center"/>
    </xf>
    <xf numFmtId="4" fontId="140" fillId="56" borderId="530" xfId="0" applyNumberFormat="1" applyFont="1" applyFill="1" applyBorder="1" applyAlignment="1">
      <alignment horizontal="center" vertical="center"/>
    </xf>
    <xf numFmtId="4" fontId="140" fillId="56" borderId="531" xfId="0" applyNumberFormat="1" applyFont="1" applyFill="1" applyBorder="1" applyAlignment="1">
      <alignment horizontal="center" vertical="center"/>
    </xf>
    <xf numFmtId="0" fontId="0" fillId="56" borderId="0" xfId="0" applyFill="1"/>
    <xf numFmtId="0" fontId="140" fillId="56" borderId="530" xfId="0" applyFont="1" applyFill="1" applyBorder="1" applyAlignment="1">
      <alignment horizontal="center" vertical="center"/>
    </xf>
    <xf numFmtId="0" fontId="140" fillId="56" borderId="531" xfId="0" applyFont="1" applyFill="1" applyBorder="1" applyAlignment="1">
      <alignment horizontal="center" vertical="center"/>
    </xf>
    <xf numFmtId="4" fontId="140" fillId="57" borderId="530" xfId="0" applyNumberFormat="1" applyFont="1" applyFill="1" applyBorder="1" applyAlignment="1">
      <alignment horizontal="center" vertical="center"/>
    </xf>
    <xf numFmtId="4" fontId="140" fillId="57" borderId="531" xfId="0" applyNumberFormat="1" applyFont="1" applyFill="1" applyBorder="1" applyAlignment="1">
      <alignment horizontal="center" vertical="center"/>
    </xf>
    <xf numFmtId="0" fontId="0" fillId="57" borderId="0" xfId="0" applyFill="1"/>
    <xf numFmtId="0" fontId="140" fillId="57" borderId="530" xfId="0" applyFont="1" applyFill="1" applyBorder="1" applyAlignment="1">
      <alignment horizontal="center" vertical="center"/>
    </xf>
    <xf numFmtId="0" fontId="140" fillId="57" borderId="531" xfId="0" applyFont="1" applyFill="1" applyBorder="1" applyAlignment="1">
      <alignment horizontal="center" vertical="center"/>
    </xf>
    <xf numFmtId="4" fontId="140" fillId="58" borderId="530" xfId="0" applyNumberFormat="1" applyFont="1" applyFill="1" applyBorder="1" applyAlignment="1">
      <alignment horizontal="center" vertical="center"/>
    </xf>
    <xf numFmtId="4" fontId="140" fillId="58" borderId="531" xfId="0" applyNumberFormat="1" applyFont="1" applyFill="1" applyBorder="1" applyAlignment="1">
      <alignment horizontal="center" vertical="center"/>
    </xf>
    <xf numFmtId="0" fontId="0" fillId="58" borderId="0" xfId="0" applyFill="1"/>
    <xf numFmtId="0" fontId="140" fillId="58" borderId="530" xfId="0" applyFont="1" applyFill="1" applyBorder="1" applyAlignment="1">
      <alignment horizontal="center" vertical="center"/>
    </xf>
    <xf numFmtId="0" fontId="140" fillId="58" borderId="531" xfId="0" applyFont="1" applyFill="1" applyBorder="1" applyAlignment="1">
      <alignment horizontal="center" vertical="center"/>
    </xf>
    <xf numFmtId="4" fontId="140" fillId="45" borderId="399" xfId="0" applyNumberFormat="1" applyFont="1" applyFill="1" applyBorder="1" applyAlignment="1">
      <alignment horizontal="center" vertical="center"/>
    </xf>
    <xf numFmtId="4" fontId="140" fillId="59" borderId="399" xfId="0" applyNumberFormat="1" applyFont="1" applyFill="1" applyBorder="1" applyAlignment="1">
      <alignment horizontal="center" vertical="center"/>
    </xf>
    <xf numFmtId="4" fontId="140" fillId="59" borderId="4" xfId="0" applyNumberFormat="1" applyFont="1" applyFill="1" applyBorder="1" applyAlignment="1">
      <alignment horizontal="center" vertical="center"/>
    </xf>
    <xf numFmtId="0" fontId="0" fillId="59" borderId="349" xfId="0" applyFill="1" applyBorder="1"/>
    <xf numFmtId="0" fontId="140" fillId="59" borderId="532" xfId="0" applyFont="1" applyFill="1" applyBorder="1" applyAlignment="1">
      <alignment horizontal="center" vertical="center"/>
    </xf>
    <xf numFmtId="0" fontId="140" fillId="59" borderId="533" xfId="0" applyFont="1" applyFill="1" applyBorder="1" applyAlignment="1">
      <alignment horizontal="center" vertical="center"/>
    </xf>
    <xf numFmtId="0" fontId="9" fillId="4" borderId="20" xfId="0" applyFont="1" applyFill="1" applyBorder="1" applyAlignment="1" applyProtection="1">
      <alignment horizontal="left"/>
      <protection locked="0"/>
    </xf>
    <xf numFmtId="196" fontId="9" fillId="4" borderId="21" xfId="0" applyNumberFormat="1" applyFont="1" applyFill="1" applyBorder="1" applyAlignment="1" applyProtection="1">
      <alignment horizontal="center"/>
      <protection locked="0"/>
    </xf>
    <xf numFmtId="10" fontId="69" fillId="2" borderId="258" xfId="2" applyNumberFormat="1" applyFont="1" applyFill="1" applyBorder="1" applyAlignment="1">
      <alignment horizontal="center" vertical="center"/>
    </xf>
    <xf numFmtId="9" fontId="0" fillId="0" borderId="487" xfId="2" applyFont="1" applyBorder="1" applyAlignment="1">
      <alignment horizontal="center"/>
    </xf>
    <xf numFmtId="197" fontId="63" fillId="2" borderId="244" xfId="0" applyNumberFormat="1" applyFont="1" applyFill="1" applyBorder="1" applyAlignment="1">
      <alignment horizontal="center" vertical="center"/>
    </xf>
    <xf numFmtId="3" fontId="0" fillId="0" borderId="511" xfId="0" quotePrefix="1" applyNumberFormat="1" applyBorder="1" applyAlignment="1">
      <alignment horizontal="center" vertical="center"/>
    </xf>
    <xf numFmtId="43" fontId="141" fillId="0" borderId="0" xfId="1" applyFont="1"/>
    <xf numFmtId="0" fontId="20" fillId="41" borderId="500" xfId="0" applyFont="1" applyFill="1" applyBorder="1" applyAlignment="1">
      <alignment horizontal="left" vertical="center" wrapText="1"/>
    </xf>
    <xf numFmtId="0" fontId="138" fillId="41" borderId="503" xfId="0" applyFont="1" applyFill="1" applyBorder="1" applyAlignment="1">
      <alignment horizontal="left" vertical="center" wrapText="1"/>
    </xf>
    <xf numFmtId="40" fontId="0" fillId="0" borderId="0" xfId="0" applyNumberFormat="1" applyAlignment="1">
      <alignment vertical="center"/>
    </xf>
    <xf numFmtId="4" fontId="139" fillId="0" borderId="0" xfId="0" applyNumberFormat="1" applyFont="1" applyAlignment="1">
      <alignment horizontal="center" vertical="center" wrapText="1"/>
    </xf>
    <xf numFmtId="9" fontId="0" fillId="0" borderId="490" xfId="2" applyFont="1" applyBorder="1" applyAlignment="1">
      <alignment horizontal="center"/>
    </xf>
    <xf numFmtId="4" fontId="0" fillId="0" borderId="0" xfId="0" applyNumberFormat="1" applyAlignment="1">
      <alignment horizontal="center" vertical="center"/>
    </xf>
    <xf numFmtId="0" fontId="110" fillId="2" borderId="534" xfId="11" applyFont="1" applyFill="1" applyBorder="1" applyAlignment="1">
      <alignment horizontal="center" vertical="center"/>
    </xf>
    <xf numFmtId="0" fontId="111" fillId="2" borderId="123" xfId="11" applyFont="1" applyFill="1" applyBorder="1" applyAlignment="1">
      <alignment horizontal="left" vertical="center" wrapText="1"/>
    </xf>
    <xf numFmtId="0" fontId="111" fillId="2" borderId="0" xfId="11" applyFont="1" applyFill="1" applyAlignment="1">
      <alignment horizontal="left" vertical="center" wrapText="1"/>
    </xf>
    <xf numFmtId="0" fontId="111" fillId="2" borderId="10" xfId="11" applyFont="1" applyFill="1" applyBorder="1" applyAlignment="1">
      <alignment horizontal="left" vertical="center" wrapText="1"/>
    </xf>
    <xf numFmtId="9" fontId="112" fillId="0" borderId="120" xfId="11" applyNumberFormat="1" applyFont="1" applyBorder="1" applyAlignment="1" applyProtection="1">
      <alignment horizontal="center" vertical="center"/>
      <protection locked="0"/>
    </xf>
    <xf numFmtId="9" fontId="112" fillId="0" borderId="123" xfId="11" applyNumberFormat="1" applyFont="1" applyBorder="1" applyAlignment="1" applyProtection="1">
      <alignment horizontal="center" vertical="center"/>
      <protection locked="0"/>
    </xf>
    <xf numFmtId="9" fontId="112" fillId="0" borderId="535" xfId="11" applyNumberFormat="1" applyFont="1" applyBorder="1" applyAlignment="1" applyProtection="1">
      <alignment horizontal="center" vertical="center"/>
      <protection locked="0"/>
    </xf>
    <xf numFmtId="0" fontId="114" fillId="2" borderId="534" xfId="11" applyFont="1" applyFill="1" applyBorder="1" applyAlignment="1">
      <alignment horizontal="center" vertical="center"/>
    </xf>
    <xf numFmtId="0" fontId="115" fillId="2" borderId="123" xfId="11" applyFont="1" applyFill="1" applyBorder="1" applyAlignment="1">
      <alignment horizontal="left" vertical="center" wrapText="1"/>
    </xf>
    <xf numFmtId="0" fontId="115" fillId="2" borderId="0" xfId="11" applyFont="1" applyFill="1" applyAlignment="1">
      <alignment horizontal="left" vertical="center" wrapText="1"/>
    </xf>
    <xf numFmtId="0" fontId="115" fillId="2" borderId="10" xfId="11" applyFont="1" applyFill="1" applyBorder="1" applyAlignment="1">
      <alignment horizontal="left" vertical="center" wrapText="1"/>
    </xf>
    <xf numFmtId="0" fontId="110" fillId="2" borderId="5" xfId="11" applyFont="1" applyFill="1" applyBorder="1" applyAlignment="1">
      <alignment horizontal="center" vertical="center"/>
    </xf>
    <xf numFmtId="0" fontId="43" fillId="16" borderId="511" xfId="0" applyFont="1" applyFill="1" applyBorder="1" applyAlignment="1">
      <alignment wrapText="1"/>
    </xf>
    <xf numFmtId="0" fontId="43" fillId="16" borderId="500" xfId="0" applyFont="1" applyFill="1" applyBorder="1" applyAlignment="1">
      <alignment wrapText="1"/>
    </xf>
    <xf numFmtId="0" fontId="43" fillId="16" borderId="501" xfId="0" applyFont="1" applyFill="1" applyBorder="1" applyAlignment="1">
      <alignment wrapText="1"/>
    </xf>
    <xf numFmtId="0" fontId="43" fillId="16" borderId="502" xfId="0" applyFont="1" applyFill="1" applyBorder="1" applyAlignment="1">
      <alignment wrapText="1"/>
    </xf>
    <xf numFmtId="0" fontId="43" fillId="16" borderId="498" xfId="0" applyFont="1" applyFill="1" applyBorder="1" applyAlignment="1">
      <alignment wrapText="1"/>
    </xf>
    <xf numFmtId="43" fontId="78" fillId="0" borderId="500" xfId="1" applyFont="1" applyBorder="1" applyAlignment="1">
      <alignment horizontal="center" vertical="center" wrapText="1"/>
    </xf>
    <xf numFmtId="0" fontId="109" fillId="38" borderId="511" xfId="0" applyFont="1" applyFill="1" applyBorder="1" applyAlignment="1">
      <alignment horizontal="center" vertical="center" wrapText="1"/>
    </xf>
    <xf numFmtId="0" fontId="97" fillId="0" borderId="511" xfId="0" applyFont="1" applyBorder="1" applyAlignment="1">
      <alignment horizontal="center" vertical="center"/>
    </xf>
    <xf numFmtId="10" fontId="97" fillId="0" borderId="511" xfId="0" applyNumberFormat="1" applyFont="1" applyBorder="1" applyAlignment="1">
      <alignment horizontal="center" vertical="center"/>
    </xf>
    <xf numFmtId="0" fontId="88" fillId="0" borderId="511" xfId="4" applyFont="1" applyBorder="1" applyAlignment="1">
      <alignment horizontal="center" vertical="center"/>
    </xf>
    <xf numFmtId="0" fontId="88" fillId="0" borderId="500" xfId="4" applyFont="1" applyBorder="1" applyAlignment="1">
      <alignment horizontal="center" vertical="center"/>
    </xf>
    <xf numFmtId="0" fontId="92" fillId="0" borderId="511" xfId="4" applyFont="1" applyBorder="1" applyAlignment="1">
      <alignment horizontal="center" vertical="center"/>
    </xf>
    <xf numFmtId="0" fontId="88" fillId="0" borderId="501" xfId="11" applyFont="1" applyBorder="1" applyAlignment="1">
      <alignment horizontal="center" vertical="center" wrapText="1"/>
    </xf>
    <xf numFmtId="9" fontId="93" fillId="0" borderId="511" xfId="5" applyFont="1" applyBorder="1" applyAlignment="1" applyProtection="1">
      <alignment horizontal="center" vertical="center" wrapText="1"/>
    </xf>
    <xf numFmtId="0" fontId="90" fillId="0" borderId="511" xfId="11" applyFont="1" applyBorder="1" applyAlignment="1">
      <alignment horizontal="center" vertical="center" wrapText="1"/>
    </xf>
    <xf numFmtId="9" fontId="93" fillId="0" borderId="511" xfId="5" applyFont="1" applyFill="1" applyBorder="1" applyAlignment="1" applyProtection="1">
      <alignment horizontal="center" wrapText="1"/>
    </xf>
    <xf numFmtId="2" fontId="88" fillId="0" borderId="511" xfId="5" applyNumberFormat="1" applyFont="1" applyBorder="1" applyAlignment="1" applyProtection="1">
      <alignment horizontal="center" vertical="center"/>
    </xf>
    <xf numFmtId="0" fontId="29" fillId="16" borderId="511" xfId="0" applyFont="1" applyFill="1" applyBorder="1" applyAlignment="1">
      <alignment horizontal="center" vertical="center"/>
    </xf>
    <xf numFmtId="0" fontId="40" fillId="16" borderId="511" xfId="0" applyFont="1" applyFill="1" applyBorder="1" applyAlignment="1">
      <alignment horizontal="center" vertical="center" wrapText="1"/>
    </xf>
    <xf numFmtId="10" fontId="0" fillId="2" borderId="511" xfId="2" quotePrefix="1" applyNumberFormat="1" applyFont="1" applyFill="1" applyBorder="1" applyAlignment="1">
      <alignment horizontal="center" vertical="center"/>
    </xf>
    <xf numFmtId="0" fontId="52" fillId="22" borderId="538" xfId="9" applyFont="1" applyFill="1" applyBorder="1" applyAlignment="1">
      <alignment horizontal="center" vertical="center" wrapText="1"/>
    </xf>
    <xf numFmtId="0" fontId="52" fillId="22" borderId="538" xfId="9" applyFont="1" applyFill="1" applyBorder="1" applyAlignment="1">
      <alignment horizontal="center" vertical="center"/>
    </xf>
    <xf numFmtId="0" fontId="52" fillId="22" borderId="539" xfId="9" applyFont="1" applyFill="1" applyBorder="1" applyAlignment="1">
      <alignment horizontal="center" vertical="center" wrapText="1"/>
    </xf>
    <xf numFmtId="0" fontId="8" fillId="0" borderId="144" xfId="0" applyFont="1" applyBorder="1" applyAlignment="1">
      <alignment horizontal="center"/>
    </xf>
    <xf numFmtId="0" fontId="4" fillId="0" borderId="123" xfId="0" applyFont="1" applyBorder="1" applyAlignment="1">
      <alignment horizontal="center"/>
    </xf>
    <xf numFmtId="17" fontId="8" fillId="0" borderId="511" xfId="0" applyNumberFormat="1" applyFont="1" applyBorder="1" applyAlignment="1">
      <alignment horizontal="center"/>
    </xf>
    <xf numFmtId="1" fontId="42" fillId="0" borderId="540" xfId="0" applyNumberFormat="1" applyFont="1" applyBorder="1" applyAlignment="1">
      <alignment horizontal="center" vertical="center"/>
    </xf>
    <xf numFmtId="0" fontId="0" fillId="0" borderId="536" xfId="0" quotePrefix="1" applyBorder="1" applyAlignment="1">
      <alignment horizontal="center" vertical="center"/>
    </xf>
    <xf numFmtId="0" fontId="0" fillId="0" borderId="511" xfId="0" applyBorder="1"/>
    <xf numFmtId="0" fontId="4" fillId="5" borderId="511" xfId="0" applyFont="1" applyFill="1" applyBorder="1" applyAlignment="1">
      <alignment horizontal="center" vertical="center"/>
    </xf>
    <xf numFmtId="0" fontId="4" fillId="5" borderId="511" xfId="0" applyFont="1" applyFill="1" applyBorder="1" applyAlignment="1">
      <alignment horizontal="center"/>
    </xf>
    <xf numFmtId="0" fontId="4" fillId="5" borderId="123" xfId="0" applyFont="1" applyFill="1" applyBorder="1" applyAlignment="1">
      <alignment horizontal="center"/>
    </xf>
    <xf numFmtId="9" fontId="12" fillId="0" borderId="511" xfId="0" applyNumberFormat="1" applyFont="1" applyBorder="1" applyAlignment="1">
      <alignment horizontal="center" vertical="center"/>
    </xf>
    <xf numFmtId="2" fontId="12" fillId="0" borderId="511" xfId="1" applyNumberFormat="1" applyFont="1" applyBorder="1" applyAlignment="1">
      <alignment horizontal="center"/>
    </xf>
    <xf numFmtId="0" fontId="0" fillId="10" borderId="500" xfId="0" applyFill="1" applyBorder="1"/>
    <xf numFmtId="0" fontId="0" fillId="10" borderId="498" xfId="0" applyFill="1" applyBorder="1"/>
    <xf numFmtId="0" fontId="0" fillId="10" borderId="499" xfId="0" applyFill="1" applyBorder="1"/>
    <xf numFmtId="2" fontId="12" fillId="0" borderId="511" xfId="0" applyNumberFormat="1" applyFont="1" applyBorder="1" applyAlignment="1">
      <alignment horizontal="center" vertical="center"/>
    </xf>
    <xf numFmtId="0" fontId="110" fillId="2" borderId="545" xfId="11" applyFont="1" applyFill="1" applyBorder="1" applyAlignment="1">
      <alignment horizontal="center" vertical="center"/>
    </xf>
    <xf numFmtId="0" fontId="143" fillId="0" borderId="393" xfId="11" applyFont="1" applyBorder="1" applyAlignment="1" applyProtection="1">
      <alignment horizontal="center" vertical="center"/>
      <protection locked="0"/>
    </xf>
    <xf numFmtId="0" fontId="143" fillId="17" borderId="393" xfId="11" applyFont="1" applyFill="1" applyBorder="1" applyAlignment="1" applyProtection="1">
      <alignment horizontal="center" vertical="center"/>
      <protection locked="0"/>
    </xf>
    <xf numFmtId="0" fontId="143" fillId="0" borderId="394" xfId="11" applyFont="1" applyBorder="1" applyAlignment="1" applyProtection="1">
      <alignment horizontal="center" vertical="center"/>
      <protection locked="0"/>
    </xf>
    <xf numFmtId="0" fontId="143" fillId="0" borderId="546" xfId="11" applyFont="1" applyBorder="1" applyAlignment="1" applyProtection="1">
      <alignment horizontal="center" vertical="center"/>
      <protection locked="0"/>
    </xf>
    <xf numFmtId="0" fontId="143" fillId="17" borderId="546" xfId="11" applyFont="1" applyFill="1" applyBorder="1" applyAlignment="1" applyProtection="1">
      <alignment horizontal="center" vertical="center"/>
      <protection locked="0"/>
    </xf>
    <xf numFmtId="0" fontId="143" fillId="0" borderId="547" xfId="11" applyFont="1" applyBorder="1" applyAlignment="1" applyProtection="1">
      <alignment horizontal="center" vertical="center"/>
      <protection locked="0"/>
    </xf>
    <xf numFmtId="0" fontId="143" fillId="17" borderId="547" xfId="11" applyFont="1" applyFill="1" applyBorder="1" applyAlignment="1" applyProtection="1">
      <alignment horizontal="center" vertical="center"/>
      <protection locked="0"/>
    </xf>
    <xf numFmtId="0" fontId="143" fillId="0" borderId="3" xfId="11" applyFont="1" applyBorder="1" applyAlignment="1" applyProtection="1">
      <alignment horizontal="center" vertical="center"/>
      <protection locked="0"/>
    </xf>
    <xf numFmtId="0" fontId="143" fillId="17" borderId="3" xfId="11" applyFont="1" applyFill="1" applyBorder="1" applyAlignment="1" applyProtection="1">
      <alignment horizontal="center" vertical="center"/>
      <protection locked="0"/>
    </xf>
    <xf numFmtId="0" fontId="143" fillId="0" borderId="4" xfId="11" applyFont="1" applyBorder="1" applyAlignment="1" applyProtection="1">
      <alignment horizontal="center" vertical="center"/>
      <protection locked="0"/>
    </xf>
    <xf numFmtId="43" fontId="133" fillId="0" borderId="0" xfId="0" applyNumberFormat="1" applyFont="1" applyAlignment="1">
      <alignment horizontal="center" vertical="center" wrapText="1"/>
    </xf>
    <xf numFmtId="0" fontId="139" fillId="19" borderId="356" xfId="0" applyFont="1" applyFill="1" applyBorder="1" applyAlignment="1">
      <alignment horizontal="center" vertical="center" wrapText="1"/>
    </xf>
    <xf numFmtId="0" fontId="139" fillId="19" borderId="354" xfId="0" applyFont="1" applyFill="1" applyBorder="1" applyAlignment="1">
      <alignment horizontal="center" vertical="center" wrapText="1"/>
    </xf>
    <xf numFmtId="0" fontId="139" fillId="19" borderId="357" xfId="0" applyFont="1" applyFill="1" applyBorder="1" applyAlignment="1">
      <alignment horizontal="center" vertical="center" wrapText="1"/>
    </xf>
    <xf numFmtId="0" fontId="144" fillId="41" borderId="548" xfId="0" applyFont="1" applyFill="1" applyBorder="1" applyAlignment="1">
      <alignment horizontal="center" vertical="center" wrapText="1"/>
    </xf>
    <xf numFmtId="0" fontId="145" fillId="0" borderId="504" xfId="41" applyFont="1" applyBorder="1" applyAlignment="1">
      <alignment horizontal="center" vertical="center"/>
    </xf>
    <xf numFmtId="0" fontId="145" fillId="0" borderId="468" xfId="41" applyFont="1" applyBorder="1" applyAlignment="1">
      <alignment horizontal="left" vertical="center" wrapText="1"/>
    </xf>
    <xf numFmtId="4" fontId="145" fillId="0" borderId="468" xfId="41" applyNumberFormat="1" applyFont="1" applyBorder="1" applyAlignment="1">
      <alignment horizontal="left" vertical="center"/>
    </xf>
    <xf numFmtId="3" fontId="0" fillId="0" borderId="0" xfId="0" applyNumberFormat="1"/>
    <xf numFmtId="174" fontId="134" fillId="11" borderId="546" xfId="4" applyNumberFormat="1" applyFont="1" applyFill="1" applyBorder="1" applyAlignment="1">
      <alignment horizontal="center" vertical="center" wrapText="1"/>
    </xf>
    <xf numFmtId="175" fontId="134" fillId="11" borderId="546" xfId="4" applyNumberFormat="1" applyFont="1" applyFill="1" applyBorder="1" applyAlignment="1">
      <alignment horizontal="center" vertical="center" wrapText="1"/>
    </xf>
    <xf numFmtId="191" fontId="134" fillId="11" borderId="546" xfId="4" applyNumberFormat="1" applyFont="1" applyFill="1" applyBorder="1" applyAlignment="1">
      <alignment horizontal="center" vertical="center" wrapText="1"/>
    </xf>
    <xf numFmtId="49" fontId="134" fillId="11" borderId="546" xfId="4" applyNumberFormat="1" applyFont="1" applyFill="1" applyBorder="1" applyAlignment="1">
      <alignment horizontal="center" vertical="center" wrapText="1"/>
    </xf>
    <xf numFmtId="174" fontId="19" fillId="0" borderId="546" xfId="4" applyNumberFormat="1" applyFont="1" applyBorder="1" applyAlignment="1">
      <alignment horizontal="center" vertical="center" wrapText="1"/>
    </xf>
    <xf numFmtId="174" fontId="134" fillId="11" borderId="546" xfId="4" applyNumberFormat="1" applyFont="1" applyFill="1" applyBorder="1" applyAlignment="1">
      <alignment horizontal="left" vertical="center" wrapText="1"/>
    </xf>
    <xf numFmtId="174" fontId="70" fillId="16" borderId="84" xfId="4" applyNumberFormat="1" applyFont="1" applyFill="1" applyBorder="1" applyAlignment="1">
      <alignment horizontal="center" vertical="center" wrapText="1"/>
    </xf>
    <xf numFmtId="0" fontId="70" fillId="16" borderId="84" xfId="4" applyFont="1" applyFill="1" applyBorder="1" applyAlignment="1">
      <alignment horizontal="center" vertical="center" wrapText="1"/>
    </xf>
    <xf numFmtId="175" fontId="70" fillId="16" borderId="84" xfId="4" applyNumberFormat="1" applyFont="1" applyFill="1" applyBorder="1" applyAlignment="1">
      <alignment horizontal="center" vertical="center" wrapText="1"/>
    </xf>
    <xf numFmtId="14" fontId="70" fillId="16" borderId="84" xfId="4" applyNumberFormat="1" applyFont="1" applyFill="1" applyBorder="1" applyAlignment="1">
      <alignment horizontal="center" vertical="center" wrapText="1"/>
    </xf>
    <xf numFmtId="176" fontId="70" fillId="16" borderId="84" xfId="4" applyNumberFormat="1" applyFont="1" applyFill="1" applyBorder="1" applyAlignment="1">
      <alignment horizontal="center" vertical="center" wrapText="1"/>
    </xf>
    <xf numFmtId="49" fontId="70" fillId="16" borderId="84" xfId="4" applyNumberFormat="1" applyFont="1" applyFill="1" applyBorder="1" applyAlignment="1">
      <alignment horizontal="center" vertical="center" wrapText="1"/>
    </xf>
    <xf numFmtId="1" fontId="70" fillId="16" borderId="84" xfId="4" applyNumberFormat="1" applyFont="1" applyFill="1" applyBorder="1" applyAlignment="1">
      <alignment horizontal="center" vertical="center" wrapText="1"/>
    </xf>
    <xf numFmtId="0" fontId="0" fillId="0" borderId="350" xfId="0" applyBorder="1" applyAlignment="1">
      <alignment horizontal="center" vertical="center"/>
    </xf>
    <xf numFmtId="0" fontId="0" fillId="0" borderId="349" xfId="0" applyBorder="1" applyAlignment="1">
      <alignment horizontal="center" vertical="center"/>
    </xf>
    <xf numFmtId="0" fontId="0" fillId="0" borderId="348" xfId="0" applyBorder="1" applyAlignment="1">
      <alignment horizontal="center" vertical="center"/>
    </xf>
    <xf numFmtId="0" fontId="146" fillId="60" borderId="546" xfId="0" applyFont="1" applyFill="1" applyBorder="1" applyAlignment="1">
      <alignment horizontal="center" vertical="center" wrapText="1" readingOrder="2"/>
    </xf>
    <xf numFmtId="15" fontId="147" fillId="0" borderId="546" xfId="0" applyNumberFormat="1" applyFont="1" applyBorder="1" applyAlignment="1">
      <alignment horizontal="center" vertical="center" wrapText="1" readingOrder="1"/>
    </xf>
    <xf numFmtId="0" fontId="0" fillId="0" borderId="63" xfId="0" applyBorder="1" applyAlignment="1">
      <alignment horizontal="center" vertical="center"/>
    </xf>
    <xf numFmtId="0" fontId="0" fillId="0" borderId="64" xfId="0" applyBorder="1" applyAlignment="1">
      <alignment horizontal="center" vertical="center"/>
    </xf>
    <xf numFmtId="0" fontId="146" fillId="0" borderId="546" xfId="0" applyFont="1" applyBorder="1" applyAlignment="1">
      <alignment horizontal="center" vertical="center" wrapText="1" readingOrder="2"/>
    </xf>
    <xf numFmtId="15" fontId="147" fillId="60" borderId="546" xfId="0" applyNumberFormat="1" applyFont="1" applyFill="1" applyBorder="1" applyAlignment="1">
      <alignment horizontal="center" vertical="center" wrapText="1" readingOrder="1"/>
    </xf>
    <xf numFmtId="9" fontId="146" fillId="0" borderId="546" xfId="2" applyFont="1" applyBorder="1" applyAlignment="1">
      <alignment horizontal="center" vertical="center" wrapText="1" readingOrder="2"/>
    </xf>
    <xf numFmtId="165" fontId="146" fillId="0" borderId="546" xfId="1" applyNumberFormat="1" applyFont="1" applyBorder="1" applyAlignment="1">
      <alignment horizontal="center" vertical="center" wrapText="1" readingOrder="2"/>
    </xf>
    <xf numFmtId="165" fontId="147" fillId="0" borderId="546" xfId="1" applyNumberFormat="1" applyFont="1" applyBorder="1" applyAlignment="1">
      <alignment horizontal="center" vertical="center" wrapText="1" readingOrder="2"/>
    </xf>
    <xf numFmtId="0" fontId="148" fillId="62" borderId="11" xfId="0" applyFont="1" applyFill="1" applyBorder="1" applyAlignment="1">
      <alignment horizontal="center" vertical="center" wrapText="1" readingOrder="1"/>
    </xf>
    <xf numFmtId="0" fontId="0" fillId="0" borderId="58" xfId="0" applyBorder="1" applyAlignment="1">
      <alignment horizontal="center" vertical="center"/>
    </xf>
    <xf numFmtId="0" fontId="0" fillId="0" borderId="57" xfId="0" applyBorder="1" applyAlignment="1">
      <alignment horizontal="center" vertical="center"/>
    </xf>
    <xf numFmtId="0" fontId="0" fillId="0" borderId="223" xfId="0" applyBorder="1" applyAlignment="1">
      <alignment horizontal="center" vertical="center"/>
    </xf>
    <xf numFmtId="9" fontId="146" fillId="60" borderId="546" xfId="2" applyFont="1" applyFill="1" applyBorder="1" applyAlignment="1">
      <alignment horizontal="center" vertical="center" wrapText="1" readingOrder="2"/>
    </xf>
    <xf numFmtId="165" fontId="146" fillId="60" borderId="546" xfId="1" applyNumberFormat="1" applyFont="1" applyFill="1" applyBorder="1" applyAlignment="1">
      <alignment horizontal="center" vertical="center" wrapText="1" readingOrder="2"/>
    </xf>
    <xf numFmtId="165" fontId="147" fillId="60" borderId="546" xfId="1" applyNumberFormat="1" applyFont="1" applyFill="1" applyBorder="1" applyAlignment="1">
      <alignment horizontal="center" vertical="center" wrapText="1" readingOrder="2"/>
    </xf>
    <xf numFmtId="165" fontId="147" fillId="60" borderId="546" xfId="1" applyNumberFormat="1" applyFont="1" applyFill="1" applyBorder="1" applyAlignment="1">
      <alignment vertical="center" wrapText="1" readingOrder="2"/>
    </xf>
    <xf numFmtId="165" fontId="0" fillId="0" borderId="0" xfId="0" applyNumberFormat="1" applyAlignment="1">
      <alignment horizontal="center" vertical="center"/>
    </xf>
    <xf numFmtId="0" fontId="146" fillId="60" borderId="546" xfId="0" applyFont="1" applyFill="1" applyBorder="1" applyAlignment="1">
      <alignment vertical="center" wrapText="1" readingOrder="2"/>
    </xf>
    <xf numFmtId="9" fontId="0" fillId="0" borderId="0" xfId="0" applyNumberFormat="1" applyAlignment="1">
      <alignment horizontal="center" vertical="center"/>
    </xf>
    <xf numFmtId="0" fontId="43" fillId="0" borderId="0" xfId="0" applyFont="1" applyAlignment="1">
      <alignment horizontal="center" vertical="center"/>
    </xf>
    <xf numFmtId="165" fontId="43" fillId="0" borderId="0" xfId="0" applyNumberFormat="1" applyFont="1" applyAlignment="1">
      <alignment horizontal="center" vertical="center"/>
    </xf>
    <xf numFmtId="0" fontId="43" fillId="0" borderId="63" xfId="0" applyFont="1" applyBorder="1" applyAlignment="1">
      <alignment horizontal="center" vertical="center"/>
    </xf>
    <xf numFmtId="0" fontId="43" fillId="0" borderId="64" xfId="0" applyFont="1" applyBorder="1" applyAlignment="1">
      <alignment horizontal="center" vertical="center"/>
    </xf>
    <xf numFmtId="0" fontId="146" fillId="0" borderId="546" xfId="0" applyFont="1" applyBorder="1" applyAlignment="1">
      <alignment vertical="center" wrapText="1" readingOrder="2"/>
    </xf>
    <xf numFmtId="0" fontId="59" fillId="61" borderId="0" xfId="0" applyFont="1" applyFill="1" applyAlignment="1">
      <alignment horizontal="center" vertical="center"/>
    </xf>
    <xf numFmtId="10" fontId="150" fillId="63" borderId="546" xfId="0" applyNumberFormat="1" applyFont="1" applyFill="1" applyBorder="1" applyAlignment="1">
      <alignment horizontal="center" vertical="center" wrapText="1" readingOrder="2"/>
    </xf>
    <xf numFmtId="0" fontId="151" fillId="62" borderId="546" xfId="0" applyFont="1" applyFill="1" applyBorder="1" applyAlignment="1">
      <alignment horizontal="center" vertical="center" wrapText="1" readingOrder="2"/>
    </xf>
    <xf numFmtId="10" fontId="152" fillId="63" borderId="546" xfId="0" applyNumberFormat="1" applyFont="1" applyFill="1" applyBorder="1" applyAlignment="1">
      <alignment horizontal="center" vertical="center" wrapText="1" readingOrder="2"/>
    </xf>
    <xf numFmtId="0" fontId="153" fillId="60" borderId="546" xfId="0" applyFont="1" applyFill="1" applyBorder="1" applyAlignment="1">
      <alignment horizontal="center" vertical="center" wrapText="1" readingOrder="2"/>
    </xf>
    <xf numFmtId="0" fontId="155" fillId="60" borderId="546" xfId="0" applyFont="1" applyFill="1" applyBorder="1" applyAlignment="1">
      <alignment horizontal="center" vertical="center" wrapText="1" readingOrder="2"/>
    </xf>
    <xf numFmtId="0" fontId="153" fillId="63" borderId="546" xfId="0" applyFont="1" applyFill="1" applyBorder="1" applyAlignment="1">
      <alignment horizontal="center" vertical="center" wrapText="1" readingOrder="2"/>
    </xf>
    <xf numFmtId="0" fontId="43" fillId="0" borderId="58" xfId="0" applyFont="1" applyBorder="1" applyAlignment="1">
      <alignment horizontal="center" vertical="center"/>
    </xf>
    <xf numFmtId="0" fontId="43" fillId="0" borderId="57" xfId="0" applyFont="1" applyBorder="1" applyAlignment="1">
      <alignment horizontal="center" vertical="center"/>
    </xf>
    <xf numFmtId="0" fontId="43" fillId="0" borderId="223" xfId="0" applyFont="1" applyBorder="1" applyAlignment="1">
      <alignment horizontal="center" vertical="center"/>
    </xf>
    <xf numFmtId="0" fontId="148" fillId="62" borderId="11" xfId="0" applyFont="1" applyFill="1" applyBorder="1" applyAlignment="1">
      <alignment vertical="center" wrapText="1" readingOrder="1"/>
    </xf>
    <xf numFmtId="0" fontId="155" fillId="60" borderId="11" xfId="0" applyFont="1" applyFill="1" applyBorder="1" applyAlignment="1">
      <alignment horizontal="center" vertical="center" wrapText="1" readingOrder="2"/>
    </xf>
    <xf numFmtId="0" fontId="151" fillId="62" borderId="11" xfId="0" applyFont="1" applyFill="1" applyBorder="1" applyAlignment="1">
      <alignment horizontal="center" vertical="center" wrapText="1" readingOrder="2"/>
    </xf>
    <xf numFmtId="0" fontId="156" fillId="60" borderId="11" xfId="0" applyFont="1" applyFill="1" applyBorder="1" applyAlignment="1">
      <alignment horizontal="center" vertical="center" wrapText="1" readingOrder="2"/>
    </xf>
    <xf numFmtId="0" fontId="157" fillId="0" borderId="0" xfId="0" applyFont="1" applyAlignment="1">
      <alignment horizontal="center" vertical="center"/>
    </xf>
    <xf numFmtId="0" fontId="158" fillId="0" borderId="0" xfId="0" applyFont="1"/>
    <xf numFmtId="0" fontId="0" fillId="0" borderId="0" xfId="0" applyAlignment="1">
      <alignment horizontal="center" readingOrder="2"/>
    </xf>
    <xf numFmtId="0" fontId="158" fillId="19" borderId="0" xfId="0" applyFont="1" applyFill="1" applyAlignment="1">
      <alignment horizontal="center" vertical="center" wrapText="1" readingOrder="2"/>
    </xf>
    <xf numFmtId="9" fontId="160" fillId="11" borderId="352" xfId="0" applyNumberFormat="1" applyFont="1" applyFill="1" applyBorder="1" applyAlignment="1">
      <alignment horizontal="center" vertical="center" wrapText="1" readingOrder="2"/>
    </xf>
    <xf numFmtId="37" fontId="160" fillId="0" borderId="352" xfId="1" applyNumberFormat="1" applyFont="1" applyFill="1" applyBorder="1" applyAlignment="1">
      <alignment horizontal="center" vertical="center" readingOrder="2"/>
    </xf>
    <xf numFmtId="14" fontId="159" fillId="0" borderId="352" xfId="0" applyNumberFormat="1" applyFont="1" applyBorder="1" applyAlignment="1">
      <alignment horizontal="center" vertical="center" readingOrder="2"/>
    </xf>
    <xf numFmtId="1" fontId="160" fillId="0" borderId="352" xfId="1" applyNumberFormat="1" applyFont="1" applyFill="1" applyBorder="1" applyAlignment="1">
      <alignment horizontal="center" vertical="center" wrapText="1" readingOrder="2"/>
    </xf>
    <xf numFmtId="0" fontId="160" fillId="0" borderId="352" xfId="0" applyFont="1" applyBorder="1" applyAlignment="1">
      <alignment horizontal="center" vertical="center" wrapText="1"/>
    </xf>
    <xf numFmtId="0" fontId="161" fillId="19" borderId="352" xfId="0" applyFont="1" applyFill="1" applyBorder="1" applyAlignment="1">
      <alignment horizontal="center" vertical="center" wrapText="1"/>
    </xf>
    <xf numFmtId="0" fontId="160" fillId="0" borderId="351" xfId="0" applyFont="1" applyBorder="1" applyAlignment="1">
      <alignment horizontal="center" vertical="center" readingOrder="2"/>
    </xf>
    <xf numFmtId="4" fontId="162" fillId="64" borderId="64" xfId="0" applyNumberFormat="1" applyFont="1" applyFill="1" applyBorder="1" applyAlignment="1">
      <alignment horizontal="center" vertical="center" wrapText="1" readingOrder="2"/>
    </xf>
    <xf numFmtId="4" fontId="162" fillId="64" borderId="535" xfId="0" applyNumberFormat="1" applyFont="1" applyFill="1" applyBorder="1" applyAlignment="1">
      <alignment horizontal="center" vertical="center" wrapText="1" readingOrder="2"/>
    </xf>
    <xf numFmtId="4" fontId="162" fillId="64" borderId="123" xfId="0" applyNumberFormat="1" applyFont="1" applyFill="1" applyBorder="1" applyAlignment="1">
      <alignment horizontal="center" vertical="center" wrapText="1" readingOrder="2"/>
    </xf>
    <xf numFmtId="4" fontId="163" fillId="65" borderId="120" xfId="0" applyNumberFormat="1" applyFont="1" applyFill="1" applyBorder="1" applyAlignment="1">
      <alignment horizontal="center" vertical="center" wrapText="1" readingOrder="2"/>
    </xf>
    <xf numFmtId="4" fontId="163" fillId="65" borderId="10" xfId="0" applyNumberFormat="1" applyFont="1" applyFill="1" applyBorder="1" applyAlignment="1">
      <alignment horizontal="center" vertical="center" wrapText="1" readingOrder="2"/>
    </xf>
    <xf numFmtId="4" fontId="163" fillId="65" borderId="534" xfId="0" applyNumberFormat="1" applyFont="1" applyFill="1" applyBorder="1" applyAlignment="1">
      <alignment horizontal="center" vertical="center" wrapText="1" readingOrder="2"/>
    </xf>
    <xf numFmtId="3" fontId="164" fillId="66" borderId="535" xfId="0" applyNumberFormat="1" applyFont="1" applyFill="1" applyBorder="1" applyAlignment="1">
      <alignment horizontal="center" vertical="center" wrapText="1" readingOrder="2"/>
    </xf>
    <xf numFmtId="4" fontId="164" fillId="66" borderId="120" xfId="0" applyNumberFormat="1" applyFont="1" applyFill="1" applyBorder="1" applyAlignment="1">
      <alignment horizontal="center" vertical="center" wrapText="1" readingOrder="2"/>
    </xf>
    <xf numFmtId="3" fontId="164" fillId="66" borderId="120" xfId="0" applyNumberFormat="1" applyFont="1" applyFill="1" applyBorder="1" applyAlignment="1">
      <alignment horizontal="center" vertical="center" wrapText="1" readingOrder="2"/>
    </xf>
    <xf numFmtId="4" fontId="164" fillId="66" borderId="534" xfId="0" applyNumberFormat="1" applyFont="1" applyFill="1" applyBorder="1" applyAlignment="1">
      <alignment horizontal="center" vertical="center" wrapText="1" readingOrder="2"/>
    </xf>
    <xf numFmtId="185" fontId="159" fillId="3" borderId="352" xfId="0" applyNumberFormat="1" applyFont="1" applyFill="1" applyBorder="1" applyAlignment="1">
      <alignment horizontal="center" vertical="center" wrapText="1"/>
    </xf>
    <xf numFmtId="195" fontId="134" fillId="11" borderId="546" xfId="4" applyNumberFormat="1" applyFont="1" applyFill="1" applyBorder="1" applyAlignment="1">
      <alignment horizontal="center" vertical="center" wrapText="1"/>
    </xf>
    <xf numFmtId="0" fontId="134" fillId="11" borderId="546" xfId="4" applyFont="1" applyFill="1" applyBorder="1" applyAlignment="1">
      <alignment horizontal="center" vertical="center" wrapText="1"/>
    </xf>
    <xf numFmtId="174" fontId="19" fillId="11" borderId="546" xfId="4" applyNumberFormat="1" applyFont="1" applyFill="1" applyBorder="1" applyAlignment="1">
      <alignment horizontal="center" vertical="center" wrapText="1"/>
    </xf>
    <xf numFmtId="9" fontId="160" fillId="11" borderId="352" xfId="0" applyNumberFormat="1" applyFont="1" applyFill="1" applyBorder="1" applyAlignment="1">
      <alignment horizontal="right" vertical="center" wrapText="1" readingOrder="2"/>
    </xf>
    <xf numFmtId="9" fontId="159" fillId="11" borderId="352" xfId="2" applyFont="1" applyFill="1" applyBorder="1" applyAlignment="1">
      <alignment horizontal="center" vertical="center" wrapText="1"/>
    </xf>
    <xf numFmtId="37" fontId="159" fillId="11" borderId="352" xfId="1" applyNumberFormat="1" applyFont="1" applyFill="1" applyBorder="1" applyAlignment="1">
      <alignment horizontal="center" vertical="center" wrapText="1"/>
    </xf>
    <xf numFmtId="14" fontId="159" fillId="11" borderId="424" xfId="0" applyNumberFormat="1" applyFont="1" applyFill="1" applyBorder="1" applyAlignment="1">
      <alignment horizontal="center" vertical="center" readingOrder="2"/>
    </xf>
    <xf numFmtId="3" fontId="0" fillId="0" borderId="511" xfId="0" quotePrefix="1" applyNumberFormat="1" applyBorder="1" applyAlignment="1">
      <alignment vertical="center"/>
    </xf>
    <xf numFmtId="3" fontId="0" fillId="0" borderId="546" xfId="0" quotePrefix="1" applyNumberFormat="1" applyBorder="1" applyAlignment="1">
      <alignment horizontal="center" vertical="center"/>
    </xf>
    <xf numFmtId="3" fontId="0" fillId="0" borderId="546" xfId="0" quotePrefix="1" applyNumberFormat="1" applyBorder="1" applyAlignment="1">
      <alignment vertical="center"/>
    </xf>
    <xf numFmtId="3" fontId="0" fillId="0" borderId="547" xfId="0" quotePrefix="1" applyNumberFormat="1" applyBorder="1" applyAlignment="1">
      <alignment horizontal="center" vertical="center"/>
    </xf>
    <xf numFmtId="10" fontId="0" fillId="2" borderId="546" xfId="2" quotePrefix="1" applyNumberFormat="1" applyFont="1" applyFill="1" applyBorder="1" applyAlignment="1">
      <alignment horizontal="center" vertical="center"/>
    </xf>
    <xf numFmtId="43" fontId="0" fillId="0" borderId="546" xfId="1" applyFont="1" applyBorder="1" applyAlignment="1">
      <alignment vertical="center"/>
    </xf>
    <xf numFmtId="9" fontId="0" fillId="0" borderId="0" xfId="2" applyFont="1" applyAlignment="1">
      <alignment vertical="center"/>
    </xf>
    <xf numFmtId="0" fontId="81" fillId="16" borderId="360" xfId="0" applyFont="1" applyFill="1" applyBorder="1" applyAlignment="1">
      <alignment horizontal="center" vertical="center"/>
    </xf>
    <xf numFmtId="0" fontId="0" fillId="0" borderId="420" xfId="0" applyBorder="1" applyAlignment="1">
      <alignment horizontal="center"/>
    </xf>
    <xf numFmtId="3" fontId="146" fillId="0" borderId="546" xfId="0" applyNumberFormat="1" applyFont="1" applyBorder="1" applyAlignment="1">
      <alignment horizontal="center" vertical="center" wrapText="1" readingOrder="2"/>
    </xf>
    <xf numFmtId="0" fontId="166" fillId="0" borderId="0" xfId="0" applyFont="1"/>
    <xf numFmtId="9" fontId="167" fillId="11" borderId="546" xfId="2" applyFont="1" applyFill="1" applyBorder="1" applyAlignment="1" applyProtection="1">
      <alignment horizontal="center" vertical="center"/>
    </xf>
    <xf numFmtId="15" fontId="0" fillId="0" borderId="0" xfId="1" applyNumberFormat="1" applyFont="1"/>
    <xf numFmtId="10" fontId="0" fillId="0" borderId="0" xfId="2" applyNumberFormat="1" applyFont="1" applyAlignment="1">
      <alignment horizontal="center"/>
    </xf>
    <xf numFmtId="10" fontId="0" fillId="0" borderId="0" xfId="2" applyNumberFormat="1" applyFont="1" applyAlignment="1">
      <alignment horizontal="center" vertical="center"/>
    </xf>
    <xf numFmtId="167" fontId="90" fillId="11" borderId="468" xfId="0" applyNumberFormat="1" applyFont="1" applyFill="1" applyBorder="1" applyAlignment="1">
      <alignment horizontal="center" vertical="center" shrinkToFit="1"/>
    </xf>
    <xf numFmtId="0" fontId="23" fillId="12" borderId="70" xfId="0" applyFont="1" applyFill="1" applyBorder="1" applyAlignment="1">
      <alignment horizontal="center" vertical="center" wrapText="1"/>
    </xf>
    <xf numFmtId="0" fontId="24" fillId="16" borderId="121" xfId="0" applyFont="1" applyFill="1" applyBorder="1" applyAlignment="1">
      <alignment horizontal="center" vertical="center" wrapText="1"/>
    </xf>
    <xf numFmtId="165" fontId="60" fillId="11" borderId="553" xfId="1" applyNumberFormat="1" applyFont="1" applyFill="1" applyBorder="1" applyAlignment="1">
      <alignment horizontal="center" vertical="center"/>
    </xf>
    <xf numFmtId="165" fontId="60" fillId="0" borderId="553" xfId="1" applyNumberFormat="1" applyFont="1" applyFill="1" applyBorder="1" applyAlignment="1">
      <alignment horizontal="center" vertical="center"/>
    </xf>
    <xf numFmtId="165" fontId="60" fillId="0" borderId="554" xfId="0" applyNumberFormat="1" applyFont="1" applyBorder="1" applyAlignment="1">
      <alignment horizontal="center" vertical="center"/>
    </xf>
    <xf numFmtId="165" fontId="60" fillId="11" borderId="119" xfId="1" applyNumberFormat="1" applyFont="1" applyFill="1" applyBorder="1" applyAlignment="1">
      <alignment horizontal="center" vertical="center"/>
    </xf>
    <xf numFmtId="165" fontId="60" fillId="0" borderId="119" xfId="1" applyNumberFormat="1" applyFont="1" applyFill="1" applyBorder="1" applyAlignment="1">
      <alignment horizontal="center" vertical="center"/>
    </xf>
    <xf numFmtId="165" fontId="60" fillId="0" borderId="556" xfId="0" applyNumberFormat="1" applyFont="1" applyBorder="1" applyAlignment="1">
      <alignment horizontal="center" vertical="center"/>
    </xf>
    <xf numFmtId="165" fontId="60" fillId="11" borderId="558" xfId="1" applyNumberFormat="1" applyFont="1" applyFill="1" applyBorder="1" applyAlignment="1">
      <alignment horizontal="center" vertical="center"/>
    </xf>
    <xf numFmtId="165" fontId="60" fillId="0" borderId="558" xfId="1" applyNumberFormat="1" applyFont="1" applyFill="1" applyBorder="1" applyAlignment="1">
      <alignment horizontal="center" vertical="center"/>
    </xf>
    <xf numFmtId="165" fontId="60" fillId="0" borderId="559" xfId="0" applyNumberFormat="1" applyFont="1" applyBorder="1" applyAlignment="1">
      <alignment horizontal="center" vertical="center"/>
    </xf>
    <xf numFmtId="165" fontId="67" fillId="16" borderId="98" xfId="27" applyNumberFormat="1" applyFont="1" applyFill="1" applyBorder="1" applyAlignment="1">
      <alignment horizontal="center" vertical="center"/>
    </xf>
    <xf numFmtId="165" fontId="60" fillId="11" borderId="553" xfId="1" applyNumberFormat="1" applyFont="1" applyFill="1" applyBorder="1"/>
    <xf numFmtId="165" fontId="60" fillId="0" borderId="553" xfId="1" applyNumberFormat="1" applyFont="1" applyFill="1" applyBorder="1"/>
    <xf numFmtId="165" fontId="41" fillId="0" borderId="554" xfId="0" applyNumberFormat="1" applyFont="1" applyBorder="1" applyAlignment="1">
      <alignment horizontal="center" vertical="center"/>
    </xf>
    <xf numFmtId="165" fontId="60" fillId="11" borderId="119" xfId="1" applyNumberFormat="1" applyFont="1" applyFill="1" applyBorder="1"/>
    <xf numFmtId="165" fontId="60" fillId="0" borderId="119" xfId="1" applyNumberFormat="1" applyFont="1" applyFill="1" applyBorder="1"/>
    <xf numFmtId="165" fontId="41" fillId="0" borderId="556" xfId="0" applyNumberFormat="1" applyFont="1" applyBorder="1" applyAlignment="1">
      <alignment horizontal="center" vertical="center"/>
    </xf>
    <xf numFmtId="165" fontId="60" fillId="11" borderId="558" xfId="1" applyNumberFormat="1" applyFont="1" applyFill="1" applyBorder="1"/>
    <xf numFmtId="165" fontId="60" fillId="0" borderId="558" xfId="1" applyNumberFormat="1" applyFont="1" applyFill="1" applyBorder="1"/>
    <xf numFmtId="165" fontId="41" fillId="0" borderId="559" xfId="0" applyNumberFormat="1" applyFont="1" applyBorder="1" applyAlignment="1">
      <alignment horizontal="center" vertical="center"/>
    </xf>
    <xf numFmtId="165" fontId="67" fillId="16" borderId="98" xfId="27" applyNumberFormat="1" applyFont="1" applyFill="1" applyBorder="1"/>
    <xf numFmtId="165" fontId="67" fillId="16" borderId="563" xfId="27" applyNumberFormat="1" applyFont="1" applyFill="1" applyBorder="1"/>
    <xf numFmtId="0" fontId="9" fillId="0" borderId="0" xfId="2" applyNumberFormat="1" applyFont="1" applyAlignment="1">
      <alignment horizontal="center"/>
    </xf>
    <xf numFmtId="15" fontId="141" fillId="0" borderId="0" xfId="0" applyNumberFormat="1" applyFont="1"/>
    <xf numFmtId="10" fontId="0" fillId="0" borderId="0" xfId="1" applyNumberFormat="1" applyFont="1"/>
    <xf numFmtId="198" fontId="0" fillId="0" borderId="0" xfId="0" applyNumberFormat="1"/>
    <xf numFmtId="40" fontId="9" fillId="0" borderId="0" xfId="0" applyNumberFormat="1" applyFont="1"/>
    <xf numFmtId="10" fontId="9" fillId="0" borderId="0" xfId="2" applyNumberFormat="1" applyFont="1"/>
    <xf numFmtId="0" fontId="0" fillId="0" borderId="0" xfId="1" applyNumberFormat="1" applyFont="1"/>
    <xf numFmtId="40" fontId="9" fillId="0" borderId="0" xfId="2" applyNumberFormat="1" applyFont="1" applyAlignment="1">
      <alignment horizontal="center"/>
    </xf>
    <xf numFmtId="167" fontId="133" fillId="0" borderId="498" xfId="0" applyNumberFormat="1" applyFont="1" applyBorder="1" applyAlignment="1">
      <alignment horizontal="center" vertical="center" wrapText="1"/>
    </xf>
    <xf numFmtId="167" fontId="133" fillId="19" borderId="84" xfId="0" applyNumberFormat="1" applyFont="1" applyFill="1" applyBorder="1" applyAlignment="1">
      <alignment horizontal="center" vertical="center" wrapText="1"/>
    </xf>
    <xf numFmtId="167" fontId="138" fillId="41" borderId="503" xfId="0" applyNumberFormat="1" applyFont="1" applyFill="1" applyBorder="1" applyAlignment="1">
      <alignment horizontal="center" vertical="center" wrapText="1"/>
    </xf>
    <xf numFmtId="167" fontId="90" fillId="0" borderId="468" xfId="0" applyNumberFormat="1" applyFont="1" applyBorder="1" applyAlignment="1">
      <alignment horizontal="center" vertical="center" shrinkToFit="1"/>
    </xf>
    <xf numFmtId="167" fontId="90" fillId="11" borderId="505" xfId="0" applyNumberFormat="1" applyFont="1" applyFill="1" applyBorder="1" applyAlignment="1">
      <alignment horizontal="center" vertical="center" shrinkToFit="1"/>
    </xf>
    <xf numFmtId="167" fontId="139" fillId="0" borderId="0" xfId="0" applyNumberFormat="1" applyFont="1" applyAlignment="1">
      <alignment horizontal="center" vertical="center" wrapText="1"/>
    </xf>
    <xf numFmtId="167" fontId="139" fillId="19" borderId="354" xfId="0" applyNumberFormat="1" applyFont="1" applyFill="1" applyBorder="1" applyAlignment="1">
      <alignment horizontal="center" vertical="center" wrapText="1"/>
    </xf>
    <xf numFmtId="10" fontId="9" fillId="0" borderId="0" xfId="2" applyNumberFormat="1" applyFont="1" applyAlignment="1">
      <alignment horizontal="center"/>
    </xf>
    <xf numFmtId="199" fontId="9" fillId="0" borderId="0" xfId="0" applyNumberFormat="1" applyFont="1" applyAlignment="1">
      <alignment horizontal="center"/>
    </xf>
    <xf numFmtId="198" fontId="9" fillId="0" borderId="0" xfId="2" applyNumberFormat="1" applyFont="1" applyAlignment="1">
      <alignment horizontal="center"/>
    </xf>
    <xf numFmtId="0" fontId="60" fillId="11" borderId="560" xfId="0" applyFont="1" applyFill="1" applyBorder="1" applyAlignment="1">
      <alignment horizontal="center" vertical="center"/>
    </xf>
    <xf numFmtId="0" fontId="60" fillId="11" borderId="561" xfId="0" applyFont="1" applyFill="1" applyBorder="1" applyAlignment="1">
      <alignment horizontal="center" vertical="center"/>
    </xf>
    <xf numFmtId="0" fontId="60" fillId="11" borderId="562" xfId="0" applyFont="1" applyFill="1" applyBorder="1" applyAlignment="1">
      <alignment horizontal="center" vertical="center"/>
    </xf>
    <xf numFmtId="0" fontId="55" fillId="26" borderId="223" xfId="0" quotePrefix="1" applyFont="1" applyFill="1" applyBorder="1" applyAlignment="1">
      <alignment horizontal="center" vertical="center" wrapText="1"/>
    </xf>
    <xf numFmtId="0" fontId="55" fillId="26" borderId="57" xfId="0" quotePrefix="1" applyFont="1" applyFill="1" applyBorder="1" applyAlignment="1">
      <alignment vertical="center" wrapText="1"/>
    </xf>
    <xf numFmtId="0" fontId="55" fillId="26" borderId="57" xfId="0" quotePrefix="1" applyFont="1" applyFill="1" applyBorder="1" applyAlignment="1">
      <alignment horizontal="center" vertical="center" wrapText="1"/>
    </xf>
    <xf numFmtId="0" fontId="55" fillId="26" borderId="58" xfId="0" quotePrefix="1" applyFont="1" applyFill="1" applyBorder="1" applyAlignment="1">
      <alignment horizontal="center" vertical="center" wrapText="1"/>
    </xf>
    <xf numFmtId="0" fontId="56" fillId="11" borderId="564" xfId="0" applyFont="1" applyFill="1" applyBorder="1" applyAlignment="1">
      <alignment horizontal="left" vertical="center"/>
    </xf>
    <xf numFmtId="15" fontId="0" fillId="0" borderId="565" xfId="0" applyNumberFormat="1" applyBorder="1"/>
    <xf numFmtId="167" fontId="0" fillId="0" borderId="565" xfId="0" applyNumberFormat="1" applyBorder="1" applyAlignment="1">
      <alignment horizontal="center" vertical="center"/>
    </xf>
    <xf numFmtId="9" fontId="0" fillId="0" borderId="565" xfId="2" applyFont="1" applyBorder="1" applyAlignment="1">
      <alignment horizontal="center" vertical="center"/>
    </xf>
    <xf numFmtId="2" fontId="0" fillId="0" borderId="565" xfId="0" applyNumberFormat="1" applyBorder="1" applyAlignment="1">
      <alignment horizontal="center" vertical="center"/>
    </xf>
    <xf numFmtId="2" fontId="0" fillId="0" borderId="566" xfId="0" applyNumberFormat="1" applyBorder="1" applyAlignment="1">
      <alignment horizontal="center" vertical="center"/>
    </xf>
    <xf numFmtId="0" fontId="56" fillId="11" borderId="567" xfId="0" applyFont="1" applyFill="1" applyBorder="1" applyAlignment="1">
      <alignment horizontal="left" vertical="center"/>
    </xf>
    <xf numFmtId="15" fontId="0" fillId="0" borderId="119" xfId="0" applyNumberFormat="1" applyBorder="1"/>
    <xf numFmtId="167" fontId="0" fillId="0" borderId="119" xfId="0" applyNumberFormat="1" applyBorder="1" applyAlignment="1">
      <alignment horizontal="center" vertical="center"/>
    </xf>
    <xf numFmtId="9" fontId="0" fillId="0" borderId="119" xfId="2" applyFont="1" applyBorder="1" applyAlignment="1">
      <alignment horizontal="center" vertical="center"/>
    </xf>
    <xf numFmtId="2" fontId="0" fillId="0" borderId="119" xfId="0" applyNumberFormat="1" applyBorder="1" applyAlignment="1">
      <alignment horizontal="center" vertical="center"/>
    </xf>
    <xf numFmtId="2" fontId="0" fillId="0" borderId="568" xfId="0" applyNumberFormat="1" applyBorder="1" applyAlignment="1">
      <alignment horizontal="center" vertical="center"/>
    </xf>
    <xf numFmtId="15" fontId="0" fillId="0" borderId="119" xfId="1" applyNumberFormat="1" applyFont="1" applyBorder="1"/>
    <xf numFmtId="15" fontId="0" fillId="0" borderId="119" xfId="2" applyNumberFormat="1" applyFont="1" applyBorder="1"/>
    <xf numFmtId="0" fontId="56" fillId="11" borderId="569" xfId="0" applyFont="1" applyFill="1" applyBorder="1" applyAlignment="1">
      <alignment horizontal="left" vertical="center"/>
    </xf>
    <xf numFmtId="167" fontId="0" fillId="0" borderId="570" xfId="0" applyNumberFormat="1" applyBorder="1" applyAlignment="1">
      <alignment horizontal="center" vertical="center"/>
    </xf>
    <xf numFmtId="167" fontId="0" fillId="11" borderId="570" xfId="0" applyNumberFormat="1" applyFill="1" applyBorder="1" applyAlignment="1">
      <alignment horizontal="center" vertical="center"/>
    </xf>
    <xf numFmtId="9" fontId="0" fillId="0" borderId="570" xfId="0" applyNumberFormat="1" applyBorder="1" applyAlignment="1">
      <alignment horizontal="center" vertical="center"/>
    </xf>
    <xf numFmtId="2" fontId="0" fillId="0" borderId="570" xfId="0" applyNumberFormat="1" applyBorder="1" applyAlignment="1">
      <alignment horizontal="center" vertical="center"/>
    </xf>
    <xf numFmtId="2" fontId="0" fillId="0" borderId="571" xfId="0" applyNumberFormat="1" applyBorder="1" applyAlignment="1">
      <alignment horizontal="center" vertical="center"/>
    </xf>
    <xf numFmtId="9" fontId="0" fillId="0" borderId="0" xfId="2" applyFont="1" applyAlignment="1">
      <alignment horizontal="center" vertical="center"/>
    </xf>
    <xf numFmtId="0" fontId="4" fillId="3" borderId="49" xfId="0" applyFont="1" applyFill="1" applyBorder="1" applyAlignment="1">
      <alignment horizontal="center" vertical="center"/>
    </xf>
    <xf numFmtId="0" fontId="4" fillId="3" borderId="50" xfId="0" applyFont="1" applyFill="1" applyBorder="1" applyAlignment="1">
      <alignment horizontal="center" vertical="center"/>
    </xf>
    <xf numFmtId="43" fontId="4" fillId="3" borderId="50" xfId="1" applyFont="1" applyFill="1" applyBorder="1" applyAlignment="1">
      <alignment horizontal="center" vertical="center"/>
    </xf>
    <xf numFmtId="0" fontId="4" fillId="3" borderId="51" xfId="0" applyFont="1" applyFill="1" applyBorder="1" applyAlignment="1">
      <alignment horizontal="center" vertical="center"/>
    </xf>
    <xf numFmtId="0" fontId="0" fillId="0" borderId="29" xfId="0" applyBorder="1" applyAlignment="1">
      <alignment horizontal="center" vertical="center"/>
    </xf>
    <xf numFmtId="10" fontId="0" fillId="0" borderId="26" xfId="2" applyNumberFormat="1" applyFont="1" applyBorder="1"/>
    <xf numFmtId="10" fontId="0" fillId="0" borderId="48" xfId="0" applyNumberFormat="1" applyBorder="1"/>
    <xf numFmtId="0" fontId="4" fillId="3" borderId="60" xfId="0" applyFont="1" applyFill="1" applyBorder="1" applyAlignment="1">
      <alignment horizontal="center" vertical="center"/>
    </xf>
    <xf numFmtId="0" fontId="4" fillId="3" borderId="61" xfId="0" applyFont="1" applyFill="1" applyBorder="1" applyAlignment="1">
      <alignment horizontal="center" vertical="center"/>
    </xf>
    <xf numFmtId="43" fontId="4" fillId="3" borderId="61" xfId="1" applyFont="1" applyFill="1" applyBorder="1"/>
    <xf numFmtId="0" fontId="4" fillId="3" borderId="61" xfId="0" applyFont="1" applyFill="1" applyBorder="1"/>
    <xf numFmtId="0" fontId="4" fillId="3" borderId="62" xfId="0" applyFont="1" applyFill="1" applyBorder="1"/>
    <xf numFmtId="191" fontId="0" fillId="0" borderId="26" xfId="0" applyNumberFormat="1" applyBorder="1" applyAlignment="1">
      <alignment horizontal="center" vertical="center"/>
    </xf>
    <xf numFmtId="167" fontId="0" fillId="0" borderId="0" xfId="0" applyNumberFormat="1"/>
    <xf numFmtId="0" fontId="138" fillId="0" borderId="0" xfId="0" applyFont="1"/>
    <xf numFmtId="15" fontId="138" fillId="0" borderId="0" xfId="0" applyNumberFormat="1" applyFont="1"/>
    <xf numFmtId="4" fontId="138" fillId="0" borderId="0" xfId="0" applyNumberFormat="1" applyFont="1" applyAlignment="1">
      <alignment wrapText="1"/>
    </xf>
    <xf numFmtId="9" fontId="138" fillId="0" borderId="0" xfId="0" applyNumberFormat="1" applyFont="1" applyAlignment="1">
      <alignment wrapText="1"/>
    </xf>
    <xf numFmtId="10" fontId="138" fillId="0" borderId="0" xfId="0" applyNumberFormat="1" applyFont="1" applyAlignment="1">
      <alignment wrapText="1"/>
    </xf>
    <xf numFmtId="0" fontId="43" fillId="0" borderId="0" xfId="0" applyFont="1"/>
    <xf numFmtId="15" fontId="43" fillId="0" borderId="0" xfId="0" applyNumberFormat="1" applyFont="1"/>
    <xf numFmtId="4" fontId="43" fillId="0" borderId="0" xfId="0" applyNumberFormat="1" applyFont="1" applyAlignment="1">
      <alignment wrapText="1"/>
    </xf>
    <xf numFmtId="9" fontId="43" fillId="0" borderId="0" xfId="0" applyNumberFormat="1" applyFont="1" applyAlignment="1">
      <alignment wrapText="1"/>
    </xf>
    <xf numFmtId="0" fontId="43" fillId="0" borderId="0" xfId="0" applyFont="1" applyAlignment="1">
      <alignment wrapText="1"/>
    </xf>
    <xf numFmtId="9" fontId="43" fillId="0" borderId="0" xfId="0" applyNumberFormat="1" applyFont="1"/>
    <xf numFmtId="4" fontId="43" fillId="0" borderId="0" xfId="0" applyNumberFormat="1" applyFont="1"/>
    <xf numFmtId="15" fontId="43" fillId="0" borderId="0" xfId="1" applyNumberFormat="1" applyFont="1"/>
    <xf numFmtId="15" fontId="43" fillId="0" borderId="0" xfId="2" applyNumberFormat="1" applyFont="1"/>
    <xf numFmtId="15" fontId="171" fillId="0" borderId="487" xfId="0" applyNumberFormat="1" applyFont="1" applyBorder="1" applyAlignment="1">
      <alignment horizontal="center"/>
    </xf>
    <xf numFmtId="10" fontId="129" fillId="0" borderId="487" xfId="2" applyNumberFormat="1" applyFont="1" applyBorder="1" applyAlignment="1" applyProtection="1">
      <alignment horizontal="center"/>
    </xf>
    <xf numFmtId="4" fontId="147" fillId="60" borderId="546" xfId="1" applyNumberFormat="1" applyFont="1" applyFill="1" applyBorder="1" applyAlignment="1">
      <alignment horizontal="center" vertical="center" wrapText="1" readingOrder="2"/>
    </xf>
    <xf numFmtId="4" fontId="147" fillId="0" borderId="546" xfId="1" applyNumberFormat="1" applyFont="1" applyBorder="1" applyAlignment="1">
      <alignment horizontal="center" vertical="center" wrapText="1" readingOrder="2"/>
    </xf>
    <xf numFmtId="15" fontId="0" fillId="0" borderId="0" xfId="0" applyNumberFormat="1" applyAlignment="1">
      <alignment vertical="center"/>
    </xf>
    <xf numFmtId="10" fontId="0" fillId="0" borderId="0" xfId="2" applyNumberFormat="1" applyFont="1" applyAlignment="1">
      <alignment vertical="center"/>
    </xf>
    <xf numFmtId="10" fontId="97" fillId="0" borderId="0" xfId="2" applyNumberFormat="1" applyFont="1" applyProtection="1"/>
    <xf numFmtId="43" fontId="0" fillId="0" borderId="0" xfId="0" applyNumberFormat="1" applyAlignment="1">
      <alignment horizontal="center" vertical="center"/>
    </xf>
    <xf numFmtId="0" fontId="160" fillId="11" borderId="352" xfId="0" applyFont="1" applyFill="1" applyBorder="1" applyAlignment="1">
      <alignment horizontal="center" vertical="center" wrapText="1" readingOrder="2"/>
    </xf>
    <xf numFmtId="165" fontId="175" fillId="0" borderId="50" xfId="1" applyNumberFormat="1" applyFont="1" applyFill="1" applyBorder="1" applyAlignment="1" applyProtection="1">
      <alignment vertical="center"/>
    </xf>
    <xf numFmtId="165" fontId="175" fillId="0" borderId="109" xfId="1" applyNumberFormat="1" applyFont="1" applyFill="1" applyBorder="1" applyAlignment="1" applyProtection="1">
      <alignment vertical="center"/>
    </xf>
    <xf numFmtId="165" fontId="175" fillId="0" borderId="51" xfId="1" applyNumberFormat="1" applyFont="1" applyFill="1" applyBorder="1" applyAlignment="1" applyProtection="1">
      <alignment vertical="center"/>
    </xf>
    <xf numFmtId="165" fontId="175" fillId="0" borderId="50" xfId="1" applyNumberFormat="1" applyFont="1" applyFill="1" applyBorder="1" applyAlignment="1" applyProtection="1"/>
    <xf numFmtId="165" fontId="176" fillId="0" borderId="48" xfId="1" applyNumberFormat="1" applyFont="1" applyFill="1" applyBorder="1" applyAlignment="1" applyProtection="1">
      <alignment vertical="center"/>
    </xf>
    <xf numFmtId="37" fontId="175" fillId="9" borderId="26" xfId="1" applyNumberFormat="1" applyFont="1" applyFill="1" applyBorder="1" applyAlignment="1" applyProtection="1">
      <alignment horizontal="center" vertical="center"/>
    </xf>
    <xf numFmtId="37" fontId="175" fillId="9" borderId="28" xfId="1" applyNumberFormat="1" applyFont="1" applyFill="1" applyBorder="1" applyAlignment="1" applyProtection="1">
      <alignment horizontal="center" vertical="center"/>
    </xf>
    <xf numFmtId="37" fontId="175" fillId="9" borderId="48" xfId="1" applyNumberFormat="1" applyFont="1" applyFill="1" applyBorder="1" applyAlignment="1" applyProtection="1">
      <alignment horizontal="center" vertical="center"/>
    </xf>
    <xf numFmtId="37" fontId="176" fillId="9" borderId="26" xfId="1" applyNumberFormat="1" applyFont="1" applyFill="1" applyBorder="1" applyAlignment="1" applyProtection="1">
      <alignment horizontal="center" vertical="center"/>
    </xf>
    <xf numFmtId="37" fontId="176" fillId="9" borderId="28" xfId="1" applyNumberFormat="1" applyFont="1" applyFill="1" applyBorder="1" applyAlignment="1" applyProtection="1">
      <alignment horizontal="center" vertical="center"/>
    </xf>
    <xf numFmtId="37" fontId="176" fillId="9" borderId="48" xfId="1" applyNumberFormat="1" applyFont="1" applyFill="1" applyBorder="1" applyAlignment="1" applyProtection="1">
      <alignment horizontal="center" vertical="center"/>
    </xf>
    <xf numFmtId="37" fontId="176" fillId="0" borderId="26" xfId="1" applyNumberFormat="1" applyFont="1" applyFill="1" applyBorder="1" applyAlignment="1" applyProtection="1">
      <alignment horizontal="center" vertical="center"/>
    </xf>
    <xf numFmtId="37" fontId="176" fillId="0" borderId="28" xfId="1" applyNumberFormat="1" applyFont="1" applyFill="1" applyBorder="1" applyAlignment="1" applyProtection="1">
      <alignment horizontal="center" vertical="center"/>
    </xf>
    <xf numFmtId="37" fontId="176" fillId="0" borderId="48" xfId="1" applyNumberFormat="1" applyFont="1" applyFill="1" applyBorder="1" applyAlignment="1" applyProtection="1">
      <alignment horizontal="center" vertical="center"/>
    </xf>
    <xf numFmtId="37" fontId="176" fillId="0" borderId="56" xfId="1" applyNumberFormat="1" applyFont="1" applyFill="1" applyBorder="1" applyAlignment="1" applyProtection="1">
      <alignment horizontal="center" vertical="center"/>
    </xf>
    <xf numFmtId="13" fontId="176" fillId="0" borderId="48" xfId="1" applyNumberFormat="1" applyFont="1" applyFill="1" applyBorder="1" applyAlignment="1" applyProtection="1">
      <alignment horizontal="center" vertical="center"/>
    </xf>
    <xf numFmtId="37" fontId="176" fillId="0" borderId="54" xfId="1" applyNumberFormat="1" applyFont="1" applyFill="1" applyBorder="1" applyAlignment="1" applyProtection="1">
      <alignment horizontal="center" vertical="center"/>
    </xf>
    <xf numFmtId="37" fontId="176" fillId="0" borderId="61" xfId="1" applyNumberFormat="1" applyFont="1" applyFill="1" applyBorder="1" applyAlignment="1" applyProtection="1">
      <alignment horizontal="center" vertical="center"/>
    </xf>
    <xf numFmtId="37" fontId="176" fillId="0" borderId="110" xfId="1" applyNumberFormat="1" applyFont="1" applyFill="1" applyBorder="1" applyAlignment="1" applyProtection="1">
      <alignment horizontal="center" vertical="center"/>
    </xf>
    <xf numFmtId="13" fontId="176" fillId="0" borderId="62" xfId="1" applyNumberFormat="1" applyFont="1" applyFill="1" applyBorder="1" applyAlignment="1" applyProtection="1">
      <alignment horizontal="center" vertical="center"/>
    </xf>
    <xf numFmtId="166" fontId="0" fillId="0" borderId="0" xfId="2" applyNumberFormat="1" applyFont="1"/>
    <xf numFmtId="10" fontId="2" fillId="0" borderId="487" xfId="2" applyNumberFormat="1" applyFont="1" applyBorder="1" applyAlignment="1" applyProtection="1">
      <alignment horizontal="center"/>
    </xf>
    <xf numFmtId="0" fontId="177" fillId="0" borderId="468" xfId="55" applyFont="1" applyBorder="1" applyAlignment="1">
      <alignment horizontal="center" vertical="center" wrapText="1"/>
    </xf>
    <xf numFmtId="43" fontId="177" fillId="0" borderId="468" xfId="55" applyNumberFormat="1" applyFont="1" applyBorder="1" applyAlignment="1">
      <alignment horizontal="left" vertical="center" wrapText="1"/>
    </xf>
    <xf numFmtId="0" fontId="177" fillId="0" borderId="468" xfId="55" applyFont="1" applyBorder="1" applyAlignment="1">
      <alignment horizontal="left" vertical="center" wrapText="1"/>
    </xf>
    <xf numFmtId="0" fontId="177" fillId="0" borderId="468" xfId="55" applyFont="1" applyBorder="1" applyAlignment="1">
      <alignment vertical="center" wrapText="1"/>
    </xf>
    <xf numFmtId="200" fontId="178" fillId="0" borderId="468" xfId="56" applyNumberFormat="1" applyFont="1" applyFill="1" applyBorder="1" applyAlignment="1">
      <alignment vertical="center" wrapText="1"/>
    </xf>
    <xf numFmtId="43" fontId="9" fillId="0" borderId="0" xfId="1" applyFont="1"/>
    <xf numFmtId="4" fontId="140" fillId="45" borderId="0" xfId="0" applyNumberFormat="1" applyFont="1" applyFill="1"/>
    <xf numFmtId="10" fontId="1" fillId="0" borderId="487" xfId="2" applyNumberFormat="1" applyFont="1" applyBorder="1" applyAlignment="1" applyProtection="1">
      <alignment horizontal="center"/>
    </xf>
    <xf numFmtId="164" fontId="3" fillId="0" borderId="26" xfId="16" applyFont="1" applyBorder="1"/>
    <xf numFmtId="4" fontId="3" fillId="0" borderId="26" xfId="0" applyNumberFormat="1" applyFont="1" applyBorder="1"/>
    <xf numFmtId="4" fontId="3" fillId="0" borderId="26" xfId="16" applyNumberFormat="1" applyFont="1" applyBorder="1"/>
    <xf numFmtId="43" fontId="0" fillId="0" borderId="26" xfId="1" applyFont="1" applyBorder="1"/>
    <xf numFmtId="15" fontId="0" fillId="0" borderId="119" xfId="0" applyNumberFormat="1" applyBorder="1" applyAlignment="1">
      <alignment horizontal="left"/>
    </xf>
    <xf numFmtId="15" fontId="0" fillId="0" borderId="565" xfId="0" applyNumberFormat="1" applyBorder="1" applyAlignment="1">
      <alignment horizontal="left"/>
    </xf>
    <xf numFmtId="0" fontId="180" fillId="0" borderId="0" xfId="59"/>
    <xf numFmtId="0" fontId="183" fillId="67" borderId="573" xfId="59" applyFont="1" applyFill="1" applyBorder="1" applyAlignment="1">
      <alignment horizontal="center" vertical="top" wrapText="1"/>
    </xf>
    <xf numFmtId="0" fontId="183" fillId="67" borderId="574" xfId="59" applyFont="1" applyFill="1" applyBorder="1" applyAlignment="1">
      <alignment horizontal="center" vertical="top" wrapText="1"/>
    </xf>
    <xf numFmtId="0" fontId="184" fillId="0" borderId="576" xfId="59" applyFont="1" applyBorder="1" applyAlignment="1">
      <alignment horizontal="center" vertical="center" wrapText="1"/>
    </xf>
    <xf numFmtId="3" fontId="184" fillId="0" borderId="576" xfId="59" applyNumberFormat="1" applyFont="1" applyBorder="1" applyAlignment="1">
      <alignment horizontal="center" vertical="center" wrapText="1"/>
    </xf>
    <xf numFmtId="0" fontId="185" fillId="0" borderId="577" xfId="59" applyFont="1" applyBorder="1" applyAlignment="1">
      <alignment horizontal="center" vertical="top" wrapText="1"/>
    </xf>
    <xf numFmtId="0" fontId="185" fillId="0" borderId="575" xfId="59" applyFont="1" applyBorder="1" applyAlignment="1">
      <alignment horizontal="center" vertical="top" wrapText="1"/>
    </xf>
    <xf numFmtId="0" fontId="185" fillId="0" borderId="576" xfId="59" applyFont="1" applyBorder="1" applyAlignment="1">
      <alignment vertical="top" wrapText="1"/>
    </xf>
    <xf numFmtId="0" fontId="185" fillId="0" borderId="576" xfId="59" applyFont="1" applyBorder="1" applyAlignment="1">
      <alignment horizontal="center" vertical="top" wrapText="1"/>
    </xf>
    <xf numFmtId="3" fontId="185" fillId="0" borderId="576" xfId="59" applyNumberFormat="1" applyFont="1" applyBorder="1" applyAlignment="1">
      <alignment vertical="top" wrapText="1"/>
    </xf>
    <xf numFmtId="201" fontId="185" fillId="0" borderId="576" xfId="59" applyNumberFormat="1" applyFont="1" applyBorder="1" applyAlignment="1">
      <alignment horizontal="center" vertical="top" wrapText="1"/>
    </xf>
    <xf numFmtId="0" fontId="185" fillId="0" borderId="578" xfId="59" applyFont="1" applyBorder="1" applyAlignment="1">
      <alignment horizontal="center" vertical="top" wrapText="1"/>
    </xf>
    <xf numFmtId="0" fontId="185" fillId="0" borderId="579" xfId="59" applyFont="1" applyBorder="1" applyAlignment="1">
      <alignment vertical="top" wrapText="1"/>
    </xf>
    <xf numFmtId="0" fontId="185" fillId="0" borderId="579" xfId="59" applyFont="1" applyBorder="1" applyAlignment="1">
      <alignment horizontal="center" vertical="top" wrapText="1"/>
    </xf>
    <xf numFmtId="3" fontId="185" fillId="0" borderId="579" xfId="59" applyNumberFormat="1" applyFont="1" applyBorder="1" applyAlignment="1">
      <alignment vertical="top" wrapText="1"/>
    </xf>
    <xf numFmtId="201" fontId="185" fillId="0" borderId="579" xfId="59" applyNumberFormat="1" applyFont="1" applyBorder="1" applyAlignment="1">
      <alignment horizontal="center" vertical="top" wrapText="1"/>
    </xf>
    <xf numFmtId="0" fontId="185" fillId="0" borderId="580" xfId="59" applyFont="1" applyBorder="1" applyAlignment="1">
      <alignment horizontal="center" vertical="top" wrapText="1"/>
    </xf>
    <xf numFmtId="0" fontId="185" fillId="0" borderId="575" xfId="59" applyFont="1" applyBorder="1" applyAlignment="1">
      <alignment horizontal="center" vertical="center" wrapText="1"/>
    </xf>
    <xf numFmtId="0" fontId="185" fillId="0" borderId="576" xfId="59" applyFont="1" applyBorder="1" applyAlignment="1">
      <alignment horizontal="center" vertical="center" wrapText="1"/>
    </xf>
    <xf numFmtId="0" fontId="186" fillId="0" borderId="546" xfId="59" applyFont="1" applyBorder="1" applyAlignment="1">
      <alignment horizontal="center" vertical="center" wrapText="1"/>
    </xf>
    <xf numFmtId="0" fontId="184" fillId="0" borderId="575" xfId="59" applyFont="1" applyBorder="1" applyAlignment="1">
      <alignment horizontal="center" vertical="top" wrapText="1"/>
    </xf>
    <xf numFmtId="0" fontId="184" fillId="68" borderId="576" xfId="59" applyFont="1" applyFill="1" applyBorder="1" applyAlignment="1">
      <alignment vertical="top" wrapText="1"/>
    </xf>
    <xf numFmtId="0" fontId="184" fillId="0" borderId="576" xfId="59" applyFont="1" applyBorder="1" applyAlignment="1">
      <alignment vertical="top" wrapText="1"/>
    </xf>
    <xf numFmtId="0" fontId="184" fillId="0" borderId="576" xfId="59" applyFont="1" applyBorder="1" applyAlignment="1">
      <alignment horizontal="center" vertical="top" wrapText="1"/>
    </xf>
    <xf numFmtId="3" fontId="184" fillId="0" borderId="576" xfId="59" applyNumberFormat="1" applyFont="1" applyBorder="1" applyAlignment="1">
      <alignment vertical="top" wrapText="1"/>
    </xf>
    <xf numFmtId="201" fontId="184" fillId="0" borderId="576" xfId="59" applyNumberFormat="1" applyFont="1" applyBorder="1" applyAlignment="1">
      <alignment horizontal="center" vertical="top" wrapText="1"/>
    </xf>
    <xf numFmtId="0" fontId="184" fillId="0" borderId="577" xfId="59" applyFont="1" applyBorder="1" applyAlignment="1">
      <alignment horizontal="center" vertical="top" wrapText="1"/>
    </xf>
    <xf numFmtId="0" fontId="184" fillId="0" borderId="578" xfId="59" applyFont="1" applyBorder="1" applyAlignment="1">
      <alignment horizontal="center" vertical="top" wrapText="1"/>
    </xf>
    <xf numFmtId="0" fontId="184" fillId="68" borderId="579" xfId="59" applyFont="1" applyFill="1" applyBorder="1" applyAlignment="1">
      <alignment vertical="top" wrapText="1"/>
    </xf>
    <xf numFmtId="0" fontId="184" fillId="0" borderId="579" xfId="59" applyFont="1" applyBorder="1" applyAlignment="1">
      <alignment vertical="top" wrapText="1"/>
    </xf>
    <xf numFmtId="0" fontId="184" fillId="0" borderId="579" xfId="59" applyFont="1" applyBorder="1" applyAlignment="1">
      <alignment horizontal="center" vertical="top" wrapText="1"/>
    </xf>
    <xf numFmtId="3" fontId="184" fillId="0" borderId="579" xfId="59" applyNumberFormat="1" applyFont="1" applyBorder="1" applyAlignment="1">
      <alignment vertical="top" wrapText="1"/>
    </xf>
    <xf numFmtId="201" fontId="184" fillId="0" borderId="579" xfId="59" applyNumberFormat="1" applyFont="1" applyBorder="1" applyAlignment="1">
      <alignment horizontal="center" vertical="top" wrapText="1"/>
    </xf>
    <xf numFmtId="0" fontId="184" fillId="0" borderId="580" xfId="59" applyFont="1" applyBorder="1" applyAlignment="1">
      <alignment horizontal="center" vertical="top" wrapText="1"/>
    </xf>
    <xf numFmtId="15" fontId="0" fillId="0" borderId="0" xfId="0" applyNumberFormat="1" applyAlignment="1">
      <alignment horizontal="left"/>
    </xf>
    <xf numFmtId="0" fontId="188" fillId="0" borderId="0" xfId="61"/>
    <xf numFmtId="0" fontId="191" fillId="67" borderId="572" xfId="61" applyFont="1" applyFill="1" applyBorder="1" applyAlignment="1">
      <alignment horizontal="center" vertical="top" wrapText="1"/>
    </xf>
    <xf numFmtId="0" fontId="191" fillId="67" borderId="573" xfId="61" applyFont="1" applyFill="1" applyBorder="1" applyAlignment="1">
      <alignment horizontal="center" vertical="top" wrapText="1"/>
    </xf>
    <xf numFmtId="0" fontId="191" fillId="67" borderId="574" xfId="61" applyFont="1" applyFill="1" applyBorder="1" applyAlignment="1">
      <alignment horizontal="center" vertical="top" wrapText="1"/>
    </xf>
    <xf numFmtId="0" fontId="192" fillId="0" borderId="575" xfId="61" applyFont="1" applyBorder="1" applyAlignment="1">
      <alignment horizontal="center" vertical="center" wrapText="1"/>
    </xf>
    <xf numFmtId="0" fontId="192" fillId="0" borderId="576" xfId="61" applyFont="1" applyBorder="1" applyAlignment="1">
      <alignment horizontal="center" vertical="center" wrapText="1"/>
    </xf>
    <xf numFmtId="3" fontId="192" fillId="0" borderId="576" xfId="61" applyNumberFormat="1" applyFont="1" applyBorder="1" applyAlignment="1">
      <alignment horizontal="center" vertical="center" wrapText="1"/>
    </xf>
    <xf numFmtId="201" fontId="192" fillId="0" borderId="576" xfId="61" applyNumberFormat="1" applyFont="1" applyBorder="1" applyAlignment="1">
      <alignment horizontal="center" vertical="center" wrapText="1"/>
    </xf>
    <xf numFmtId="0" fontId="192" fillId="0" borderId="577" xfId="61" applyFont="1" applyBorder="1" applyAlignment="1">
      <alignment horizontal="center" vertical="center" wrapText="1"/>
    </xf>
    <xf numFmtId="0" fontId="193" fillId="0" borderId="577" xfId="61" applyFont="1" applyBorder="1" applyAlignment="1">
      <alignment horizontal="center" vertical="top" wrapText="1"/>
    </xf>
    <xf numFmtId="14" fontId="192" fillId="0" borderId="576" xfId="61" applyNumberFormat="1" applyFont="1" applyBorder="1" applyAlignment="1">
      <alignment horizontal="center" vertical="center" wrapText="1"/>
    </xf>
    <xf numFmtId="0" fontId="194" fillId="0" borderId="0" xfId="61" applyFont="1" applyAlignment="1">
      <alignment horizontal="center" vertical="center" wrapText="1"/>
    </xf>
    <xf numFmtId="0" fontId="188" fillId="0" borderId="0" xfId="61" applyAlignment="1">
      <alignment horizontal="center" vertical="center" wrapText="1"/>
    </xf>
    <xf numFmtId="0" fontId="193" fillId="0" borderId="575" xfId="61" applyFont="1" applyBorder="1" applyAlignment="1">
      <alignment horizontal="center" vertical="top" wrapText="1"/>
    </xf>
    <xf numFmtId="0" fontId="193" fillId="0" borderId="576" xfId="61" applyFont="1" applyBorder="1" applyAlignment="1">
      <alignment vertical="top" wrapText="1"/>
    </xf>
    <xf numFmtId="0" fontId="193" fillId="0" borderId="576" xfId="61" applyFont="1" applyBorder="1" applyAlignment="1">
      <alignment horizontal="center" vertical="top" wrapText="1"/>
    </xf>
    <xf numFmtId="3" fontId="193" fillId="0" borderId="576" xfId="61" applyNumberFormat="1" applyFont="1" applyBorder="1" applyAlignment="1">
      <alignment horizontal="center" vertical="top" wrapText="1"/>
    </xf>
    <xf numFmtId="14" fontId="193" fillId="0" borderId="576" xfId="61" applyNumberFormat="1" applyFont="1" applyBorder="1" applyAlignment="1">
      <alignment horizontal="center" vertical="top" wrapText="1"/>
    </xf>
    <xf numFmtId="201" fontId="193" fillId="0" borderId="576" xfId="61" applyNumberFormat="1" applyFont="1" applyBorder="1" applyAlignment="1">
      <alignment horizontal="center" vertical="top" wrapText="1"/>
    </xf>
    <xf numFmtId="3" fontId="193" fillId="0" borderId="576" xfId="61" applyNumberFormat="1" applyFont="1" applyBorder="1" applyAlignment="1">
      <alignment vertical="top" wrapText="1"/>
    </xf>
    <xf numFmtId="0" fontId="193" fillId="0" borderId="578" xfId="61" applyFont="1" applyBorder="1" applyAlignment="1">
      <alignment horizontal="center" vertical="top" wrapText="1"/>
    </xf>
    <xf numFmtId="0" fontId="193" fillId="0" borderId="579" xfId="61" applyFont="1" applyBorder="1" applyAlignment="1">
      <alignment vertical="top" wrapText="1"/>
    </xf>
    <xf numFmtId="0" fontId="193" fillId="0" borderId="579" xfId="61" applyFont="1" applyBorder="1" applyAlignment="1">
      <alignment horizontal="center" vertical="top" wrapText="1"/>
    </xf>
    <xf numFmtId="3" fontId="193" fillId="0" borderId="579" xfId="61" applyNumberFormat="1" applyFont="1" applyBorder="1" applyAlignment="1">
      <alignment vertical="top" wrapText="1"/>
    </xf>
    <xf numFmtId="201" fontId="193" fillId="0" borderId="579" xfId="61" applyNumberFormat="1" applyFont="1" applyBorder="1" applyAlignment="1">
      <alignment horizontal="center" vertical="top" wrapText="1"/>
    </xf>
    <xf numFmtId="0" fontId="193" fillId="0" borderId="580" xfId="61" applyFont="1" applyBorder="1" applyAlignment="1">
      <alignment horizontal="center" vertical="top" wrapText="1"/>
    </xf>
    <xf numFmtId="15" fontId="43" fillId="0" borderId="0" xfId="0" applyNumberFormat="1" applyFont="1" applyAlignment="1">
      <alignment horizontal="left"/>
    </xf>
    <xf numFmtId="0" fontId="148" fillId="67" borderId="572" xfId="59" applyFont="1" applyFill="1" applyBorder="1" applyAlignment="1">
      <alignment horizontal="center" vertical="top" wrapText="1"/>
    </xf>
    <xf numFmtId="0" fontId="0" fillId="0" borderId="372" xfId="0" applyBorder="1" applyAlignment="1">
      <alignment horizontal="left" vertical="center"/>
    </xf>
    <xf numFmtId="0" fontId="0" fillId="0" borderId="277" xfId="0" applyBorder="1" applyAlignment="1">
      <alignment horizontal="left" vertical="center"/>
    </xf>
    <xf numFmtId="0" fontId="74" fillId="33" borderId="205" xfId="0" applyFont="1" applyFill="1" applyBorder="1" applyAlignment="1">
      <alignment horizontal="right" vertical="center"/>
    </xf>
    <xf numFmtId="0" fontId="74" fillId="33" borderId="0" xfId="0" applyFont="1" applyFill="1" applyAlignment="1">
      <alignment horizontal="right" vertical="center"/>
    </xf>
    <xf numFmtId="0" fontId="55" fillId="26" borderId="442" xfId="0" applyFont="1" applyFill="1" applyBorder="1" applyAlignment="1">
      <alignment horizontal="center"/>
    </xf>
    <xf numFmtId="0" fontId="55" fillId="26" borderId="443" xfId="0" applyFont="1" applyFill="1" applyBorder="1" applyAlignment="1">
      <alignment horizontal="center"/>
    </xf>
    <xf numFmtId="0" fontId="75" fillId="11" borderId="382" xfId="0" applyFont="1" applyFill="1" applyBorder="1" applyAlignment="1">
      <alignment horizontal="right"/>
    </xf>
    <xf numFmtId="0" fontId="75" fillId="11" borderId="298" xfId="0" applyFont="1" applyFill="1" applyBorder="1" applyAlignment="1">
      <alignment horizontal="right"/>
    </xf>
    <xf numFmtId="0" fontId="75" fillId="11" borderId="383" xfId="0" applyFont="1" applyFill="1" applyBorder="1" applyAlignment="1">
      <alignment horizontal="right"/>
    </xf>
    <xf numFmtId="0" fontId="75" fillId="11" borderId="300" xfId="0" applyFont="1" applyFill="1" applyBorder="1" applyAlignment="1">
      <alignment horizontal="right"/>
    </xf>
    <xf numFmtId="0" fontId="75" fillId="11" borderId="381" xfId="0" applyFont="1" applyFill="1" applyBorder="1" applyAlignment="1">
      <alignment horizontal="right" vertical="center"/>
    </xf>
    <xf numFmtId="0" fontId="75" fillId="11" borderId="295" xfId="0" applyFont="1" applyFill="1" applyBorder="1" applyAlignment="1">
      <alignment horizontal="right" vertical="center"/>
    </xf>
    <xf numFmtId="0" fontId="75" fillId="11" borderId="382" xfId="0" applyFont="1" applyFill="1" applyBorder="1" applyAlignment="1">
      <alignment horizontal="right" vertical="center"/>
    </xf>
    <xf numFmtId="0" fontId="75" fillId="11" borderId="298" xfId="0" applyFont="1" applyFill="1" applyBorder="1" applyAlignment="1">
      <alignment horizontal="right" vertical="center"/>
    </xf>
    <xf numFmtId="0" fontId="75" fillId="11" borderId="381" xfId="0" applyFont="1" applyFill="1" applyBorder="1" applyAlignment="1">
      <alignment horizontal="right"/>
    </xf>
    <xf numFmtId="0" fontId="75" fillId="11" borderId="295" xfId="0" applyFont="1" applyFill="1" applyBorder="1" applyAlignment="1">
      <alignment horizontal="right"/>
    </xf>
    <xf numFmtId="0" fontId="74" fillId="0" borderId="315" xfId="0" applyFont="1" applyBorder="1" applyAlignment="1">
      <alignment vertical="center" wrapText="1"/>
    </xf>
    <xf numFmtId="0" fontId="74" fillId="0" borderId="316" xfId="0" applyFont="1" applyBorder="1" applyAlignment="1">
      <alignment vertical="center" wrapText="1"/>
    </xf>
    <xf numFmtId="0" fontId="74" fillId="0" borderId="317" xfId="0" applyFont="1" applyBorder="1" applyAlignment="1">
      <alignment vertical="center" wrapText="1"/>
    </xf>
    <xf numFmtId="0" fontId="74" fillId="0" borderId="262" xfId="0" applyFont="1" applyBorder="1" applyAlignment="1">
      <alignment vertical="center" wrapText="1"/>
    </xf>
    <xf numFmtId="181" fontId="74" fillId="33" borderId="181" xfId="0" applyNumberFormat="1" applyFont="1" applyFill="1" applyBorder="1" applyAlignment="1">
      <alignment horizontal="left" vertical="center" wrapText="1" indent="2"/>
    </xf>
    <xf numFmtId="181" fontId="74" fillId="33" borderId="187" xfId="0" applyNumberFormat="1" applyFont="1" applyFill="1" applyBorder="1" applyAlignment="1">
      <alignment horizontal="left" vertical="center" wrapText="1" indent="2"/>
    </xf>
    <xf numFmtId="0" fontId="55" fillId="27" borderId="0" xfId="0" applyFont="1" applyFill="1" applyAlignment="1">
      <alignment horizontal="center" vertical="center" wrapText="1"/>
    </xf>
    <xf numFmtId="0" fontId="55" fillId="27" borderId="175" xfId="0" applyFont="1" applyFill="1" applyBorder="1" applyAlignment="1">
      <alignment horizontal="center" vertical="center" wrapText="1"/>
    </xf>
    <xf numFmtId="181" fontId="74" fillId="33" borderId="205" xfId="0" applyNumberFormat="1" applyFont="1" applyFill="1" applyBorder="1" applyAlignment="1">
      <alignment horizontal="left" vertical="center" wrapText="1" indent="2"/>
    </xf>
    <xf numFmtId="181" fontId="74" fillId="33" borderId="0" xfId="0" applyNumberFormat="1" applyFont="1" applyFill="1" applyAlignment="1">
      <alignment horizontal="left" vertical="center" wrapText="1" indent="2"/>
    </xf>
    <xf numFmtId="0" fontId="0" fillId="0" borderId="512" xfId="0" applyBorder="1" applyAlignment="1">
      <alignment horizontal="left" vertical="center"/>
    </xf>
    <xf numFmtId="0" fontId="0" fillId="0" borderId="513" xfId="0" applyBorder="1" applyAlignment="1">
      <alignment horizontal="left" vertical="center"/>
    </xf>
    <xf numFmtId="0" fontId="55" fillId="26" borderId="52" xfId="0" applyFont="1" applyFill="1" applyBorder="1" applyAlignment="1">
      <alignment horizontal="center"/>
    </xf>
    <xf numFmtId="0" fontId="55" fillId="26" borderId="0" xfId="0" applyFont="1" applyFill="1" applyAlignment="1">
      <alignment horizontal="center"/>
    </xf>
    <xf numFmtId="0" fontId="55" fillId="26" borderId="366" xfId="0" applyFont="1" applyFill="1" applyBorder="1" applyAlignment="1">
      <alignment horizontal="center"/>
    </xf>
    <xf numFmtId="167" fontId="75" fillId="0" borderId="0" xfId="1" applyNumberFormat="1" applyFont="1" applyFill="1" applyBorder="1" applyAlignment="1" applyProtection="1">
      <alignment horizontal="center" vertical="center"/>
    </xf>
    <xf numFmtId="167" fontId="75" fillId="0" borderId="166" xfId="1" applyNumberFormat="1" applyFont="1" applyFill="1" applyBorder="1" applyAlignment="1" applyProtection="1">
      <alignment horizontal="center" vertical="center"/>
    </xf>
    <xf numFmtId="0" fontId="75" fillId="0" borderId="0" xfId="0" applyFont="1" applyAlignment="1">
      <alignment horizontal="center" vertical="center"/>
    </xf>
    <xf numFmtId="0" fontId="55" fillId="27" borderId="121" xfId="0" applyFont="1" applyFill="1" applyBorder="1" applyAlignment="1">
      <alignment horizontal="center" vertical="center" wrapText="1"/>
    </xf>
    <xf numFmtId="0" fontId="55" fillId="27" borderId="202" xfId="0" applyFont="1" applyFill="1" applyBorder="1" applyAlignment="1">
      <alignment horizontal="center" vertical="center" wrapText="1"/>
    </xf>
    <xf numFmtId="0" fontId="55" fillId="27" borderId="121" xfId="0" applyFont="1" applyFill="1" applyBorder="1" applyAlignment="1">
      <alignment horizontal="center" vertical="center"/>
    </xf>
    <xf numFmtId="0" fontId="55" fillId="27" borderId="202" xfId="0" applyFont="1" applyFill="1" applyBorder="1" applyAlignment="1">
      <alignment horizontal="center" vertical="center"/>
    </xf>
    <xf numFmtId="0" fontId="55" fillId="27" borderId="114" xfId="0" applyFont="1" applyFill="1" applyBorder="1" applyAlignment="1">
      <alignment horizontal="center" vertical="center" wrapText="1"/>
    </xf>
    <xf numFmtId="0" fontId="55" fillId="27" borderId="196" xfId="0" applyFont="1" applyFill="1" applyBorder="1" applyAlignment="1">
      <alignment horizontal="center" vertical="center" wrapText="1"/>
    </xf>
    <xf numFmtId="167" fontId="68" fillId="35" borderId="408" xfId="0" applyNumberFormat="1" applyFont="1" applyFill="1" applyBorder="1" applyAlignment="1">
      <alignment horizontal="left" vertical="center" wrapText="1"/>
    </xf>
    <xf numFmtId="167" fontId="68" fillId="35" borderId="410" xfId="0" applyNumberFormat="1" applyFont="1" applyFill="1" applyBorder="1" applyAlignment="1">
      <alignment horizontal="left" vertical="center" wrapText="1"/>
    </xf>
    <xf numFmtId="0" fontId="75" fillId="34" borderId="427" xfId="0" applyFont="1" applyFill="1" applyBorder="1" applyAlignment="1">
      <alignment horizontal="center" vertical="center"/>
    </xf>
    <xf numFmtId="0" fontId="75" fillId="34" borderId="174" xfId="0" applyFont="1" applyFill="1" applyBorder="1" applyAlignment="1">
      <alignment horizontal="center" vertical="center"/>
    </xf>
    <xf numFmtId="0" fontId="75" fillId="34" borderId="428" xfId="0" applyFont="1" applyFill="1" applyBorder="1" applyAlignment="1">
      <alignment horizontal="center" vertical="center"/>
    </xf>
    <xf numFmtId="167" fontId="75" fillId="0" borderId="0" xfId="0" applyNumberFormat="1" applyFont="1" applyAlignment="1">
      <alignment horizontal="center" vertical="center"/>
    </xf>
    <xf numFmtId="167" fontId="75" fillId="0" borderId="174" xfId="0" applyNumberFormat="1" applyFont="1" applyBorder="1" applyAlignment="1">
      <alignment horizontal="center" vertical="center"/>
    </xf>
    <xf numFmtId="0" fontId="127" fillId="33" borderId="205" xfId="0" applyFont="1" applyFill="1" applyBorder="1" applyAlignment="1">
      <alignment horizontal="left" vertical="center" indent="1"/>
    </xf>
    <xf numFmtId="0" fontId="127" fillId="33" borderId="174" xfId="0" applyFont="1" applyFill="1" applyBorder="1" applyAlignment="1">
      <alignment horizontal="left" vertical="center" indent="1"/>
    </xf>
    <xf numFmtId="0" fontId="75" fillId="26" borderId="163" xfId="0" applyFont="1" applyFill="1" applyBorder="1" applyAlignment="1">
      <alignment horizontal="center" vertical="center"/>
    </xf>
    <xf numFmtId="0" fontId="75" fillId="26" borderId="226" xfId="0" applyFont="1" applyFill="1" applyBorder="1" applyAlignment="1">
      <alignment horizontal="center" vertical="center"/>
    </xf>
    <xf numFmtId="167" fontId="75" fillId="11" borderId="295" xfId="1" applyNumberFormat="1" applyFont="1" applyFill="1" applyBorder="1" applyAlignment="1" applyProtection="1">
      <alignment horizontal="center"/>
    </xf>
    <xf numFmtId="167" fontId="75" fillId="11" borderId="296" xfId="1" applyNumberFormat="1" applyFont="1" applyFill="1" applyBorder="1" applyAlignment="1" applyProtection="1">
      <alignment horizontal="center"/>
    </xf>
    <xf numFmtId="0" fontId="70" fillId="36" borderId="411" xfId="0" applyFont="1" applyFill="1" applyBorder="1" applyAlignment="1">
      <alignment horizontal="center" vertical="center"/>
    </xf>
    <xf numFmtId="0" fontId="70" fillId="36" borderId="412" xfId="0" applyFont="1" applyFill="1" applyBorder="1" applyAlignment="1">
      <alignment horizontal="center" vertical="center"/>
    </xf>
    <xf numFmtId="0" fontId="70" fillId="36" borderId="413" xfId="0" applyFont="1" applyFill="1" applyBorder="1" applyAlignment="1">
      <alignment horizontal="center" vertical="center"/>
    </xf>
    <xf numFmtId="0" fontId="75" fillId="26" borderId="414" xfId="0" applyFont="1" applyFill="1" applyBorder="1" applyAlignment="1">
      <alignment horizontal="center" vertical="center"/>
    </xf>
    <xf numFmtId="0" fontId="75" fillId="26" borderId="415" xfId="0" applyFont="1" applyFill="1" applyBorder="1" applyAlignment="1">
      <alignment horizontal="center" vertical="center"/>
    </xf>
    <xf numFmtId="0" fontId="75" fillId="26" borderId="416" xfId="0" applyFont="1" applyFill="1" applyBorder="1" applyAlignment="1">
      <alignment horizontal="center" vertical="center"/>
    </xf>
    <xf numFmtId="0" fontId="55" fillId="27" borderId="334" xfId="0" applyFont="1" applyFill="1" applyBorder="1" applyAlignment="1">
      <alignment horizontal="center" vertical="center" wrapText="1"/>
    </xf>
    <xf numFmtId="0" fontId="55" fillId="27" borderId="335" xfId="0" applyFont="1" applyFill="1" applyBorder="1" applyAlignment="1">
      <alignment horizontal="center" vertical="center" wrapText="1"/>
    </xf>
    <xf numFmtId="0" fontId="75" fillId="11" borderId="384" xfId="0" applyFont="1" applyFill="1" applyBorder="1" applyAlignment="1">
      <alignment horizontal="right" vertical="center"/>
    </xf>
    <xf numFmtId="0" fontId="75" fillId="11" borderId="301" xfId="0" applyFont="1" applyFill="1" applyBorder="1" applyAlignment="1">
      <alignment horizontal="right" vertical="center"/>
    </xf>
    <xf numFmtId="0" fontId="75" fillId="34" borderId="175" xfId="0" applyFont="1" applyFill="1" applyBorder="1" applyAlignment="1">
      <alignment horizontal="center" vertical="center"/>
    </xf>
    <xf numFmtId="174" fontId="55" fillId="0" borderId="320" xfId="0" applyNumberFormat="1" applyFont="1" applyBorder="1" applyAlignment="1">
      <alignment horizontal="center" vertical="center"/>
    </xf>
    <xf numFmtId="174" fontId="55" fillId="0" borderId="295" xfId="0" applyNumberFormat="1" applyFont="1" applyBorder="1" applyAlignment="1">
      <alignment horizontal="center" vertical="center"/>
    </xf>
    <xf numFmtId="0" fontId="128" fillId="0" borderId="224" xfId="0" applyFont="1" applyBorder="1" applyAlignment="1">
      <alignment horizontal="left" vertical="center" wrapText="1"/>
    </xf>
    <xf numFmtId="0" fontId="128" fillId="0" borderId="365" xfId="0" applyFont="1" applyBorder="1" applyAlignment="1">
      <alignment horizontal="left" vertical="center" wrapText="1"/>
    </xf>
    <xf numFmtId="0" fontId="128" fillId="0" borderId="0" xfId="0" applyFont="1" applyAlignment="1">
      <alignment horizontal="left" vertical="center" wrapText="1"/>
    </xf>
    <xf numFmtId="0" fontId="128" fillId="0" borderId="366" xfId="0" applyFont="1" applyBorder="1" applyAlignment="1">
      <alignment horizontal="left" vertical="center" wrapText="1"/>
    </xf>
    <xf numFmtId="0" fontId="128" fillId="0" borderId="195" xfId="0" applyFont="1" applyBorder="1" applyAlignment="1">
      <alignment horizontal="left" vertical="center" wrapText="1"/>
    </xf>
    <xf numFmtId="0" fontId="128" fillId="0" borderId="368" xfId="0" applyFont="1" applyBorder="1" applyAlignment="1">
      <alignment horizontal="left" vertical="center" wrapText="1"/>
    </xf>
    <xf numFmtId="0" fontId="127" fillId="33" borderId="179" xfId="0" applyFont="1" applyFill="1" applyBorder="1" applyAlignment="1">
      <alignment horizontal="left" vertical="center" indent="1"/>
    </xf>
    <xf numFmtId="0" fontId="127" fillId="33" borderId="175" xfId="0" applyFont="1" applyFill="1" applyBorder="1" applyAlignment="1">
      <alignment horizontal="left" vertical="center" indent="1"/>
    </xf>
    <xf numFmtId="0" fontId="127" fillId="33" borderId="181" xfId="0" applyFont="1" applyFill="1" applyBorder="1" applyAlignment="1">
      <alignment horizontal="left" vertical="center" indent="1"/>
    </xf>
    <xf numFmtId="0" fontId="127" fillId="33" borderId="173" xfId="0" applyFont="1" applyFill="1" applyBorder="1" applyAlignment="1">
      <alignment horizontal="left" vertical="center" indent="1"/>
    </xf>
    <xf numFmtId="0" fontId="82" fillId="33" borderId="205" xfId="0" applyFont="1" applyFill="1" applyBorder="1" applyAlignment="1">
      <alignment horizontal="left" vertical="center" wrapText="1" indent="1"/>
    </xf>
    <xf numFmtId="0" fontId="82" fillId="33" borderId="174" xfId="0" applyFont="1" applyFill="1" applyBorder="1" applyAlignment="1">
      <alignment horizontal="left" vertical="center" wrapText="1" indent="1"/>
    </xf>
    <xf numFmtId="0" fontId="83" fillId="32" borderId="308" xfId="0" applyFont="1" applyFill="1" applyBorder="1" applyAlignment="1">
      <alignment horizontal="center" vertical="center"/>
    </xf>
    <xf numFmtId="0" fontId="83" fillId="32" borderId="202" xfId="0" applyFont="1" applyFill="1" applyBorder="1" applyAlignment="1">
      <alignment horizontal="center" vertical="center"/>
    </xf>
    <xf numFmtId="0" fontId="83" fillId="32" borderId="313" xfId="0" applyFont="1" applyFill="1" applyBorder="1" applyAlignment="1">
      <alignment horizontal="center" vertical="center"/>
    </xf>
    <xf numFmtId="0" fontId="83" fillId="32" borderId="426" xfId="0" applyFont="1" applyFill="1" applyBorder="1" applyAlignment="1">
      <alignment horizontal="center" vertical="center"/>
    </xf>
    <xf numFmtId="174" fontId="55" fillId="0" borderId="321" xfId="0" applyNumberFormat="1" applyFont="1" applyBorder="1" applyAlignment="1">
      <alignment horizontal="center" vertical="center"/>
    </xf>
    <xf numFmtId="174" fontId="55" fillId="0" borderId="298" xfId="0" applyNumberFormat="1" applyFont="1" applyBorder="1" applyAlignment="1">
      <alignment horizontal="center" vertical="center"/>
    </xf>
    <xf numFmtId="0" fontId="76" fillId="0" borderId="298" xfId="0" applyFont="1" applyBorder="1" applyAlignment="1">
      <alignment horizontal="left" vertical="center" wrapText="1"/>
    </xf>
    <xf numFmtId="0" fontId="55" fillId="32" borderId="309" xfId="0" applyFont="1" applyFill="1" applyBorder="1" applyAlignment="1">
      <alignment horizontal="center" vertical="center"/>
    </xf>
    <xf numFmtId="0" fontId="55" fillId="32" borderId="310" xfId="0" applyFont="1" applyFill="1" applyBorder="1" applyAlignment="1">
      <alignment horizontal="center" vertical="center"/>
    </xf>
    <xf numFmtId="0" fontId="55" fillId="32" borderId="78" xfId="0" applyFont="1" applyFill="1" applyBorder="1" applyAlignment="1">
      <alignment horizontal="center" vertical="center" wrapText="1"/>
    </xf>
    <xf numFmtId="0" fontId="55" fillId="32" borderId="182" xfId="0" applyFont="1" applyFill="1" applyBorder="1" applyAlignment="1">
      <alignment horizontal="center" vertical="center" wrapText="1"/>
    </xf>
    <xf numFmtId="0" fontId="55" fillId="32" borderId="70" xfId="0" applyFont="1" applyFill="1" applyBorder="1" applyAlignment="1">
      <alignment horizontal="center" vertical="center" wrapText="1"/>
    </xf>
    <xf numFmtId="0" fontId="55" fillId="32" borderId="121" xfId="0" applyFont="1" applyFill="1" applyBorder="1" applyAlignment="1">
      <alignment horizontal="center" vertical="center" wrapText="1"/>
    </xf>
    <xf numFmtId="181" fontId="74" fillId="33" borderId="167" xfId="0" applyNumberFormat="1" applyFont="1" applyFill="1" applyBorder="1" applyAlignment="1">
      <alignment horizontal="left" vertical="center" wrapText="1" indent="2"/>
    </xf>
    <xf numFmtId="0" fontId="70" fillId="25" borderId="180" xfId="0" applyFont="1" applyFill="1" applyBorder="1" applyAlignment="1">
      <alignment horizontal="center" vertical="center" wrapText="1"/>
    </xf>
    <xf numFmtId="0" fontId="70" fillId="25" borderId="183" xfId="0" applyFont="1" applyFill="1" applyBorder="1" applyAlignment="1">
      <alignment horizontal="center" vertical="center" wrapText="1"/>
    </xf>
    <xf numFmtId="0" fontId="70" fillId="25" borderId="323" xfId="0" applyFont="1" applyFill="1" applyBorder="1" applyAlignment="1">
      <alignment horizontal="center" vertical="center" wrapText="1"/>
    </xf>
    <xf numFmtId="0" fontId="74" fillId="33" borderId="167" xfId="0" applyFont="1" applyFill="1" applyBorder="1" applyAlignment="1">
      <alignment horizontal="left" vertical="center" indent="2"/>
    </xf>
    <xf numFmtId="0" fontId="74" fillId="33" borderId="0" xfId="0" applyFont="1" applyFill="1" applyAlignment="1">
      <alignment horizontal="left" vertical="center" indent="2"/>
    </xf>
    <xf numFmtId="0" fontId="83" fillId="32" borderId="312" xfId="0" applyFont="1" applyFill="1" applyBorder="1" applyAlignment="1">
      <alignment horizontal="center" vertical="center"/>
    </xf>
    <xf numFmtId="0" fontId="83" fillId="32" borderId="307" xfId="0" applyFont="1" applyFill="1" applyBorder="1" applyAlignment="1">
      <alignment horizontal="center" vertical="center"/>
    </xf>
    <xf numFmtId="0" fontId="83" fillId="32" borderId="116" xfId="0" applyFont="1" applyFill="1" applyBorder="1" applyAlignment="1">
      <alignment horizontal="center" vertical="center"/>
    </xf>
    <xf numFmtId="0" fontId="83" fillId="32" borderId="107" xfId="0" applyFont="1" applyFill="1" applyBorder="1" applyAlignment="1">
      <alignment horizontal="center" vertical="center"/>
    </xf>
    <xf numFmtId="181" fontId="55" fillId="27" borderId="369" xfId="0" applyNumberFormat="1" applyFont="1" applyFill="1" applyBorder="1" applyAlignment="1">
      <alignment horizontal="center" vertical="center"/>
    </xf>
    <xf numFmtId="181" fontId="55" fillId="27" borderId="115" xfId="0" applyNumberFormat="1" applyFont="1" applyFill="1" applyBorder="1" applyAlignment="1">
      <alignment horizontal="center" vertical="center"/>
    </xf>
    <xf numFmtId="181" fontId="55" fillId="27" borderId="380" xfId="0" applyNumberFormat="1" applyFont="1" applyFill="1" applyBorder="1" applyAlignment="1">
      <alignment horizontal="center" vertical="center"/>
    </xf>
    <xf numFmtId="181" fontId="55" fillId="27" borderId="197" xfId="0" applyNumberFormat="1" applyFont="1" applyFill="1" applyBorder="1" applyAlignment="1">
      <alignment horizontal="center" vertical="center"/>
    </xf>
    <xf numFmtId="0" fontId="55" fillId="2" borderId="381" xfId="0" applyFont="1" applyFill="1" applyBorder="1" applyAlignment="1">
      <alignment horizontal="center" vertical="center"/>
    </xf>
    <xf numFmtId="0" fontId="55" fillId="2" borderId="295" xfId="0" applyFont="1" applyFill="1" applyBorder="1" applyAlignment="1">
      <alignment horizontal="center" vertical="center"/>
    </xf>
    <xf numFmtId="0" fontId="55" fillId="2" borderId="296" xfId="0" applyFont="1" applyFill="1" applyBorder="1" applyAlignment="1">
      <alignment horizontal="center" vertical="center"/>
    </xf>
    <xf numFmtId="0" fontId="55" fillId="2" borderId="320" xfId="0" applyFont="1" applyFill="1" applyBorder="1" applyAlignment="1">
      <alignment horizontal="center" vertical="center"/>
    </xf>
    <xf numFmtId="0" fontId="55" fillId="2" borderId="301" xfId="0" applyFont="1" applyFill="1" applyBorder="1" applyAlignment="1">
      <alignment horizontal="center" vertical="center"/>
    </xf>
    <xf numFmtId="0" fontId="55" fillId="2" borderId="302" xfId="0" applyFont="1" applyFill="1" applyBorder="1" applyAlignment="1">
      <alignment horizontal="center" vertical="center"/>
    </xf>
    <xf numFmtId="0" fontId="55" fillId="26" borderId="180" xfId="0" applyFont="1" applyFill="1" applyBorder="1" applyAlignment="1">
      <alignment horizontal="center" vertical="center"/>
    </xf>
    <xf numFmtId="0" fontId="55" fillId="26" borderId="183" xfId="0" applyFont="1" applyFill="1" applyBorder="1" applyAlignment="1">
      <alignment horizontal="center" vertical="center"/>
    </xf>
    <xf numFmtId="167" fontId="56" fillId="26" borderId="263" xfId="1" applyNumberFormat="1" applyFont="1" applyFill="1" applyBorder="1" applyAlignment="1" applyProtection="1">
      <alignment horizontal="center"/>
    </xf>
    <xf numFmtId="167" fontId="56" fillId="26" borderId="183" xfId="1" applyNumberFormat="1" applyFont="1" applyFill="1" applyBorder="1" applyAlignment="1" applyProtection="1">
      <alignment horizontal="center"/>
    </xf>
    <xf numFmtId="167" fontId="56" fillId="26" borderId="323" xfId="1" applyNumberFormat="1" applyFont="1" applyFill="1" applyBorder="1" applyAlignment="1" applyProtection="1">
      <alignment horizontal="center"/>
    </xf>
    <xf numFmtId="0" fontId="55" fillId="27" borderId="333" xfId="0" applyFont="1" applyFill="1" applyBorder="1" applyAlignment="1">
      <alignment horizontal="center" vertical="center" wrapText="1"/>
    </xf>
    <xf numFmtId="0" fontId="55" fillId="27" borderId="178" xfId="0" applyFont="1" applyFill="1" applyBorder="1" applyAlignment="1">
      <alignment horizontal="center" vertical="center" wrapText="1"/>
    </xf>
    <xf numFmtId="0" fontId="74" fillId="0" borderId="315" xfId="0" applyFont="1" applyBorder="1" applyAlignment="1">
      <alignment vertical="center"/>
    </xf>
    <xf numFmtId="0" fontId="74" fillId="0" borderId="316" xfId="0" applyFont="1" applyBorder="1" applyAlignment="1">
      <alignment vertical="center"/>
    </xf>
    <xf numFmtId="0" fontId="55" fillId="28" borderId="162" xfId="0" applyFont="1" applyFill="1" applyBorder="1" applyAlignment="1">
      <alignment horizontal="center" vertical="center" wrapText="1"/>
    </xf>
    <xf numFmtId="0" fontId="55" fillId="28" borderId="243" xfId="0" applyFont="1" applyFill="1" applyBorder="1" applyAlignment="1">
      <alignment horizontal="center" vertical="center" wrapText="1"/>
    </xf>
    <xf numFmtId="0" fontId="67" fillId="14" borderId="452" xfId="0" applyFont="1" applyFill="1" applyBorder="1" applyAlignment="1">
      <alignment horizontal="center" vertical="center" wrapText="1"/>
    </xf>
    <xf numFmtId="0" fontId="67" fillId="14" borderId="453" xfId="0" applyFont="1" applyFill="1" applyBorder="1" applyAlignment="1">
      <alignment horizontal="center" vertical="center" wrapText="1"/>
    </xf>
    <xf numFmtId="0" fontId="55" fillId="27" borderId="188" xfId="0" applyFont="1" applyFill="1" applyBorder="1" applyAlignment="1">
      <alignment horizontal="center" vertical="center"/>
    </xf>
    <xf numFmtId="0" fontId="55" fillId="27" borderId="200" xfId="0" applyFont="1" applyFill="1" applyBorder="1" applyAlignment="1">
      <alignment horizontal="center" vertical="center"/>
    </xf>
    <xf numFmtId="0" fontId="67" fillId="14" borderId="144" xfId="0" applyFont="1" applyFill="1" applyBorder="1" applyAlignment="1">
      <alignment horizontal="center" vertical="center" wrapText="1"/>
    </xf>
    <xf numFmtId="0" fontId="67" fillId="14" borderId="76" xfId="0" applyFont="1" applyFill="1" applyBorder="1" applyAlignment="1">
      <alignment horizontal="center" vertical="center" wrapText="1"/>
    </xf>
    <xf numFmtId="0" fontId="75" fillId="0" borderId="207" xfId="0" applyFont="1" applyBorder="1" applyAlignment="1">
      <alignment horizontal="center" vertical="center" wrapText="1"/>
    </xf>
    <xf numFmtId="0" fontId="75" fillId="0" borderId="208" xfId="0" applyFont="1" applyBorder="1" applyAlignment="1">
      <alignment horizontal="center" vertical="center" wrapText="1"/>
    </xf>
    <xf numFmtId="0" fontId="75" fillId="0" borderId="209" xfId="0" applyFont="1" applyBorder="1" applyAlignment="1">
      <alignment horizontal="center" vertical="center" wrapText="1"/>
    </xf>
    <xf numFmtId="0" fontId="67" fillId="14" borderId="171" xfId="0" applyFont="1" applyFill="1" applyBorder="1" applyAlignment="1">
      <alignment horizontal="center" vertical="center" wrapText="1"/>
    </xf>
    <xf numFmtId="0" fontId="67" fillId="14" borderId="153" xfId="0" applyFont="1" applyFill="1" applyBorder="1" applyAlignment="1">
      <alignment horizontal="center" vertical="center" wrapText="1"/>
    </xf>
    <xf numFmtId="37" fontId="75" fillId="0" borderId="215" xfId="1" applyNumberFormat="1" applyFont="1" applyFill="1" applyBorder="1" applyAlignment="1" applyProtection="1">
      <alignment horizontal="center" vertical="center"/>
    </xf>
    <xf numFmtId="37" fontId="75" fillId="0" borderId="232" xfId="1" applyNumberFormat="1" applyFont="1" applyFill="1" applyBorder="1" applyAlignment="1" applyProtection="1">
      <alignment horizontal="center" vertical="center"/>
    </xf>
    <xf numFmtId="0" fontId="55" fillId="28" borderId="233" xfId="0" applyFont="1" applyFill="1" applyBorder="1" applyAlignment="1">
      <alignment horizontal="center" vertical="center" wrapText="1"/>
    </xf>
    <xf numFmtId="0" fontId="55" fillId="28" borderId="217" xfId="0" applyFont="1" applyFill="1" applyBorder="1" applyAlignment="1">
      <alignment horizontal="center" vertical="center" wrapText="1"/>
    </xf>
    <xf numFmtId="0" fontId="55" fillId="28" borderId="252" xfId="0" applyFont="1" applyFill="1" applyBorder="1" applyAlignment="1">
      <alignment horizontal="center" vertical="center" wrapText="1"/>
    </xf>
    <xf numFmtId="0" fontId="55" fillId="28" borderId="253" xfId="0" applyFont="1" applyFill="1" applyBorder="1" applyAlignment="1">
      <alignment horizontal="center" vertical="center" wrapText="1"/>
    </xf>
    <xf numFmtId="37" fontId="75" fillId="0" borderId="216" xfId="1" applyNumberFormat="1" applyFont="1" applyFill="1" applyBorder="1" applyAlignment="1" applyProtection="1">
      <alignment horizontal="center" vertical="center"/>
    </xf>
    <xf numFmtId="38" fontId="75" fillId="0" borderId="254" xfId="0" applyNumberFormat="1" applyFont="1" applyBorder="1" applyAlignment="1">
      <alignment horizontal="center" vertical="center"/>
    </xf>
    <xf numFmtId="38" fontId="75" fillId="0" borderId="255" xfId="0" applyNumberFormat="1" applyFont="1" applyBorder="1" applyAlignment="1">
      <alignment horizontal="center" vertical="center"/>
    </xf>
    <xf numFmtId="0" fontId="55" fillId="28" borderId="213" xfId="0" applyFont="1" applyFill="1" applyBorder="1" applyAlignment="1">
      <alignment horizontal="center" vertical="center" wrapText="1"/>
    </xf>
    <xf numFmtId="0" fontId="55" fillId="28" borderId="218" xfId="0" applyFont="1" applyFill="1" applyBorder="1" applyAlignment="1">
      <alignment horizontal="center" vertical="center" wrapText="1"/>
    </xf>
    <xf numFmtId="0" fontId="55" fillId="28" borderId="155" xfId="0" applyFont="1" applyFill="1" applyBorder="1" applyAlignment="1">
      <alignment horizontal="center" vertical="center" wrapText="1"/>
    </xf>
    <xf numFmtId="38" fontId="33" fillId="0" borderId="469" xfId="0" applyNumberFormat="1" applyFont="1" applyBorder="1" applyAlignment="1" applyProtection="1">
      <alignment horizontal="center" vertical="center"/>
      <protection locked="0"/>
    </xf>
    <xf numFmtId="38" fontId="33" fillId="0" borderId="470" xfId="0" applyNumberFormat="1" applyFont="1" applyBorder="1" applyAlignment="1" applyProtection="1">
      <alignment horizontal="center" vertical="center"/>
      <protection locked="0"/>
    </xf>
    <xf numFmtId="0" fontId="55" fillId="28" borderId="256" xfId="0" applyFont="1" applyFill="1" applyBorder="1" applyAlignment="1">
      <alignment horizontal="center" vertical="center" wrapText="1"/>
    </xf>
    <xf numFmtId="0" fontId="55" fillId="28" borderId="231" xfId="0" applyFont="1" applyFill="1" applyBorder="1" applyAlignment="1">
      <alignment horizontal="center" vertical="center" wrapText="1"/>
    </xf>
    <xf numFmtId="0" fontId="55" fillId="2" borderId="227" xfId="0" applyFont="1" applyFill="1" applyBorder="1" applyAlignment="1">
      <alignment horizontal="center" vertical="center" wrapText="1"/>
    </xf>
    <xf numFmtId="0" fontId="55" fillId="2" borderId="477" xfId="0" applyFont="1" applyFill="1" applyBorder="1" applyAlignment="1">
      <alignment horizontal="center" vertical="center" wrapText="1"/>
    </xf>
    <xf numFmtId="0" fontId="55" fillId="35" borderId="298" xfId="0" applyFont="1" applyFill="1" applyBorder="1" applyAlignment="1">
      <alignment horizontal="center" vertical="center" wrapText="1"/>
    </xf>
    <xf numFmtId="0" fontId="55" fillId="35" borderId="299" xfId="0" applyFont="1" applyFill="1" applyBorder="1" applyAlignment="1">
      <alignment horizontal="center" vertical="center" wrapText="1"/>
    </xf>
    <xf numFmtId="0" fontId="67" fillId="14" borderId="225" xfId="0" applyFont="1" applyFill="1" applyBorder="1" applyAlignment="1">
      <alignment horizontal="center" vertical="center" wrapText="1"/>
    </xf>
    <xf numFmtId="0" fontId="67" fillId="14" borderId="157" xfId="0" applyFont="1" applyFill="1" applyBorder="1" applyAlignment="1">
      <alignment horizontal="center" vertical="center" wrapText="1"/>
    </xf>
    <xf numFmtId="0" fontId="67" fillId="14" borderId="369" xfId="0" applyFont="1" applyFill="1" applyBorder="1" applyAlignment="1">
      <alignment horizontal="center" vertical="center" wrapText="1"/>
    </xf>
    <xf numFmtId="0" fontId="67" fillId="14" borderId="162" xfId="0" applyFont="1" applyFill="1" applyBorder="1" applyAlignment="1">
      <alignment horizontal="center" vertical="center" wrapText="1"/>
    </xf>
    <xf numFmtId="0" fontId="77" fillId="16" borderId="358" xfId="0" applyFont="1" applyFill="1" applyBorder="1" applyAlignment="1" applyProtection="1">
      <alignment horizontal="left" vertical="center"/>
      <protection locked="0"/>
    </xf>
    <xf numFmtId="0" fontId="77" fillId="16" borderId="359" xfId="0" applyFont="1" applyFill="1" applyBorder="1" applyAlignment="1" applyProtection="1">
      <alignment horizontal="left" vertical="center"/>
      <protection locked="0"/>
    </xf>
    <xf numFmtId="0" fontId="75" fillId="26" borderId="79" xfId="0" applyFont="1" applyFill="1" applyBorder="1" applyAlignment="1">
      <alignment horizontal="center" vertical="center"/>
    </xf>
    <xf numFmtId="0" fontId="75" fillId="26" borderId="304" xfId="0" applyFont="1" applyFill="1" applyBorder="1" applyAlignment="1">
      <alignment horizontal="center" vertical="center"/>
    </xf>
    <xf numFmtId="0" fontId="83" fillId="32" borderId="196" xfId="0" applyFont="1" applyFill="1" applyBorder="1" applyAlignment="1">
      <alignment horizontal="center" vertical="center"/>
    </xf>
    <xf numFmtId="0" fontId="83" fillId="32" borderId="197" xfId="0" applyFont="1" applyFill="1" applyBorder="1" applyAlignment="1">
      <alignment horizontal="center" vertical="center"/>
    </xf>
    <xf numFmtId="0" fontId="83" fillId="32" borderId="311" xfId="0" applyFont="1" applyFill="1" applyBorder="1" applyAlignment="1">
      <alignment horizontal="center" vertical="center"/>
    </xf>
    <xf numFmtId="0" fontId="83" fillId="32" borderId="314" xfId="0" applyFont="1" applyFill="1" applyBorder="1" applyAlignment="1">
      <alignment horizontal="center" vertical="center"/>
    </xf>
    <xf numFmtId="0" fontId="55" fillId="27" borderId="369" xfId="0" applyFont="1" applyFill="1" applyBorder="1" applyAlignment="1">
      <alignment horizontal="center" vertical="center"/>
    </xf>
    <xf numFmtId="0" fontId="55" fillId="27" borderId="210" xfId="0" applyFont="1" applyFill="1" applyBorder="1" applyAlignment="1">
      <alignment horizontal="center" vertical="center"/>
    </xf>
    <xf numFmtId="0" fontId="55" fillId="27" borderId="380" xfId="0" applyFont="1" applyFill="1" applyBorder="1" applyAlignment="1">
      <alignment horizontal="center" vertical="center"/>
    </xf>
    <xf numFmtId="0" fontId="55" fillId="27" borderId="198" xfId="0" applyFont="1" applyFill="1" applyBorder="1" applyAlignment="1">
      <alignment horizontal="center" vertical="center"/>
    </xf>
    <xf numFmtId="0" fontId="70" fillId="25" borderId="156" xfId="0" applyFont="1" applyFill="1" applyBorder="1" applyAlignment="1">
      <alignment horizontal="center" vertical="center"/>
    </xf>
    <xf numFmtId="0" fontId="70" fillId="25" borderId="163" xfId="0" applyFont="1" applyFill="1" applyBorder="1" applyAlignment="1">
      <alignment horizontal="center" vertical="center"/>
    </xf>
    <xf numFmtId="0" fontId="75" fillId="0" borderId="445" xfId="0" applyFont="1" applyBorder="1" applyAlignment="1">
      <alignment horizontal="center" vertical="center" wrapText="1"/>
    </xf>
    <xf numFmtId="0" fontId="75" fillId="0" borderId="446" xfId="0" applyFont="1" applyBorder="1" applyAlignment="1">
      <alignment horizontal="center" vertical="center" wrapText="1"/>
    </xf>
    <xf numFmtId="0" fontId="55" fillId="27" borderId="211" xfId="0" applyFont="1" applyFill="1" applyBorder="1" applyAlignment="1">
      <alignment horizontal="center" vertical="center" wrapText="1"/>
    </xf>
    <xf numFmtId="0" fontId="55" fillId="27" borderId="201" xfId="0" applyFont="1" applyFill="1" applyBorder="1" applyAlignment="1">
      <alignment horizontal="center" vertical="center" wrapText="1"/>
    </xf>
    <xf numFmtId="0" fontId="55" fillId="27" borderId="188" xfId="0" applyFont="1" applyFill="1" applyBorder="1" applyAlignment="1">
      <alignment horizontal="center" vertical="center" wrapText="1"/>
    </xf>
    <xf numFmtId="0" fontId="55" fillId="27" borderId="200" xfId="0" applyFont="1" applyFill="1" applyBorder="1" applyAlignment="1">
      <alignment horizontal="center" vertical="center" wrapText="1"/>
    </xf>
    <xf numFmtId="0" fontId="55" fillId="32" borderId="307" xfId="0" applyFont="1" applyFill="1" applyBorder="1" applyAlignment="1">
      <alignment horizontal="center" vertical="center"/>
    </xf>
    <xf numFmtId="0" fontId="55" fillId="32" borderId="115" xfId="0" applyFont="1" applyFill="1" applyBorder="1" applyAlignment="1">
      <alignment horizontal="center" vertical="center"/>
    </xf>
    <xf numFmtId="0" fontId="55" fillId="32" borderId="305" xfId="0" applyFont="1" applyFill="1" applyBorder="1" applyAlignment="1">
      <alignment horizontal="center" vertical="center"/>
    </xf>
    <xf numFmtId="0" fontId="55" fillId="32" borderId="306" xfId="0" applyFont="1" applyFill="1" applyBorder="1" applyAlignment="1">
      <alignment horizontal="center" vertical="center"/>
    </xf>
    <xf numFmtId="0" fontId="55" fillId="32" borderId="292" xfId="0" applyFont="1" applyFill="1" applyBorder="1" applyAlignment="1">
      <alignment horizontal="center" vertical="center"/>
    </xf>
    <xf numFmtId="0" fontId="55" fillId="32" borderId="69" xfId="0" applyFont="1" applyFill="1" applyBorder="1" applyAlignment="1">
      <alignment horizontal="center" vertical="center"/>
    </xf>
    <xf numFmtId="0" fontId="55" fillId="32" borderId="308" xfId="0" applyFont="1" applyFill="1" applyBorder="1" applyAlignment="1">
      <alignment horizontal="center" vertical="center" wrapText="1"/>
    </xf>
    <xf numFmtId="0" fontId="55" fillId="32" borderId="308" xfId="0" applyFont="1" applyFill="1" applyBorder="1" applyAlignment="1">
      <alignment horizontal="center" vertical="center"/>
    </xf>
    <xf numFmtId="0" fontId="55" fillId="32" borderId="121" xfId="0" applyFont="1" applyFill="1" applyBorder="1" applyAlignment="1">
      <alignment horizontal="center" vertical="center"/>
    </xf>
    <xf numFmtId="0" fontId="55" fillId="28" borderId="157" xfId="0" applyFont="1" applyFill="1" applyBorder="1" applyAlignment="1">
      <alignment horizontal="center" vertical="center" wrapText="1"/>
    </xf>
    <xf numFmtId="0" fontId="55" fillId="28" borderId="260" xfId="0" applyFont="1" applyFill="1" applyBorder="1" applyAlignment="1">
      <alignment horizontal="center" vertical="center" wrapText="1"/>
    </xf>
    <xf numFmtId="0" fontId="69" fillId="0" borderId="390" xfId="0" applyFont="1" applyBorder="1" applyAlignment="1">
      <alignment horizontal="center" vertical="center"/>
    </xf>
    <xf numFmtId="0" fontId="69" fillId="0" borderId="458" xfId="0" applyFont="1" applyBorder="1" applyAlignment="1">
      <alignment horizontal="center" vertical="center"/>
    </xf>
    <xf numFmtId="0" fontId="55" fillId="26" borderId="0" xfId="0" applyFont="1" applyFill="1" applyAlignment="1">
      <alignment horizontal="center" vertical="center" wrapText="1"/>
    </xf>
    <xf numFmtId="0" fontId="55" fillId="26" borderId="195" xfId="0" applyFont="1" applyFill="1" applyBorder="1" applyAlignment="1">
      <alignment horizontal="center" vertical="center" wrapText="1"/>
    </xf>
    <xf numFmtId="0" fontId="55" fillId="26" borderId="366" xfId="0" applyFont="1" applyFill="1" applyBorder="1" applyAlignment="1">
      <alignment horizontal="center" vertical="center" wrapText="1"/>
    </xf>
    <xf numFmtId="0" fontId="55" fillId="26" borderId="368" xfId="0" applyFont="1" applyFill="1" applyBorder="1" applyAlignment="1">
      <alignment horizontal="center" vertical="center" wrapText="1"/>
    </xf>
    <xf numFmtId="0" fontId="69" fillId="0" borderId="295" xfId="0" applyFont="1" applyBorder="1" applyAlignment="1">
      <alignment horizontal="left" vertical="center" wrapText="1" indent="1"/>
    </xf>
    <xf numFmtId="0" fontId="69" fillId="0" borderId="298" xfId="0" applyFont="1" applyBorder="1" applyAlignment="1">
      <alignment horizontal="left" vertical="center" wrapText="1" indent="1"/>
    </xf>
    <xf numFmtId="0" fontId="69" fillId="0" borderId="301" xfId="0" applyFont="1" applyBorder="1" applyAlignment="1">
      <alignment horizontal="left" vertical="center" wrapText="1" indent="1"/>
    </xf>
    <xf numFmtId="0" fontId="69" fillId="0" borderId="298" xfId="0" applyFont="1" applyBorder="1" applyAlignment="1">
      <alignment horizontal="center" vertical="center"/>
    </xf>
    <xf numFmtId="0" fontId="69" fillId="0" borderId="301" xfId="0" applyFont="1" applyBorder="1" applyAlignment="1">
      <alignment horizontal="center" vertical="center"/>
    </xf>
    <xf numFmtId="3" fontId="69" fillId="0" borderId="298" xfId="0" applyNumberFormat="1" applyFont="1" applyBorder="1" applyAlignment="1">
      <alignment horizontal="center" vertical="center"/>
    </xf>
    <xf numFmtId="3" fontId="69" fillId="0" borderId="301" xfId="0" applyNumberFormat="1" applyFont="1" applyBorder="1" applyAlignment="1">
      <alignment horizontal="center" vertical="center"/>
    </xf>
    <xf numFmtId="3" fontId="69" fillId="0" borderId="295" xfId="0" applyNumberFormat="1" applyFont="1" applyBorder="1" applyAlignment="1">
      <alignment horizontal="center" vertical="center"/>
    </xf>
    <xf numFmtId="0" fontId="69" fillId="0" borderId="295" xfId="0" applyFont="1" applyBorder="1" applyAlignment="1">
      <alignment horizontal="center" vertical="center"/>
    </xf>
    <xf numFmtId="15" fontId="69" fillId="0" borderId="295" xfId="0" applyNumberFormat="1" applyFont="1" applyBorder="1" applyAlignment="1">
      <alignment horizontal="center" vertical="center"/>
    </xf>
    <xf numFmtId="15" fontId="69" fillId="0" borderId="298" xfId="0" applyNumberFormat="1" applyFont="1" applyBorder="1" applyAlignment="1">
      <alignment horizontal="center" vertical="center"/>
    </xf>
    <xf numFmtId="0" fontId="69" fillId="0" borderId="457" xfId="0" applyFont="1" applyBorder="1" applyAlignment="1">
      <alignment horizontal="center" vertical="center"/>
    </xf>
    <xf numFmtId="15" fontId="69" fillId="0" borderId="301" xfId="0" applyNumberFormat="1" applyFont="1" applyBorder="1" applyAlignment="1">
      <alignment horizontal="center" vertical="center"/>
    </xf>
    <xf numFmtId="167" fontId="69" fillId="0" borderId="295" xfId="0" applyNumberFormat="1" applyFont="1" applyBorder="1" applyAlignment="1">
      <alignment horizontal="center" vertical="center"/>
    </xf>
    <xf numFmtId="167" fontId="69" fillId="0" borderId="298" xfId="0" applyNumberFormat="1" applyFont="1" applyBorder="1" applyAlignment="1">
      <alignment horizontal="center" vertical="center"/>
    </xf>
    <xf numFmtId="0" fontId="76" fillId="0" borderId="408" xfId="0" applyFont="1" applyBorder="1" applyAlignment="1">
      <alignment horizontal="left" vertical="center" wrapText="1"/>
    </xf>
    <xf numFmtId="0" fontId="76" fillId="0" borderId="409" xfId="0" applyFont="1" applyBorder="1" applyAlignment="1">
      <alignment horizontal="left" vertical="center" wrapText="1"/>
    </xf>
    <xf numFmtId="0" fontId="76" fillId="0" borderId="410" xfId="0" applyFont="1" applyBorder="1" applyAlignment="1">
      <alignment horizontal="left" vertical="center" wrapText="1"/>
    </xf>
    <xf numFmtId="0" fontId="69" fillId="0" borderId="321" xfId="0" applyFont="1" applyBorder="1" applyAlignment="1">
      <alignment horizontal="center" vertical="center"/>
    </xf>
    <xf numFmtId="0" fontId="69" fillId="0" borderId="322" xfId="0" applyFont="1" applyBorder="1" applyAlignment="1">
      <alignment horizontal="center" vertical="center"/>
    </xf>
    <xf numFmtId="167" fontId="69" fillId="0" borderId="301" xfId="0" applyNumberFormat="1" applyFont="1" applyBorder="1" applyAlignment="1">
      <alignment horizontal="center" vertical="center"/>
    </xf>
    <xf numFmtId="0" fontId="55" fillId="26" borderId="345" xfId="0" quotePrefix="1" applyFont="1" applyFill="1" applyBorder="1" applyAlignment="1">
      <alignment horizontal="center" vertical="center" wrapText="1"/>
    </xf>
    <xf numFmtId="0" fontId="55" fillId="27" borderId="205" xfId="0" applyFont="1" applyFill="1" applyBorder="1" applyAlignment="1">
      <alignment horizontal="center" vertical="center"/>
    </xf>
    <xf numFmtId="0" fontId="55" fillId="27" borderId="0" xfId="0" applyFont="1" applyFill="1" applyAlignment="1">
      <alignment horizontal="center" vertical="center"/>
    </xf>
    <xf numFmtId="0" fontId="67" fillId="25" borderId="460" xfId="0" applyFont="1" applyFill="1" applyBorder="1" applyAlignment="1">
      <alignment horizontal="center" vertical="center"/>
    </xf>
    <xf numFmtId="0" fontId="67" fillId="25" borderId="461" xfId="0" applyFont="1" applyFill="1" applyBorder="1" applyAlignment="1">
      <alignment horizontal="center" vertical="center"/>
    </xf>
    <xf numFmtId="0" fontId="75" fillId="35" borderId="381" xfId="0" applyFont="1" applyFill="1" applyBorder="1" applyAlignment="1">
      <alignment horizontal="center" vertical="center"/>
    </xf>
    <xf numFmtId="0" fontId="75" fillId="35" borderId="295" xfId="0" applyFont="1" applyFill="1" applyBorder="1" applyAlignment="1">
      <alignment horizontal="center" vertical="center"/>
    </xf>
    <xf numFmtId="0" fontId="75" fillId="35" borderId="296" xfId="0" applyFont="1" applyFill="1" applyBorder="1" applyAlignment="1">
      <alignment horizontal="center" vertical="center"/>
    </xf>
    <xf numFmtId="0" fontId="75" fillId="35" borderId="382" xfId="0" applyFont="1" applyFill="1" applyBorder="1" applyAlignment="1">
      <alignment horizontal="center" vertical="center"/>
    </xf>
    <xf numFmtId="0" fontId="75" fillId="35" borderId="298" xfId="0" applyFont="1" applyFill="1" applyBorder="1" applyAlignment="1">
      <alignment horizontal="center" vertical="center"/>
    </xf>
    <xf numFmtId="0" fontId="75" fillId="35" borderId="299" xfId="0" applyFont="1" applyFill="1" applyBorder="1" applyAlignment="1">
      <alignment horizontal="center" vertical="center"/>
    </xf>
    <xf numFmtId="0" fontId="55" fillId="27" borderId="385" xfId="0" applyFont="1" applyFill="1" applyBorder="1" applyAlignment="1">
      <alignment horizontal="center" vertical="center"/>
    </xf>
    <xf numFmtId="0" fontId="55" fillId="27" borderId="333" xfId="0" applyFont="1" applyFill="1" applyBorder="1" applyAlignment="1">
      <alignment horizontal="center" vertical="center"/>
    </xf>
    <xf numFmtId="0" fontId="55" fillId="27" borderId="387" xfId="0" applyFont="1" applyFill="1" applyBorder="1" applyAlignment="1">
      <alignment horizontal="center" vertical="center"/>
    </xf>
    <xf numFmtId="0" fontId="55" fillId="27" borderId="178" xfId="0" applyFont="1" applyFill="1" applyBorder="1" applyAlignment="1">
      <alignment horizontal="center" vertical="center"/>
    </xf>
    <xf numFmtId="0" fontId="75" fillId="35" borderId="320" xfId="0" applyFont="1" applyFill="1" applyBorder="1" applyAlignment="1">
      <alignment horizontal="center" vertical="center"/>
    </xf>
    <xf numFmtId="0" fontId="75" fillId="35" borderId="321" xfId="0" applyFont="1" applyFill="1" applyBorder="1" applyAlignment="1">
      <alignment horizontal="center" vertical="center"/>
    </xf>
    <xf numFmtId="0" fontId="70" fillId="36" borderId="0" xfId="0" applyFont="1" applyFill="1" applyAlignment="1">
      <alignment horizontal="center" vertical="center" wrapText="1"/>
    </xf>
    <xf numFmtId="0" fontId="70" fillId="36" borderId="181" xfId="0" applyFont="1" applyFill="1" applyBorder="1" applyAlignment="1">
      <alignment horizontal="center" vertical="center"/>
    </xf>
    <xf numFmtId="0" fontId="70" fillId="36" borderId="187" xfId="0" applyFont="1" applyFill="1" applyBorder="1" applyAlignment="1">
      <alignment horizontal="center" vertical="center"/>
    </xf>
    <xf numFmtId="0" fontId="70" fillId="36" borderId="386" xfId="0" applyFont="1" applyFill="1" applyBorder="1" applyAlignment="1">
      <alignment horizontal="center" vertical="center"/>
    </xf>
    <xf numFmtId="0" fontId="70" fillId="36" borderId="179" xfId="0" applyFont="1" applyFill="1" applyBorder="1" applyAlignment="1">
      <alignment horizontal="center" vertical="center"/>
    </xf>
    <xf numFmtId="0" fontId="70" fillId="36" borderId="195" xfId="0" applyFont="1" applyFill="1" applyBorder="1" applyAlignment="1">
      <alignment horizontal="center" vertical="center"/>
    </xf>
    <xf numFmtId="0" fontId="70" fillId="36" borderId="368" xfId="0" applyFont="1" applyFill="1" applyBorder="1" applyAlignment="1">
      <alignment horizontal="center" vertical="center"/>
    </xf>
    <xf numFmtId="0" fontId="55" fillId="26" borderId="205" xfId="0" applyFont="1" applyFill="1" applyBorder="1" applyAlignment="1">
      <alignment horizontal="center" vertical="center" wrapText="1"/>
    </xf>
    <xf numFmtId="0" fontId="55" fillId="26" borderId="179" xfId="0" applyFont="1" applyFill="1" applyBorder="1" applyAlignment="1">
      <alignment horizontal="center" vertical="center" wrapText="1"/>
    </xf>
    <xf numFmtId="0" fontId="69" fillId="0" borderId="320" xfId="0" applyFont="1" applyBorder="1" applyAlignment="1">
      <alignment horizontal="center" vertical="center"/>
    </xf>
    <xf numFmtId="174" fontId="55" fillId="0" borderId="322" xfId="0" applyNumberFormat="1" applyFont="1" applyBorder="1" applyAlignment="1">
      <alignment horizontal="center" vertical="center"/>
    </xf>
    <xf numFmtId="174" fontId="55" fillId="0" borderId="301" xfId="0" applyNumberFormat="1" applyFont="1" applyBorder="1" applyAlignment="1">
      <alignment horizontal="center" vertical="center"/>
    </xf>
    <xf numFmtId="0" fontId="67" fillId="25" borderId="462" xfId="0" applyFont="1" applyFill="1" applyBorder="1" applyAlignment="1">
      <alignment horizontal="center" vertical="center"/>
    </xf>
    <xf numFmtId="0" fontId="55" fillId="35" borderId="321" xfId="0" applyFont="1" applyFill="1" applyBorder="1" applyAlignment="1">
      <alignment horizontal="center" vertical="center" wrapText="1"/>
    </xf>
    <xf numFmtId="0" fontId="84" fillId="2" borderId="478" xfId="0" applyFont="1" applyFill="1" applyBorder="1" applyAlignment="1">
      <alignment horizontal="center" vertical="center" wrapText="1"/>
    </xf>
    <xf numFmtId="0" fontId="84" fillId="2" borderId="228" xfId="0" applyFont="1" applyFill="1" applyBorder="1" applyAlignment="1">
      <alignment horizontal="center" vertical="center" wrapText="1"/>
    </xf>
    <xf numFmtId="0" fontId="55" fillId="2" borderId="479" xfId="0" applyFont="1" applyFill="1" applyBorder="1" applyAlignment="1">
      <alignment horizontal="center" vertical="center" wrapText="1"/>
    </xf>
    <xf numFmtId="0" fontId="55" fillId="2" borderId="248" xfId="0" applyFont="1" applyFill="1" applyBorder="1" applyAlignment="1">
      <alignment horizontal="center" vertical="center" wrapText="1"/>
    </xf>
    <xf numFmtId="0" fontId="55" fillId="2" borderId="246" xfId="0" applyFont="1" applyFill="1" applyBorder="1" applyAlignment="1">
      <alignment horizontal="center" vertical="center" wrapText="1"/>
    </xf>
    <xf numFmtId="0" fontId="55" fillId="2" borderId="480" xfId="0" applyFont="1" applyFill="1" applyBorder="1" applyAlignment="1">
      <alignment horizontal="center" vertical="center" wrapText="1"/>
    </xf>
    <xf numFmtId="0" fontId="55" fillId="37" borderId="455" xfId="0" applyFont="1" applyFill="1" applyBorder="1" applyAlignment="1">
      <alignment horizontal="center" vertical="center" wrapText="1"/>
    </xf>
    <xf numFmtId="0" fontId="55" fillId="37" borderId="456" xfId="0" applyFont="1" applyFill="1" applyBorder="1" applyAlignment="1">
      <alignment horizontal="center" vertical="center" wrapText="1"/>
    </xf>
    <xf numFmtId="167" fontId="68" fillId="35" borderId="472" xfId="0" applyNumberFormat="1" applyFont="1" applyFill="1" applyBorder="1" applyAlignment="1">
      <alignment horizontal="left" vertical="center" wrapText="1"/>
    </xf>
    <xf numFmtId="167" fontId="68" fillId="35" borderId="471" xfId="0" applyNumberFormat="1" applyFont="1" applyFill="1" applyBorder="1" applyAlignment="1">
      <alignment horizontal="left" vertical="center" wrapText="1"/>
    </xf>
    <xf numFmtId="0" fontId="69" fillId="0" borderId="295" xfId="0" applyFont="1" applyBorder="1" applyAlignment="1">
      <alignment horizontal="left" vertical="center" indent="1"/>
    </xf>
    <xf numFmtId="0" fontId="69" fillId="0" borderId="408" xfId="0" applyFont="1" applyBorder="1" applyAlignment="1">
      <alignment horizontal="left" vertical="center" indent="1"/>
    </xf>
    <xf numFmtId="0" fontId="69" fillId="0" borderId="409" xfId="0" applyFont="1" applyBorder="1" applyAlignment="1">
      <alignment horizontal="left" vertical="center" indent="1"/>
    </xf>
    <xf numFmtId="0" fontId="69" fillId="0" borderId="410" xfId="0" applyFont="1" applyBorder="1" applyAlignment="1">
      <alignment horizontal="left" vertical="center" indent="1"/>
    </xf>
    <xf numFmtId="0" fontId="55" fillId="26" borderId="187" xfId="0" applyFont="1" applyFill="1" applyBorder="1" applyAlignment="1">
      <alignment horizontal="center" vertical="center" wrapText="1"/>
    </xf>
    <xf numFmtId="0" fontId="20" fillId="41" borderId="500" xfId="0" applyFont="1" applyFill="1" applyBorder="1" applyAlignment="1">
      <alignment horizontal="center" vertical="center" wrapText="1"/>
    </xf>
    <xf numFmtId="0" fontId="20" fillId="41" borderId="498" xfId="0" applyFont="1" applyFill="1" applyBorder="1" applyAlignment="1">
      <alignment horizontal="center" vertical="center" wrapText="1"/>
    </xf>
    <xf numFmtId="0" fontId="133" fillId="0" borderId="500" xfId="0" applyFont="1" applyBorder="1" applyAlignment="1">
      <alignment horizontal="center" vertical="center" wrapText="1"/>
    </xf>
    <xf numFmtId="0" fontId="133" fillId="0" borderId="499" xfId="0" applyFont="1" applyBorder="1" applyAlignment="1">
      <alignment horizontal="center" vertical="center" wrapText="1"/>
    </xf>
    <xf numFmtId="0" fontId="144" fillId="41" borderId="548" xfId="0" applyFont="1" applyFill="1" applyBorder="1" applyAlignment="1">
      <alignment horizontal="center" vertical="center" wrapText="1"/>
    </xf>
    <xf numFmtId="0" fontId="144" fillId="41" borderId="549" xfId="0" applyFont="1" applyFill="1" applyBorder="1" applyAlignment="1">
      <alignment horizontal="center" vertical="center" wrapText="1"/>
    </xf>
    <xf numFmtId="4" fontId="133" fillId="0" borderId="498" xfId="0" applyNumberFormat="1" applyFont="1" applyBorder="1" applyAlignment="1">
      <alignment horizontal="center" vertical="center" wrapText="1"/>
    </xf>
    <xf numFmtId="4" fontId="133" fillId="0" borderId="499" xfId="0" applyNumberFormat="1" applyFont="1" applyBorder="1" applyAlignment="1">
      <alignment horizontal="center" vertical="center" wrapText="1"/>
    </xf>
    <xf numFmtId="183" fontId="133" fillId="0" borderId="500" xfId="0" applyNumberFormat="1" applyFont="1" applyBorder="1" applyAlignment="1">
      <alignment horizontal="center" vertical="center" wrapText="1"/>
    </xf>
    <xf numFmtId="183" fontId="133" fillId="0" borderId="499" xfId="0" applyNumberFormat="1" applyFont="1" applyBorder="1" applyAlignment="1">
      <alignment horizontal="center" vertical="center" wrapText="1"/>
    </xf>
    <xf numFmtId="183" fontId="133" fillId="0" borderId="498" xfId="0" applyNumberFormat="1" applyFont="1" applyBorder="1" applyAlignment="1">
      <alignment horizontal="center" vertical="center" wrapText="1"/>
    </xf>
    <xf numFmtId="0" fontId="78" fillId="0" borderId="500" xfId="0" applyFont="1" applyBorder="1" applyAlignment="1">
      <alignment horizontal="center" vertical="center" wrapText="1"/>
    </xf>
    <xf numFmtId="0" fontId="78" fillId="0" borderId="498" xfId="0" applyFont="1" applyBorder="1" applyAlignment="1">
      <alignment horizontal="center" vertical="center" wrapText="1"/>
    </xf>
    <xf numFmtId="0" fontId="70" fillId="41" borderId="500" xfId="0" applyFont="1" applyFill="1" applyBorder="1" applyAlignment="1">
      <alignment horizontal="center" vertical="center" wrapText="1"/>
    </xf>
    <xf numFmtId="0" fontId="70" fillId="41" borderId="498" xfId="0" applyFont="1" applyFill="1" applyBorder="1" applyAlignment="1">
      <alignment horizontal="center" vertical="center" wrapText="1"/>
    </xf>
    <xf numFmtId="0" fontId="70" fillId="41" borderId="499" xfId="0" applyFont="1" applyFill="1" applyBorder="1" applyAlignment="1">
      <alignment horizontal="center" vertical="center" wrapText="1"/>
    </xf>
    <xf numFmtId="165" fontId="0" fillId="35" borderId="520" xfId="1" applyNumberFormat="1" applyFont="1" applyFill="1" applyBorder="1" applyAlignment="1" applyProtection="1">
      <alignment horizontal="left" vertical="center"/>
    </xf>
    <xf numFmtId="165" fontId="3" fillId="35" borderId="477" xfId="1" applyNumberFormat="1" applyFont="1" applyFill="1" applyBorder="1" applyAlignment="1" applyProtection="1">
      <alignment horizontal="left" vertical="center"/>
    </xf>
    <xf numFmtId="0" fontId="136" fillId="42" borderId="521" xfId="0" applyFont="1" applyFill="1" applyBorder="1" applyAlignment="1">
      <alignment horizontal="left" vertical="center"/>
    </xf>
    <xf numFmtId="0" fontId="136" fillId="42" borderId="482" xfId="0" applyFont="1" applyFill="1" applyBorder="1" applyAlignment="1">
      <alignment horizontal="left" vertical="center"/>
    </xf>
    <xf numFmtId="165" fontId="0" fillId="35" borderId="520" xfId="1" applyNumberFormat="1" applyFont="1" applyFill="1" applyBorder="1" applyAlignment="1" applyProtection="1">
      <alignment horizontal="right" vertical="center"/>
    </xf>
    <xf numFmtId="165" fontId="0" fillId="35" borderId="477" xfId="1" applyNumberFormat="1" applyFont="1" applyFill="1" applyBorder="1" applyAlignment="1" applyProtection="1">
      <alignment horizontal="right" vertical="center"/>
    </xf>
    <xf numFmtId="165" fontId="0" fillId="35" borderId="477" xfId="1" applyNumberFormat="1" applyFont="1" applyFill="1" applyBorder="1" applyAlignment="1" applyProtection="1">
      <alignment horizontal="left" vertical="center"/>
    </xf>
    <xf numFmtId="165" fontId="4" fillId="39" borderId="520" xfId="1" applyNumberFormat="1" applyFont="1" applyFill="1" applyBorder="1" applyAlignment="1" applyProtection="1">
      <alignment horizontal="left" vertical="center"/>
    </xf>
    <xf numFmtId="165" fontId="4" fillId="39" borderId="477" xfId="1" applyNumberFormat="1" applyFont="1" applyFill="1" applyBorder="1" applyAlignment="1" applyProtection="1">
      <alignment horizontal="left" vertical="center"/>
    </xf>
    <xf numFmtId="165" fontId="0" fillId="35" borderId="520" xfId="1" applyNumberFormat="1" applyFont="1" applyFill="1" applyBorder="1" applyAlignment="1" applyProtection="1">
      <alignment vertical="center"/>
    </xf>
    <xf numFmtId="165" fontId="3" fillId="35" borderId="477" xfId="1" applyNumberFormat="1" applyFont="1" applyFill="1" applyBorder="1" applyAlignment="1" applyProtection="1">
      <alignment vertical="center"/>
    </xf>
    <xf numFmtId="0" fontId="136" fillId="42" borderId="522" xfId="0" applyFont="1" applyFill="1" applyBorder="1" applyAlignment="1">
      <alignment horizontal="left" vertical="center"/>
    </xf>
    <xf numFmtId="0" fontId="136" fillId="42" borderId="481" xfId="0" applyFont="1" applyFill="1" applyBorder="1" applyAlignment="1">
      <alignment horizontal="left" vertical="center"/>
    </xf>
    <xf numFmtId="0" fontId="71" fillId="0" borderId="0" xfId="0" applyFont="1" applyAlignment="1">
      <alignment horizontal="center" vertical="center" wrapText="1"/>
    </xf>
    <xf numFmtId="0" fontId="0" fillId="0" borderId="223"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64" xfId="0" applyBorder="1" applyAlignment="1">
      <alignment horizontal="left" vertical="center" wrapText="1"/>
    </xf>
    <xf numFmtId="0" fontId="0" fillId="0" borderId="0" xfId="0" applyAlignment="1">
      <alignment horizontal="left" vertical="center" wrapText="1"/>
    </xf>
    <xf numFmtId="0" fontId="0" fillId="0" borderId="63" xfId="0" applyBorder="1" applyAlignment="1">
      <alignment horizontal="left" vertical="center" wrapText="1"/>
    </xf>
    <xf numFmtId="0" fontId="67" fillId="14" borderId="172" xfId="0" applyFont="1" applyFill="1" applyBorder="1" applyAlignment="1">
      <alignment horizontal="center" vertical="center" wrapText="1"/>
    </xf>
    <xf numFmtId="0" fontId="67" fillId="14" borderId="170" xfId="0" applyFont="1" applyFill="1" applyBorder="1" applyAlignment="1">
      <alignment horizontal="center" vertical="center" wrapText="1"/>
    </xf>
    <xf numFmtId="0" fontId="56" fillId="0" borderId="207" xfId="0" applyFont="1" applyBorder="1" applyAlignment="1">
      <alignment horizontal="center" vertical="center" wrapText="1"/>
    </xf>
    <xf numFmtId="0" fontId="56" fillId="0" borderId="208" xfId="0" applyFont="1" applyBorder="1" applyAlignment="1">
      <alignment horizontal="center" vertical="center" wrapText="1"/>
    </xf>
    <xf numFmtId="0" fontId="56" fillId="0" borderId="518" xfId="0" applyFont="1" applyBorder="1" applyAlignment="1">
      <alignment horizontal="center" vertical="center" wrapText="1"/>
    </xf>
    <xf numFmtId="0" fontId="70" fillId="25" borderId="516" xfId="0" applyFont="1" applyFill="1" applyBorder="1" applyAlignment="1">
      <alignment horizontal="center" vertical="center"/>
    </xf>
    <xf numFmtId="0" fontId="70" fillId="25" borderId="57" xfId="0" applyFont="1" applyFill="1" applyBorder="1" applyAlignment="1">
      <alignment horizontal="center" vertical="center"/>
    </xf>
    <xf numFmtId="0" fontId="70" fillId="25" borderId="58" xfId="0" applyFont="1" applyFill="1" applyBorder="1" applyAlignment="1">
      <alignment horizontal="center" vertical="center"/>
    </xf>
    <xf numFmtId="0" fontId="67" fillId="14" borderId="517" xfId="0" applyFont="1" applyFill="1" applyBorder="1" applyAlignment="1">
      <alignment horizontal="center" vertical="center" wrapText="1"/>
    </xf>
    <xf numFmtId="0" fontId="67" fillId="14" borderId="64" xfId="0" applyFont="1" applyFill="1" applyBorder="1" applyAlignment="1">
      <alignment horizontal="center" vertical="center" wrapText="1"/>
    </xf>
    <xf numFmtId="0" fontId="75" fillId="0" borderId="475" xfId="0" applyFont="1" applyBorder="1" applyAlignment="1">
      <alignment horizontal="center" vertical="center" wrapText="1"/>
    </xf>
    <xf numFmtId="0" fontId="75" fillId="0" borderId="444" xfId="0" applyFont="1" applyBorder="1" applyAlignment="1">
      <alignment horizontal="center" vertical="center" wrapText="1"/>
    </xf>
    <xf numFmtId="0" fontId="0" fillId="0" borderId="64" xfId="0" applyBorder="1" applyAlignment="1">
      <alignment horizontal="center"/>
    </xf>
    <xf numFmtId="0" fontId="0" fillId="0" borderId="0" xfId="0" applyAlignment="1">
      <alignment horizontal="center"/>
    </xf>
    <xf numFmtId="0" fontId="0" fillId="0" borderId="223"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33" fillId="0" borderId="81" xfId="0" applyFont="1" applyBorder="1" applyAlignment="1" applyProtection="1">
      <alignment horizontal="center" vertical="center"/>
      <protection locked="0"/>
    </xf>
    <xf numFmtId="0" fontId="33" fillId="0" borderId="76" xfId="0" applyFont="1" applyBorder="1" applyAlignment="1" applyProtection="1">
      <alignment horizontal="center" vertical="center"/>
      <protection locked="0"/>
    </xf>
    <xf numFmtId="0" fontId="33" fillId="0" borderId="77" xfId="0" applyFont="1" applyBorder="1" applyAlignment="1" applyProtection="1">
      <alignment horizontal="center" vertical="center"/>
      <protection locked="0"/>
    </xf>
    <xf numFmtId="0" fontId="32" fillId="16" borderId="87" xfId="0" applyFont="1" applyFill="1" applyBorder="1" applyAlignment="1">
      <alignment horizontal="center" vertical="center" wrapText="1"/>
    </xf>
    <xf numFmtId="0" fontId="32" fillId="16" borderId="88" xfId="0" applyFont="1" applyFill="1" applyBorder="1" applyAlignment="1">
      <alignment horizontal="center" vertical="center" wrapText="1"/>
    </xf>
    <xf numFmtId="0" fontId="32" fillId="16" borderId="86" xfId="0" applyFont="1" applyFill="1" applyBorder="1" applyAlignment="1">
      <alignment horizontal="center" vertical="center" wrapText="1"/>
    </xf>
    <xf numFmtId="0" fontId="32" fillId="16" borderId="74" xfId="0" applyFont="1" applyFill="1" applyBorder="1" applyAlignment="1">
      <alignment horizontal="center" vertical="center" wrapText="1"/>
    </xf>
    <xf numFmtId="167" fontId="33" fillId="2" borderId="114" xfId="0" applyNumberFormat="1" applyFont="1" applyFill="1" applyBorder="1" applyAlignment="1" applyProtection="1">
      <alignment horizontal="center" vertical="center"/>
      <protection locked="0"/>
    </xf>
    <xf numFmtId="167" fontId="33" fillId="2" borderId="0" xfId="0" applyNumberFormat="1" applyFont="1" applyFill="1" applyAlignment="1" applyProtection="1">
      <alignment horizontal="center" vertical="center"/>
      <protection locked="0"/>
    </xf>
    <xf numFmtId="167" fontId="33" fillId="2" borderId="10" xfId="0" applyNumberFormat="1" applyFont="1" applyFill="1" applyBorder="1" applyAlignment="1" applyProtection="1">
      <alignment horizontal="center" vertical="center"/>
      <protection locked="0"/>
    </xf>
    <xf numFmtId="0" fontId="32" fillId="16" borderId="91" xfId="0" applyFont="1" applyFill="1" applyBorder="1" applyAlignment="1">
      <alignment horizontal="center" vertical="center" wrapText="1"/>
    </xf>
    <xf numFmtId="0" fontId="32" fillId="16" borderId="82" xfId="0" applyFont="1" applyFill="1" applyBorder="1" applyAlignment="1">
      <alignment horizontal="center" vertical="center" wrapText="1"/>
    </xf>
    <xf numFmtId="0" fontId="31" fillId="16" borderId="144" xfId="0" applyFont="1" applyFill="1" applyBorder="1" applyAlignment="1">
      <alignment horizontal="center" vertical="center"/>
    </xf>
    <xf numFmtId="0" fontId="33" fillId="0" borderId="497" xfId="0" applyFont="1" applyBorder="1" applyAlignment="1" applyProtection="1">
      <alignment horizontal="center" vertical="center"/>
      <protection locked="0"/>
    </xf>
    <xf numFmtId="0" fontId="33" fillId="0" borderId="498" xfId="0" applyFont="1" applyBorder="1" applyAlignment="1" applyProtection="1">
      <alignment horizontal="center" vertical="center"/>
      <protection locked="0"/>
    </xf>
    <xf numFmtId="0" fontId="33" fillId="0" borderId="499" xfId="0" applyFont="1" applyBorder="1" applyAlignment="1" applyProtection="1">
      <alignment horizontal="center" vertical="center"/>
      <protection locked="0"/>
    </xf>
    <xf numFmtId="0" fontId="33" fillId="0" borderId="81" xfId="0" applyFont="1" applyBorder="1" applyAlignment="1" applyProtection="1">
      <alignment horizontal="center" vertical="center" wrapText="1"/>
      <protection locked="0"/>
    </xf>
    <xf numFmtId="0" fontId="33" fillId="0" borderId="76" xfId="0" applyFont="1" applyBorder="1" applyAlignment="1" applyProtection="1">
      <alignment horizontal="center" vertical="center" wrapText="1"/>
      <protection locked="0"/>
    </xf>
    <xf numFmtId="0" fontId="33" fillId="0" borderId="77" xfId="0" applyFont="1" applyBorder="1" applyAlignment="1" applyProtection="1">
      <alignment horizontal="center" vertical="center" wrapText="1"/>
      <protection locked="0"/>
    </xf>
    <xf numFmtId="0" fontId="37" fillId="14" borderId="223" xfId="0" applyFont="1" applyFill="1" applyBorder="1" applyAlignment="1">
      <alignment horizontal="center" vertical="center" wrapText="1"/>
    </xf>
    <xf numFmtId="0" fontId="37" fillId="14" borderId="58" xfId="0" applyFont="1" applyFill="1" applyBorder="1" applyAlignment="1">
      <alignment horizontal="center" vertical="center" wrapText="1"/>
    </xf>
    <xf numFmtId="0" fontId="0" fillId="0" borderId="395" xfId="0" applyBorder="1" applyAlignment="1">
      <alignment horizontal="center" vertical="center"/>
    </xf>
    <xf numFmtId="0" fontId="0" fillId="0" borderId="396" xfId="0" applyBorder="1" applyAlignment="1">
      <alignment horizontal="center" vertical="center"/>
    </xf>
    <xf numFmtId="0" fontId="0" fillId="0" borderId="402" xfId="0" applyBorder="1" applyAlignment="1">
      <alignment horizontal="center" vertical="center"/>
    </xf>
    <xf numFmtId="0" fontId="43" fillId="16" borderId="5" xfId="0" applyFont="1" applyFill="1" applyBorder="1" applyAlignment="1">
      <alignment horizontal="center"/>
    </xf>
    <xf numFmtId="0" fontId="43" fillId="16" borderId="6" xfId="0" applyFont="1" applyFill="1" applyBorder="1" applyAlignment="1">
      <alignment horizontal="center"/>
    </xf>
    <xf numFmtId="0" fontId="43" fillId="16" borderId="501" xfId="0" applyFont="1" applyFill="1" applyBorder="1" applyAlignment="1">
      <alignment horizontal="center"/>
    </xf>
    <xf numFmtId="0" fontId="43" fillId="16" borderId="500" xfId="0" applyFont="1" applyFill="1" applyBorder="1" applyAlignment="1">
      <alignment horizontal="center"/>
    </xf>
    <xf numFmtId="0" fontId="43" fillId="16" borderId="399" xfId="0" applyFont="1" applyFill="1" applyBorder="1" applyAlignment="1">
      <alignment horizontal="center"/>
    </xf>
    <xf numFmtId="0" fontId="43" fillId="16" borderId="407" xfId="0" applyFont="1" applyFill="1" applyBorder="1" applyAlignment="1">
      <alignment horizontal="center"/>
    </xf>
    <xf numFmtId="0" fontId="43" fillId="16" borderId="421" xfId="0" applyFont="1" applyFill="1" applyBorder="1" applyAlignment="1">
      <alignment horizontal="center"/>
    </xf>
    <xf numFmtId="0" fontId="43" fillId="16" borderId="422" xfId="0" applyFont="1" applyFill="1" applyBorder="1" applyAlignment="1">
      <alignment horizontal="center"/>
    </xf>
    <xf numFmtId="0" fontId="43" fillId="16" borderId="502" xfId="0" applyFont="1" applyFill="1" applyBorder="1" applyAlignment="1">
      <alignment horizontal="center"/>
    </xf>
    <xf numFmtId="0" fontId="43" fillId="16" borderId="406" xfId="0" applyFont="1" applyFill="1" applyBorder="1" applyAlignment="1">
      <alignment horizontal="center"/>
    </xf>
    <xf numFmtId="0" fontId="43" fillId="16" borderId="423" xfId="0" applyFont="1" applyFill="1" applyBorder="1" applyAlignment="1">
      <alignment horizontal="center"/>
    </xf>
    <xf numFmtId="0" fontId="43" fillId="16" borderId="351" xfId="0" applyFont="1" applyFill="1" applyBorder="1" applyAlignment="1">
      <alignment horizontal="center"/>
    </xf>
    <xf numFmtId="0" fontId="43" fillId="16" borderId="424" xfId="0" applyFont="1" applyFill="1" applyBorder="1" applyAlignment="1">
      <alignment horizontal="center"/>
    </xf>
    <xf numFmtId="0" fontId="43" fillId="16" borderId="4" xfId="0" applyFont="1" applyFill="1" applyBorder="1" applyAlignment="1">
      <alignment horizontal="center"/>
    </xf>
    <xf numFmtId="169" fontId="33" fillId="2" borderId="510" xfId="0" applyNumberFormat="1" applyFont="1" applyFill="1" applyBorder="1" applyAlignment="1">
      <alignment horizontal="center" vertical="center"/>
    </xf>
    <xf numFmtId="169" fontId="33" fillId="2" borderId="144" xfId="0" applyNumberFormat="1" applyFont="1" applyFill="1" applyBorder="1" applyAlignment="1">
      <alignment horizontal="center" vertical="center"/>
    </xf>
    <xf numFmtId="169" fontId="33" fillId="2" borderId="68" xfId="0" applyNumberFormat="1" applyFont="1" applyFill="1" applyBorder="1" applyAlignment="1">
      <alignment horizontal="center" vertical="center"/>
    </xf>
    <xf numFmtId="173" fontId="33" fillId="2" borderId="114" xfId="0" applyNumberFormat="1" applyFont="1" applyFill="1" applyBorder="1" applyAlignment="1" applyProtection="1">
      <alignment horizontal="center" vertical="center"/>
      <protection locked="0"/>
    </xf>
    <xf numFmtId="173" fontId="33" fillId="2" borderId="0" xfId="0" applyNumberFormat="1" applyFont="1" applyFill="1" applyAlignment="1" applyProtection="1">
      <alignment horizontal="center" vertical="center"/>
      <protection locked="0"/>
    </xf>
    <xf numFmtId="173" fontId="33" fillId="2" borderId="10" xfId="0" applyNumberFormat="1" applyFont="1" applyFill="1" applyBorder="1" applyAlignment="1" applyProtection="1">
      <alignment horizontal="center" vertical="center"/>
      <protection locked="0"/>
    </xf>
    <xf numFmtId="0" fontId="59" fillId="25" borderId="467" xfId="0" applyFont="1" applyFill="1" applyBorder="1" applyAlignment="1">
      <alignment horizontal="center" vertical="center" wrapText="1"/>
    </xf>
    <xf numFmtId="0" fontId="59" fillId="25" borderId="349" xfId="0" applyFont="1" applyFill="1" applyBorder="1" applyAlignment="1">
      <alignment horizontal="center" vertical="center" wrapText="1"/>
    </xf>
    <xf numFmtId="15" fontId="31" fillId="18" borderId="0" xfId="0" applyNumberFormat="1" applyFont="1" applyFill="1" applyAlignment="1">
      <alignment horizontal="center" vertical="center"/>
    </xf>
    <xf numFmtId="0" fontId="99" fillId="16" borderId="223" xfId="0" applyFont="1" applyFill="1" applyBorder="1" applyAlignment="1">
      <alignment horizontal="center" vertical="center" wrapText="1"/>
    </xf>
    <xf numFmtId="0" fontId="99" fillId="16" borderId="57" xfId="0" applyFont="1" applyFill="1" applyBorder="1" applyAlignment="1">
      <alignment horizontal="center" vertical="center" wrapText="1"/>
    </xf>
    <xf numFmtId="0" fontId="100" fillId="16" borderId="57" xfId="0" applyFont="1" applyFill="1" applyBorder="1" applyAlignment="1">
      <alignment horizontal="center" vertical="center" wrapText="1"/>
    </xf>
    <xf numFmtId="0" fontId="100" fillId="16" borderId="57" xfId="0" applyFont="1" applyFill="1" applyBorder="1" applyAlignment="1">
      <alignment horizontal="center" vertical="center"/>
    </xf>
    <xf numFmtId="0" fontId="100" fillId="16" borderId="58" xfId="0" applyFont="1" applyFill="1" applyBorder="1" applyAlignment="1">
      <alignment horizontal="center" vertical="center"/>
    </xf>
    <xf numFmtId="0" fontId="100" fillId="16" borderId="64" xfId="0" applyFont="1" applyFill="1" applyBorder="1" applyAlignment="1">
      <alignment horizontal="center" vertical="center" wrapText="1"/>
    </xf>
    <xf numFmtId="0" fontId="100" fillId="16" borderId="0" xfId="0" applyFont="1" applyFill="1" applyAlignment="1">
      <alignment horizontal="center" vertical="center" wrapText="1"/>
    </xf>
    <xf numFmtId="0" fontId="100" fillId="16" borderId="0" xfId="0" applyFont="1" applyFill="1" applyAlignment="1">
      <alignment horizontal="center" vertical="center"/>
    </xf>
    <xf numFmtId="0" fontId="100" fillId="16" borderId="63" xfId="0" applyFont="1" applyFill="1" applyBorder="1" applyAlignment="1">
      <alignment horizontal="center" vertical="center"/>
    </xf>
    <xf numFmtId="0" fontId="100" fillId="16" borderId="348" xfId="0" applyFont="1" applyFill="1" applyBorder="1" applyAlignment="1">
      <alignment horizontal="center" vertical="center" wrapText="1"/>
    </xf>
    <xf numFmtId="0" fontId="100" fillId="16" borderId="349" xfId="0" applyFont="1" applyFill="1" applyBorder="1" applyAlignment="1">
      <alignment horizontal="center" vertical="center" wrapText="1"/>
    </xf>
    <xf numFmtId="0" fontId="100" fillId="16" borderId="349" xfId="0" applyFont="1" applyFill="1" applyBorder="1" applyAlignment="1">
      <alignment horizontal="center" vertical="center"/>
    </xf>
    <xf numFmtId="0" fontId="100" fillId="16" borderId="350" xfId="0" applyFont="1" applyFill="1" applyBorder="1" applyAlignment="1">
      <alignment horizontal="center" vertical="center"/>
    </xf>
    <xf numFmtId="0" fontId="101" fillId="2" borderId="57" xfId="0" applyFont="1" applyFill="1" applyBorder="1" applyAlignment="1">
      <alignment vertical="center"/>
    </xf>
    <xf numFmtId="0" fontId="102" fillId="16" borderId="356" xfId="0" applyFont="1" applyFill="1" applyBorder="1" applyAlignment="1">
      <alignment horizontal="center" vertical="center" wrapText="1"/>
    </xf>
    <xf numFmtId="0" fontId="102" fillId="16" borderId="354" xfId="0" applyFont="1" applyFill="1" applyBorder="1" applyAlignment="1">
      <alignment horizontal="center" vertical="center" wrapText="1"/>
    </xf>
    <xf numFmtId="0" fontId="102" fillId="16" borderId="355" xfId="0" applyFont="1" applyFill="1" applyBorder="1" applyAlignment="1">
      <alignment horizontal="center" vertical="center" wrapText="1"/>
    </xf>
    <xf numFmtId="0" fontId="103" fillId="0" borderId="356" xfId="0" applyFont="1" applyBorder="1" applyAlignment="1" applyProtection="1">
      <alignment horizontal="center" vertical="center"/>
      <protection locked="0"/>
    </xf>
    <xf numFmtId="0" fontId="103" fillId="0" borderId="354" xfId="0" applyFont="1" applyBorder="1" applyAlignment="1" applyProtection="1">
      <alignment horizontal="center" vertical="center"/>
      <protection locked="0"/>
    </xf>
    <xf numFmtId="0" fontId="103" fillId="0" borderId="355" xfId="0" applyFont="1" applyBorder="1" applyAlignment="1" applyProtection="1">
      <alignment horizontal="center" vertical="center"/>
      <protection locked="0"/>
    </xf>
    <xf numFmtId="1" fontId="103" fillId="0" borderId="356" xfId="1" applyNumberFormat="1" applyFont="1" applyBorder="1" applyAlignment="1" applyProtection="1">
      <alignment horizontal="center" vertical="center" wrapText="1"/>
      <protection locked="0"/>
    </xf>
    <xf numFmtId="1" fontId="103" fillId="0" borderId="354" xfId="1" applyNumberFormat="1" applyFont="1" applyBorder="1" applyAlignment="1" applyProtection="1">
      <alignment horizontal="center" vertical="center" wrapText="1"/>
      <protection locked="0"/>
    </xf>
    <xf numFmtId="1" fontId="103" fillId="0" borderId="355" xfId="1" applyNumberFormat="1" applyFont="1" applyBorder="1" applyAlignment="1" applyProtection="1">
      <alignment horizontal="center" vertical="center" wrapText="1"/>
      <protection locked="0"/>
    </xf>
    <xf numFmtId="183" fontId="103" fillId="0" borderId="356" xfId="0" applyNumberFormat="1" applyFont="1" applyBorder="1" applyAlignment="1" applyProtection="1">
      <alignment horizontal="center" vertical="center"/>
      <protection locked="0"/>
    </xf>
    <xf numFmtId="183" fontId="103" fillId="0" borderId="354" xfId="0" applyNumberFormat="1" applyFont="1" applyBorder="1" applyAlignment="1" applyProtection="1">
      <alignment horizontal="center" vertical="center"/>
      <protection locked="0"/>
    </xf>
    <xf numFmtId="183" fontId="103" fillId="0" borderId="355" xfId="0" applyNumberFormat="1" applyFont="1" applyBorder="1" applyAlignment="1" applyProtection="1">
      <alignment horizontal="center" vertical="center"/>
      <protection locked="0"/>
    </xf>
    <xf numFmtId="0" fontId="102" fillId="16" borderId="392" xfId="0" applyFont="1" applyFill="1" applyBorder="1" applyAlignment="1">
      <alignment horizontal="center" vertical="center"/>
    </xf>
    <xf numFmtId="0" fontId="102" fillId="16" borderId="1" xfId="0" applyFont="1" applyFill="1" applyBorder="1" applyAlignment="1">
      <alignment horizontal="center" vertical="center"/>
    </xf>
    <xf numFmtId="0" fontId="104" fillId="0" borderId="5" xfId="0" applyFont="1" applyBorder="1" applyAlignment="1">
      <alignment horizontal="center" vertical="center" wrapText="1"/>
    </xf>
    <xf numFmtId="0" fontId="104" fillId="0" borderId="393" xfId="0" applyFont="1" applyBorder="1" applyAlignment="1">
      <alignment horizontal="center" vertical="center" wrapText="1"/>
    </xf>
    <xf numFmtId="0" fontId="104" fillId="0" borderId="394" xfId="0" applyFont="1" applyBorder="1" applyAlignment="1">
      <alignment horizontal="center" vertical="center" wrapText="1"/>
    </xf>
    <xf numFmtId="0" fontId="104" fillId="0" borderId="7" xfId="0" applyFont="1" applyBorder="1" applyAlignment="1">
      <alignment horizontal="left" vertical="center" wrapText="1"/>
    </xf>
    <xf numFmtId="0" fontId="104" fillId="0" borderId="393" xfId="0" applyFont="1" applyBorder="1" applyAlignment="1">
      <alignment horizontal="left" vertical="center" wrapText="1"/>
    </xf>
    <xf numFmtId="0" fontId="104" fillId="0" borderId="394" xfId="0" applyFont="1" applyBorder="1" applyAlignment="1">
      <alignment horizontal="left" vertical="center" wrapText="1"/>
    </xf>
    <xf numFmtId="0" fontId="105" fillId="0" borderId="2" xfId="0" applyFont="1" applyBorder="1" applyAlignment="1">
      <alignment horizontal="center" vertical="center"/>
    </xf>
    <xf numFmtId="0" fontId="105" fillId="0" borderId="46" xfId="0" applyFont="1" applyBorder="1" applyAlignment="1">
      <alignment horizontal="center" vertical="center"/>
    </xf>
    <xf numFmtId="0" fontId="102" fillId="16" borderId="346" xfId="0" applyFont="1" applyFill="1" applyBorder="1" applyAlignment="1">
      <alignment horizontal="center" vertical="center"/>
    </xf>
    <xf numFmtId="0" fontId="102" fillId="16" borderId="498" xfId="0" applyFont="1" applyFill="1" applyBorder="1" applyAlignment="1">
      <alignment horizontal="center" vertical="center"/>
    </xf>
    <xf numFmtId="0" fontId="104" fillId="0" borderId="501" xfId="0" applyFont="1" applyBorder="1" applyAlignment="1">
      <alignment horizontal="center" vertical="center" wrapText="1"/>
    </xf>
    <xf numFmtId="0" fontId="104" fillId="0" borderId="511" xfId="0" applyFont="1" applyBorder="1" applyAlignment="1">
      <alignment horizontal="center" vertical="center" wrapText="1"/>
    </xf>
    <xf numFmtId="0" fontId="104" fillId="0" borderId="502" xfId="0" applyFont="1" applyBorder="1" applyAlignment="1">
      <alignment horizontal="center" vertical="center" wrapText="1"/>
    </xf>
    <xf numFmtId="0" fontId="104" fillId="0" borderId="499" xfId="0" applyFont="1" applyBorder="1" applyAlignment="1">
      <alignment horizontal="left" vertical="center" wrapText="1"/>
    </xf>
    <xf numFmtId="0" fontId="104" fillId="0" borderId="511" xfId="0" applyFont="1" applyBorder="1" applyAlignment="1">
      <alignment horizontal="left" vertical="center" wrapText="1"/>
    </xf>
    <xf numFmtId="0" fontId="104" fillId="0" borderId="502" xfId="0" applyFont="1" applyBorder="1" applyAlignment="1">
      <alignment horizontal="left" vertical="center" wrapText="1"/>
    </xf>
    <xf numFmtId="0" fontId="105" fillId="0" borderId="347" xfId="0" applyFont="1" applyBorder="1" applyAlignment="1">
      <alignment horizontal="center" vertical="center"/>
    </xf>
    <xf numFmtId="0" fontId="105" fillId="0" borderId="536" xfId="0" applyFont="1" applyBorder="1" applyAlignment="1">
      <alignment horizontal="center" vertical="center"/>
    </xf>
    <xf numFmtId="0" fontId="103" fillId="2" borderId="0" xfId="0" applyFont="1" applyFill="1" applyAlignment="1">
      <alignment horizontal="center" vertical="top"/>
    </xf>
    <xf numFmtId="0" fontId="102" fillId="16" borderId="356" xfId="0" applyFont="1" applyFill="1" applyBorder="1" applyAlignment="1">
      <alignment horizontal="center" vertical="center"/>
    </xf>
    <xf numFmtId="0" fontId="102" fillId="16" borderId="354" xfId="0" applyFont="1" applyFill="1" applyBorder="1" applyAlignment="1">
      <alignment horizontal="center" vertical="center"/>
    </xf>
    <xf numFmtId="0" fontId="102" fillId="16" borderId="355" xfId="0" applyFont="1" applyFill="1" applyBorder="1" applyAlignment="1">
      <alignment horizontal="center" vertical="center"/>
    </xf>
    <xf numFmtId="0" fontId="103" fillId="0" borderId="356" xfId="0" applyFont="1" applyBorder="1" applyAlignment="1" applyProtection="1">
      <alignment horizontal="center" vertical="center" wrapText="1"/>
      <protection locked="0"/>
    </xf>
    <xf numFmtId="0" fontId="103" fillId="0" borderId="354" xfId="0" applyFont="1" applyBorder="1" applyAlignment="1" applyProtection="1">
      <alignment horizontal="center" vertical="center" wrapText="1"/>
      <protection locked="0"/>
    </xf>
    <xf numFmtId="0" fontId="103" fillId="0" borderId="355" xfId="0" applyFont="1" applyBorder="1" applyAlignment="1" applyProtection="1">
      <alignment horizontal="center" vertical="center" wrapText="1"/>
      <protection locked="0"/>
    </xf>
    <xf numFmtId="0" fontId="101" fillId="2" borderId="354" xfId="0" applyFont="1" applyFill="1" applyBorder="1" applyAlignment="1">
      <alignment horizontal="center"/>
    </xf>
    <xf numFmtId="0" fontId="101" fillId="2" borderId="57" xfId="0" applyFont="1" applyFill="1" applyBorder="1" applyAlignment="1">
      <alignment horizontal="center"/>
    </xf>
    <xf numFmtId="0" fontId="111" fillId="2" borderId="393" xfId="11" applyFont="1" applyFill="1" applyBorder="1" applyAlignment="1">
      <alignment horizontal="left" vertical="center" wrapText="1"/>
    </xf>
    <xf numFmtId="0" fontId="109" fillId="38" borderId="84" xfId="0" applyFont="1" applyFill="1" applyBorder="1" applyAlignment="1">
      <alignment horizontal="center" vertical="center" wrapText="1"/>
    </xf>
    <xf numFmtId="0" fontId="109" fillId="38" borderId="11" xfId="0" applyFont="1" applyFill="1" applyBorder="1" applyAlignment="1">
      <alignment horizontal="center" vertical="center" wrapText="1"/>
    </xf>
    <xf numFmtId="0" fontId="109" fillId="38" borderId="500" xfId="0" applyFont="1" applyFill="1" applyBorder="1" applyAlignment="1">
      <alignment horizontal="center" vertical="center" wrapText="1"/>
    </xf>
    <xf numFmtId="0" fontId="109" fillId="38" borderId="499" xfId="0" applyFont="1" applyFill="1" applyBorder="1" applyAlignment="1">
      <alignment horizontal="center" vertical="center" wrapText="1"/>
    </xf>
    <xf numFmtId="0" fontId="111" fillId="2" borderId="546" xfId="11" applyFont="1" applyFill="1" applyBorder="1" applyAlignment="1">
      <alignment vertical="center" wrapText="1"/>
    </xf>
    <xf numFmtId="0" fontId="111" fillId="2" borderId="546" xfId="11" applyFont="1" applyFill="1" applyBorder="1" applyAlignment="1">
      <alignment horizontal="left" vertical="center" wrapText="1"/>
    </xf>
    <xf numFmtId="0" fontId="102" fillId="16" borderId="397" xfId="0" applyFont="1" applyFill="1" applyBorder="1" applyAlignment="1">
      <alignment horizontal="center" vertical="center"/>
    </xf>
    <xf numFmtId="0" fontId="102" fillId="16" borderId="398" xfId="0" applyFont="1" applyFill="1" applyBorder="1" applyAlignment="1">
      <alignment horizontal="center" vertical="center"/>
    </xf>
    <xf numFmtId="0" fontId="104" fillId="0" borderId="399" xfId="0" applyFont="1" applyBorder="1" applyAlignment="1">
      <alignment horizontal="center" vertical="center" wrapText="1"/>
    </xf>
    <xf numFmtId="0" fontId="104" fillId="0" borderId="3" xfId="0" applyFont="1" applyBorder="1" applyAlignment="1">
      <alignment horizontal="center" vertical="center" wrapText="1"/>
    </xf>
    <xf numFmtId="0" fontId="104" fillId="0" borderId="4" xfId="0" applyFont="1" applyBorder="1" applyAlignment="1">
      <alignment horizontal="center" vertical="center" wrapText="1"/>
    </xf>
    <xf numFmtId="0" fontId="104" fillId="0" borderId="12" xfId="0" applyFont="1" applyBorder="1" applyAlignment="1">
      <alignment horizontal="left" vertical="center" wrapText="1"/>
    </xf>
    <xf numFmtId="0" fontId="104" fillId="0" borderId="3" xfId="0" applyFont="1" applyBorder="1" applyAlignment="1">
      <alignment horizontal="left" vertical="center" wrapText="1"/>
    </xf>
    <xf numFmtId="0" fontId="104" fillId="0" borderId="4" xfId="0" applyFont="1" applyBorder="1" applyAlignment="1">
      <alignment horizontal="left" vertical="center" wrapText="1"/>
    </xf>
    <xf numFmtId="0" fontId="105" fillId="0" borderId="400" xfId="0" applyFont="1" applyBorder="1" applyAlignment="1">
      <alignment horizontal="center" vertical="center"/>
    </xf>
    <xf numFmtId="0" fontId="105" fillId="0" borderId="401" xfId="0" applyFont="1" applyBorder="1" applyAlignment="1">
      <alignment horizontal="center" vertical="center"/>
    </xf>
    <xf numFmtId="0" fontId="101" fillId="2" borderId="349" xfId="0" applyFont="1" applyFill="1" applyBorder="1" applyAlignment="1">
      <alignment horizontal="center"/>
    </xf>
    <xf numFmtId="0" fontId="105" fillId="24" borderId="393" xfId="0" applyFont="1" applyFill="1" applyBorder="1" applyAlignment="1">
      <alignment horizontal="center" vertical="center"/>
    </xf>
    <xf numFmtId="0" fontId="105" fillId="24" borderId="6" xfId="0" applyFont="1" applyFill="1" applyBorder="1" applyAlignment="1">
      <alignment horizontal="center" vertical="center"/>
    </xf>
    <xf numFmtId="0" fontId="105" fillId="24" borderId="1" xfId="0" applyFont="1" applyFill="1" applyBorder="1" applyAlignment="1">
      <alignment horizontal="center" vertical="center"/>
    </xf>
    <xf numFmtId="0" fontId="105" fillId="24" borderId="7" xfId="0" applyFont="1" applyFill="1" applyBorder="1" applyAlignment="1">
      <alignment horizontal="center" vertical="center"/>
    </xf>
    <xf numFmtId="0" fontId="106" fillId="16" borderId="395" xfId="0" applyFont="1" applyFill="1" applyBorder="1" applyAlignment="1">
      <alignment horizontal="center" vertical="center" textRotation="90"/>
    </xf>
    <xf numFmtId="0" fontId="106" fillId="16" borderId="396" xfId="0" applyFont="1" applyFill="1" applyBorder="1" applyAlignment="1">
      <alignment horizontal="center" vertical="center" textRotation="90"/>
    </xf>
    <xf numFmtId="0" fontId="106" fillId="16" borderId="402" xfId="0" applyFont="1" applyFill="1" applyBorder="1" applyAlignment="1">
      <alignment horizontal="center" vertical="center" textRotation="90"/>
    </xf>
    <xf numFmtId="10" fontId="105" fillId="0" borderId="223" xfId="0" applyNumberFormat="1" applyFont="1" applyBorder="1" applyAlignment="1">
      <alignment horizontal="center" vertical="center"/>
    </xf>
    <xf numFmtId="10" fontId="105" fillId="0" borderId="58" xfId="0" applyNumberFormat="1" applyFont="1" applyBorder="1" applyAlignment="1">
      <alignment horizontal="center" vertical="center"/>
    </xf>
    <xf numFmtId="10" fontId="105" fillId="0" borderId="64" xfId="0" applyNumberFormat="1" applyFont="1" applyBorder="1" applyAlignment="1">
      <alignment horizontal="center" vertical="center"/>
    </xf>
    <xf numFmtId="10" fontId="105" fillId="0" borderId="63" xfId="0" applyNumberFormat="1" applyFont="1" applyBorder="1" applyAlignment="1">
      <alignment horizontal="center" vertical="center"/>
    </xf>
    <xf numFmtId="10" fontId="105" fillId="0" borderId="348" xfId="0" applyNumberFormat="1" applyFont="1" applyBorder="1" applyAlignment="1">
      <alignment horizontal="center" vertical="center"/>
    </xf>
    <xf numFmtId="10" fontId="105" fillId="0" borderId="350" xfId="0" applyNumberFormat="1" applyFont="1" applyBorder="1" applyAlignment="1">
      <alignment horizontal="center" vertical="center"/>
    </xf>
    <xf numFmtId="2" fontId="105" fillId="0" borderId="347" xfId="0" applyNumberFormat="1" applyFont="1" applyBorder="1" applyAlignment="1">
      <alignment horizontal="center" vertical="center"/>
    </xf>
    <xf numFmtId="2" fontId="105" fillId="0" borderId="536" xfId="0" applyNumberFormat="1" applyFont="1" applyBorder="1" applyAlignment="1">
      <alignment horizontal="center" vertical="center"/>
    </xf>
    <xf numFmtId="0" fontId="109" fillId="38" borderId="511" xfId="0" applyFont="1" applyFill="1" applyBorder="1" applyAlignment="1">
      <alignment horizontal="center" vertical="center"/>
    </xf>
    <xf numFmtId="0" fontId="111" fillId="2" borderId="546" xfId="11" applyFont="1" applyFill="1" applyBorder="1" applyAlignment="1">
      <alignment horizontal="left" vertical="top" wrapText="1"/>
    </xf>
    <xf numFmtId="0" fontId="109" fillId="38" borderId="84" xfId="0" applyFont="1" applyFill="1" applyBorder="1" applyAlignment="1">
      <alignment horizontal="center" vertical="center"/>
    </xf>
    <xf numFmtId="0" fontId="109" fillId="38" borderId="403" xfId="0" applyFont="1" applyFill="1" applyBorder="1" applyAlignment="1">
      <alignment horizontal="center" vertical="center"/>
    </xf>
    <xf numFmtId="2" fontId="97" fillId="2" borderId="64" xfId="0" applyNumberFormat="1" applyFont="1" applyFill="1" applyBorder="1" applyAlignment="1">
      <alignment horizontal="right" vertical="center"/>
    </xf>
    <xf numFmtId="2" fontId="97" fillId="2" borderId="0" xfId="0" applyNumberFormat="1" applyFont="1" applyFill="1" applyAlignment="1">
      <alignment horizontal="right" vertical="center"/>
    </xf>
    <xf numFmtId="2" fontId="97" fillId="2" borderId="348" xfId="0" applyNumberFormat="1" applyFont="1" applyFill="1" applyBorder="1" applyAlignment="1">
      <alignment horizontal="right" vertical="center"/>
    </xf>
    <xf numFmtId="2" fontId="97" fillId="2" borderId="349" xfId="0" applyNumberFormat="1" applyFont="1" applyFill="1" applyBorder="1" applyAlignment="1">
      <alignment horizontal="right" vertical="center"/>
    </xf>
    <xf numFmtId="2" fontId="97" fillId="2" borderId="404" xfId="0" applyNumberFormat="1" applyFont="1" applyFill="1" applyBorder="1" applyAlignment="1">
      <alignment horizontal="left" vertical="center"/>
    </xf>
    <xf numFmtId="2" fontId="97" fillId="2" borderId="10" xfId="0" applyNumberFormat="1" applyFont="1" applyFill="1" applyBorder="1" applyAlignment="1">
      <alignment horizontal="left" vertical="center"/>
    </xf>
    <xf numFmtId="2" fontId="97" fillId="2" borderId="405" xfId="0" applyNumberFormat="1" applyFont="1" applyFill="1" applyBorder="1" applyAlignment="1">
      <alignment horizontal="left" vertical="center"/>
    </xf>
    <xf numFmtId="0" fontId="101" fillId="2" borderId="546" xfId="0" applyFont="1" applyFill="1" applyBorder="1" applyAlignment="1">
      <alignment horizontal="left" vertical="center" wrapText="1"/>
    </xf>
    <xf numFmtId="0" fontId="109" fillId="38" borderId="223" xfId="0" applyFont="1" applyFill="1" applyBorder="1" applyAlignment="1">
      <alignment horizontal="center" vertical="center"/>
    </xf>
    <xf numFmtId="0" fontId="109" fillId="38" borderId="57" xfId="0" applyFont="1" applyFill="1" applyBorder="1" applyAlignment="1">
      <alignment horizontal="center" vertical="center"/>
    </xf>
    <xf numFmtId="0" fontId="109" fillId="38" borderId="58" xfId="0" applyFont="1" applyFill="1" applyBorder="1" applyAlignment="1">
      <alignment vertical="center"/>
    </xf>
    <xf numFmtId="0" fontId="109" fillId="38" borderId="356" xfId="0" applyFont="1" applyFill="1" applyBorder="1" applyAlignment="1">
      <alignment horizontal="center" vertical="center"/>
    </xf>
    <xf numFmtId="0" fontId="109" fillId="38" borderId="354" xfId="0" applyFont="1" applyFill="1" applyBorder="1" applyAlignment="1">
      <alignment horizontal="center" vertical="center"/>
    </xf>
    <xf numFmtId="0" fontId="109" fillId="38" borderId="357" xfId="0" applyFont="1" applyFill="1" applyBorder="1" applyAlignment="1">
      <alignment horizontal="center" vertical="center"/>
    </xf>
    <xf numFmtId="0" fontId="97" fillId="13" borderId="348" xfId="0" applyFont="1" applyFill="1" applyBorder="1" applyAlignment="1">
      <alignment horizontal="center" vertical="center"/>
    </xf>
    <xf numFmtId="0" fontId="97" fillId="0" borderId="349" xfId="0" applyFont="1" applyBorder="1" applyAlignment="1">
      <alignment horizontal="center" vertical="center"/>
    </xf>
    <xf numFmtId="0" fontId="97" fillId="0" borderId="350" xfId="0" applyFont="1" applyBorder="1" applyAlignment="1">
      <alignment vertical="center"/>
    </xf>
    <xf numFmtId="0" fontId="111" fillId="2" borderId="3" xfId="11" applyFont="1" applyFill="1" applyBorder="1" applyAlignment="1">
      <alignment horizontal="left" vertical="center" wrapText="1"/>
    </xf>
    <xf numFmtId="0" fontId="111" fillId="2" borderId="3" xfId="11" applyFont="1" applyFill="1" applyBorder="1" applyAlignment="1">
      <alignment vertical="center" wrapText="1"/>
    </xf>
    <xf numFmtId="0" fontId="111" fillId="2" borderId="0" xfId="11" applyFont="1" applyFill="1" applyAlignment="1">
      <alignment horizontal="center" vertical="top"/>
    </xf>
    <xf numFmtId="0" fontId="118" fillId="2" borderId="0" xfId="11" applyFont="1" applyFill="1" applyAlignment="1">
      <alignment horizontal="center"/>
    </xf>
    <xf numFmtId="0" fontId="120" fillId="24" borderId="356" xfId="0" applyFont="1" applyFill="1" applyBorder="1" applyAlignment="1">
      <alignment horizontal="center" vertical="center" wrapText="1"/>
    </xf>
    <xf numFmtId="0" fontId="120" fillId="24" borderId="354" xfId="0" applyFont="1" applyFill="1" applyBorder="1" applyAlignment="1">
      <alignment horizontal="center" vertical="center" wrapText="1"/>
    </xf>
    <xf numFmtId="0" fontId="120" fillId="24" borderId="355" xfId="0" applyFont="1" applyFill="1" applyBorder="1" applyAlignment="1">
      <alignment horizontal="center" vertical="center" wrapText="1"/>
    </xf>
    <xf numFmtId="166" fontId="120" fillId="24" borderId="356" xfId="2" applyNumberFormat="1" applyFont="1" applyFill="1" applyBorder="1" applyAlignment="1" applyProtection="1">
      <alignment horizontal="center" vertical="distributed" wrapText="1"/>
    </xf>
    <xf numFmtId="166" fontId="121" fillId="24" borderId="354" xfId="0" applyNumberFormat="1" applyFont="1" applyFill="1" applyBorder="1" applyAlignment="1">
      <alignment horizontal="center" vertical="distributed" wrapText="1"/>
    </xf>
    <xf numFmtId="166" fontId="121" fillId="24" borderId="355" xfId="0" applyNumberFormat="1" applyFont="1" applyFill="1" applyBorder="1" applyAlignment="1">
      <alignment horizontal="center" vertical="distributed" wrapText="1"/>
    </xf>
    <xf numFmtId="0" fontId="98" fillId="2" borderId="0" xfId="11" applyFont="1" applyFill="1" applyAlignment="1">
      <alignment vertical="center" wrapText="1"/>
    </xf>
    <xf numFmtId="0" fontId="98" fillId="2" borderId="0" xfId="11" applyFont="1" applyFill="1" applyAlignment="1">
      <alignment horizontal="left" vertical="center" wrapText="1"/>
    </xf>
    <xf numFmtId="0" fontId="97" fillId="2" borderId="0" xfId="0" applyFont="1" applyFill="1" applyAlignment="1">
      <alignment horizontal="left" vertical="center" wrapText="1"/>
    </xf>
    <xf numFmtId="0" fontId="119" fillId="24" borderId="356" xfId="0" applyFont="1" applyFill="1" applyBorder="1" applyAlignment="1">
      <alignment horizontal="right" vertical="center" wrapText="1"/>
    </xf>
    <xf numFmtId="0" fontId="119" fillId="24" borderId="354" xfId="0" applyFont="1" applyFill="1" applyBorder="1" applyAlignment="1">
      <alignment horizontal="right" vertical="center" wrapText="1"/>
    </xf>
    <xf numFmtId="0" fontId="107" fillId="11" borderId="354" xfId="0" applyFont="1" applyFill="1" applyBorder="1" applyAlignment="1" applyProtection="1">
      <alignment horizontal="left" vertical="center" wrapText="1"/>
      <protection locked="0"/>
    </xf>
    <xf numFmtId="0" fontId="107" fillId="11" borderId="355" xfId="0" applyFont="1" applyFill="1" applyBorder="1" applyAlignment="1" applyProtection="1">
      <alignment horizontal="left" vertical="center" wrapText="1"/>
      <protection locked="0"/>
    </xf>
    <xf numFmtId="0" fontId="98" fillId="2" borderId="0" xfId="11" applyFont="1" applyFill="1" applyAlignment="1">
      <alignment horizontal="left" vertical="top" wrapText="1"/>
    </xf>
    <xf numFmtId="0" fontId="110" fillId="2" borderId="511" xfId="0" applyFont="1" applyFill="1" applyBorder="1" applyAlignment="1">
      <alignment horizontal="left" vertical="center" wrapText="1"/>
    </xf>
    <xf numFmtId="0" fontId="110" fillId="2" borderId="511" xfId="0" applyFont="1" applyFill="1" applyBorder="1" applyAlignment="1">
      <alignment horizontal="left" vertical="center"/>
    </xf>
    <xf numFmtId="0" fontId="60" fillId="11" borderId="552" xfId="0" applyFont="1" applyFill="1" applyBorder="1" applyAlignment="1">
      <alignment horizontal="center"/>
    </xf>
    <xf numFmtId="0" fontId="60" fillId="11" borderId="553" xfId="0" applyFont="1" applyFill="1" applyBorder="1" applyAlignment="1">
      <alignment horizontal="center"/>
    </xf>
    <xf numFmtId="0" fontId="60" fillId="11" borderId="552" xfId="0" applyFont="1" applyFill="1" applyBorder="1" applyAlignment="1">
      <alignment horizontal="center" vertical="center"/>
    </xf>
    <xf numFmtId="0" fontId="60" fillId="11" borderId="553" xfId="0" applyFont="1" applyFill="1" applyBorder="1" applyAlignment="1">
      <alignment horizontal="center" vertical="center"/>
    </xf>
    <xf numFmtId="0" fontId="25" fillId="16" borderId="94" xfId="0" applyFont="1" applyFill="1" applyBorder="1" applyAlignment="1">
      <alignment horizontal="center" vertical="center"/>
    </xf>
    <xf numFmtId="0" fontId="25" fillId="16" borderId="82" xfId="0" applyFont="1" applyFill="1" applyBorder="1" applyAlignment="1">
      <alignment horizontal="center" vertical="center"/>
    </xf>
    <xf numFmtId="0" fontId="25" fillId="16" borderId="95" xfId="0" applyFont="1" applyFill="1" applyBorder="1" applyAlignment="1">
      <alignment horizontal="center" vertical="center"/>
    </xf>
    <xf numFmtId="0" fontId="25" fillId="16" borderId="99" xfId="0" applyFont="1" applyFill="1" applyBorder="1" applyAlignment="1">
      <alignment horizontal="center" vertical="center"/>
    </xf>
    <xf numFmtId="0" fontId="25" fillId="16" borderId="96" xfId="0" applyFont="1" applyFill="1" applyBorder="1" applyAlignment="1">
      <alignment horizontal="center" vertical="center"/>
    </xf>
    <xf numFmtId="0" fontId="36" fillId="16" borderId="100" xfId="0" applyFont="1" applyFill="1" applyBorder="1" applyAlignment="1">
      <alignment horizontal="center" vertical="center"/>
    </xf>
    <xf numFmtId="0" fontId="36" fillId="16" borderId="74" xfId="0" applyFont="1" applyFill="1" applyBorder="1" applyAlignment="1">
      <alignment horizontal="center" vertical="center"/>
    </xf>
    <xf numFmtId="0" fontId="36" fillId="16" borderId="69" xfId="0" applyFont="1" applyFill="1" applyBorder="1" applyAlignment="1">
      <alignment horizontal="center" vertical="center"/>
    </xf>
    <xf numFmtId="0" fontId="36" fillId="16" borderId="130" xfId="0" applyFont="1" applyFill="1" applyBorder="1" applyAlignment="1">
      <alignment horizontal="center" vertical="center"/>
    </xf>
    <xf numFmtId="0" fontId="36" fillId="16" borderId="80" xfId="0" applyFont="1" applyFill="1" applyBorder="1" applyAlignment="1">
      <alignment horizontal="center" vertical="center"/>
    </xf>
    <xf numFmtId="0" fontId="36" fillId="16" borderId="70" xfId="0" applyFont="1" applyFill="1" applyBorder="1" applyAlignment="1">
      <alignment horizontal="center" vertical="center"/>
    </xf>
    <xf numFmtId="0" fontId="60" fillId="11" borderId="555" xfId="0" applyFont="1" applyFill="1" applyBorder="1" applyAlignment="1">
      <alignment horizontal="center" vertical="center"/>
    </xf>
    <xf numFmtId="0" fontId="60" fillId="11" borderId="119" xfId="0" applyFont="1" applyFill="1" applyBorder="1" applyAlignment="1">
      <alignment horizontal="center" vertical="center"/>
    </xf>
    <xf numFmtId="0" fontId="22" fillId="16" borderId="67" xfId="0" applyFont="1" applyFill="1" applyBorder="1" applyAlignment="1">
      <alignment horizontal="center" vertical="center"/>
    </xf>
    <xf numFmtId="0" fontId="22" fillId="16" borderId="144" xfId="0" applyFont="1" applyFill="1" applyBorder="1" applyAlignment="1">
      <alignment horizontal="center" vertical="center"/>
    </xf>
    <xf numFmtId="0" fontId="22" fillId="16" borderId="118" xfId="0" applyFont="1" applyFill="1" applyBorder="1" applyAlignment="1">
      <alignment horizontal="center" vertical="center"/>
    </xf>
    <xf numFmtId="0" fontId="23" fillId="16" borderId="69" xfId="0" applyFont="1" applyFill="1" applyBorder="1" applyAlignment="1">
      <alignment horizontal="center" vertical="center"/>
    </xf>
    <xf numFmtId="0" fontId="23" fillId="16" borderId="70" xfId="0" applyFont="1" applyFill="1" applyBorder="1" applyAlignment="1">
      <alignment horizontal="center" vertical="center"/>
    </xf>
    <xf numFmtId="0" fontId="23" fillId="16" borderId="72" xfId="0" applyFont="1" applyFill="1" applyBorder="1" applyAlignment="1">
      <alignment horizontal="center" vertical="center" wrapText="1"/>
    </xf>
    <xf numFmtId="0" fontId="23" fillId="16" borderId="78" xfId="0" applyFont="1" applyFill="1" applyBorder="1" applyAlignment="1">
      <alignment horizontal="center" vertical="center" wrapText="1"/>
    </xf>
    <xf numFmtId="0" fontId="23" fillId="16" borderId="97" xfId="0" applyFont="1" applyFill="1" applyBorder="1" applyAlignment="1">
      <alignment horizontal="center" vertical="center" wrapText="1"/>
    </xf>
    <xf numFmtId="0" fontId="23" fillId="16" borderId="145" xfId="0" applyFont="1" applyFill="1" applyBorder="1" applyAlignment="1">
      <alignment horizontal="center" vertical="center" wrapText="1"/>
    </xf>
    <xf numFmtId="0" fontId="60" fillId="11" borderId="560" xfId="0" applyFont="1" applyFill="1" applyBorder="1" applyAlignment="1">
      <alignment horizontal="center" vertical="center"/>
    </xf>
    <xf numFmtId="0" fontId="60" fillId="11" borderId="561" xfId="0" applyFont="1" applyFill="1" applyBorder="1" applyAlignment="1">
      <alignment horizontal="center" vertical="center"/>
    </xf>
    <xf numFmtId="0" fontId="60" fillId="11" borderId="562" xfId="0" applyFont="1" applyFill="1" applyBorder="1" applyAlignment="1">
      <alignment horizontal="center" vertical="center"/>
    </xf>
    <xf numFmtId="0" fontId="0" fillId="11" borderId="101" xfId="0" applyFill="1" applyBorder="1" applyAlignment="1">
      <alignment horizontal="center"/>
    </xf>
    <xf numFmtId="0" fontId="0" fillId="11" borderId="113" xfId="0" applyFill="1" applyBorder="1" applyAlignment="1">
      <alignment horizontal="center"/>
    </xf>
    <xf numFmtId="0" fontId="0" fillId="11" borderId="93" xfId="0" applyFill="1" applyBorder="1" applyAlignment="1">
      <alignment horizontal="center"/>
    </xf>
    <xf numFmtId="167" fontId="0" fillId="11" borderId="52"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3" fillId="16" borderId="102" xfId="0" applyFont="1" applyFill="1" applyBorder="1" applyAlignment="1">
      <alignment horizontal="center"/>
    </xf>
    <xf numFmtId="0" fontId="23" fillId="16" borderId="13" xfId="0" applyFont="1" applyFill="1" applyBorder="1" applyAlignment="1">
      <alignment horizontal="center"/>
    </xf>
    <xf numFmtId="0" fontId="23" fillId="16" borderId="103" xfId="0" applyFont="1" applyFill="1" applyBorder="1" applyAlignment="1">
      <alignment horizontal="center"/>
    </xf>
    <xf numFmtId="167" fontId="35" fillId="16" borderId="110" xfId="27" applyNumberFormat="1" applyFont="1" applyFill="1" applyBorder="1" applyAlignment="1">
      <alignment horizontal="center"/>
    </xf>
    <xf numFmtId="167" fontId="35" fillId="16" borderId="13" xfId="27" applyNumberFormat="1" applyFont="1" applyFill="1" applyBorder="1" applyAlignment="1">
      <alignment horizontal="center"/>
    </xf>
    <xf numFmtId="167" fontId="35" fillId="16" borderId="90" xfId="27" applyNumberFormat="1" applyFont="1" applyFill="1" applyBorder="1" applyAlignment="1">
      <alignment horizontal="center"/>
    </xf>
    <xf numFmtId="0" fontId="22" fillId="16" borderId="72" xfId="0" applyFont="1" applyFill="1" applyBorder="1" applyAlignment="1">
      <alignment horizontal="center" vertical="center"/>
    </xf>
    <xf numFmtId="0" fontId="22" fillId="16" borderId="73" xfId="0" applyFont="1" applyFill="1" applyBorder="1" applyAlignment="1">
      <alignment horizontal="center" vertical="center"/>
    </xf>
    <xf numFmtId="0" fontId="23" fillId="16" borderId="69" xfId="0" applyFont="1" applyFill="1" applyBorder="1" applyAlignment="1">
      <alignment horizontal="center" vertical="center" wrapText="1"/>
    </xf>
    <xf numFmtId="0" fontId="23" fillId="16" borderId="79" xfId="0" applyFont="1" applyFill="1" applyBorder="1" applyAlignment="1">
      <alignment horizontal="center" vertical="center" wrapText="1"/>
    </xf>
    <xf numFmtId="0" fontId="23" fillId="16" borderId="116" xfId="0" applyFont="1" applyFill="1" applyBorder="1" applyAlignment="1">
      <alignment horizontal="center" vertical="center" wrapText="1"/>
    </xf>
    <xf numFmtId="0" fontId="23" fillId="16" borderId="108" xfId="0" applyFont="1" applyFill="1" applyBorder="1" applyAlignment="1">
      <alignment horizontal="center" vertical="center" wrapText="1"/>
    </xf>
    <xf numFmtId="0" fontId="23" fillId="16" borderId="146" xfId="0" applyFont="1" applyFill="1" applyBorder="1" applyAlignment="1">
      <alignment horizontal="center" vertical="center" wrapText="1"/>
    </xf>
    <xf numFmtId="0" fontId="60" fillId="11" borderId="555" xfId="0" applyFont="1" applyFill="1" applyBorder="1" applyAlignment="1">
      <alignment horizontal="center"/>
    </xf>
    <xf numFmtId="0" fontId="60" fillId="11" borderId="119" xfId="0" applyFont="1" applyFill="1" applyBorder="1" applyAlignment="1">
      <alignment horizontal="center"/>
    </xf>
    <xf numFmtId="0" fontId="60" fillId="11" borderId="557" xfId="0" applyFont="1" applyFill="1" applyBorder="1" applyAlignment="1">
      <alignment horizontal="center"/>
    </xf>
    <xf numFmtId="0" fontId="60" fillId="11" borderId="558" xfId="0" applyFont="1" applyFill="1" applyBorder="1" applyAlignment="1">
      <alignment horizontal="center"/>
    </xf>
    <xf numFmtId="0" fontId="22" fillId="16" borderId="67" xfId="0" applyFont="1" applyFill="1" applyBorder="1" applyAlignment="1">
      <alignment horizontal="center"/>
    </xf>
    <xf numFmtId="0" fontId="22" fillId="16" borderId="144" xfId="0" applyFont="1" applyFill="1" applyBorder="1" applyAlignment="1">
      <alignment horizontal="center"/>
    </xf>
    <xf numFmtId="0" fontId="22" fillId="16" borderId="118" xfId="0" applyFont="1" applyFill="1" applyBorder="1" applyAlignment="1">
      <alignment horizontal="center"/>
    </xf>
    <xf numFmtId="0" fontId="22" fillId="16" borderId="91" xfId="0" applyFont="1" applyFill="1" applyBorder="1" applyAlignment="1">
      <alignment horizontal="center" vertical="center"/>
    </xf>
    <xf numFmtId="0" fontId="22" fillId="16" borderId="143" xfId="0" applyFont="1" applyFill="1" applyBorder="1" applyAlignment="1">
      <alignment horizontal="center" vertical="center"/>
    </xf>
    <xf numFmtId="0" fontId="22" fillId="16" borderId="129" xfId="0" applyFont="1" applyFill="1" applyBorder="1" applyAlignment="1">
      <alignment horizontal="center" vertical="center"/>
    </xf>
    <xf numFmtId="0" fontId="23" fillId="16" borderId="112" xfId="0" applyFont="1" applyFill="1" applyBorder="1" applyAlignment="1">
      <alignment horizontal="center" vertical="center"/>
    </xf>
    <xf numFmtId="0" fontId="23" fillId="16" borderId="537" xfId="0" applyFont="1" applyFill="1" applyBorder="1" applyAlignment="1">
      <alignment horizontal="center" vertical="center"/>
    </xf>
    <xf numFmtId="0" fontId="23" fillId="16" borderId="95" xfId="0" applyFont="1" applyFill="1" applyBorder="1" applyAlignment="1">
      <alignment horizontal="center" vertical="center"/>
    </xf>
    <xf numFmtId="0" fontId="23" fillId="16" borderId="112" xfId="0" applyFont="1" applyFill="1" applyBorder="1" applyAlignment="1">
      <alignment horizontal="center" vertical="center" wrapText="1"/>
    </xf>
    <xf numFmtId="0" fontId="23" fillId="16" borderId="537" xfId="0" applyFont="1" applyFill="1" applyBorder="1" applyAlignment="1">
      <alignment horizontal="center" vertical="center" wrapText="1"/>
    </xf>
    <xf numFmtId="0" fontId="23" fillId="16" borderId="95" xfId="0" applyFont="1" applyFill="1" applyBorder="1" applyAlignment="1">
      <alignment horizontal="center" vertical="center" wrapText="1"/>
    </xf>
    <xf numFmtId="0" fontId="22" fillId="16" borderId="97" xfId="0" applyFont="1" applyFill="1" applyBorder="1" applyAlignment="1">
      <alignment horizontal="center" vertical="center"/>
    </xf>
    <xf numFmtId="0" fontId="24" fillId="16" borderId="69" xfId="0" applyFont="1" applyFill="1" applyBorder="1" applyAlignment="1">
      <alignment horizontal="center" vertical="center" wrapText="1"/>
    </xf>
    <xf numFmtId="0" fontId="35" fillId="16" borderId="72" xfId="0" applyFont="1" applyFill="1" applyBorder="1" applyAlignment="1">
      <alignment horizontal="center" vertical="center"/>
    </xf>
    <xf numFmtId="0" fontId="35" fillId="16" borderId="73" xfId="0" applyFont="1" applyFill="1" applyBorder="1" applyAlignment="1">
      <alignment horizontal="center" vertical="center"/>
    </xf>
    <xf numFmtId="0" fontId="35" fillId="16" borderId="74" xfId="0" applyFont="1" applyFill="1" applyBorder="1" applyAlignment="1">
      <alignment horizontal="center" vertical="center"/>
    </xf>
    <xf numFmtId="0" fontId="23" fillId="16" borderId="111" xfId="0" applyFont="1" applyFill="1" applyBorder="1" applyAlignment="1">
      <alignment horizontal="center" vertical="center"/>
    </xf>
    <xf numFmtId="0" fontId="23" fillId="16" borderId="79" xfId="0" applyFont="1" applyFill="1" applyBorder="1" applyAlignment="1">
      <alignment horizontal="center" vertical="center"/>
    </xf>
    <xf numFmtId="0" fontId="23" fillId="16" borderId="80" xfId="0" applyFont="1" applyFill="1" applyBorder="1" applyAlignment="1">
      <alignment horizontal="center" vertical="center"/>
    </xf>
    <xf numFmtId="0" fontId="23" fillId="16" borderId="123" xfId="0" applyFont="1" applyFill="1" applyBorder="1" applyAlignment="1">
      <alignment horizontal="center" vertical="center"/>
    </xf>
    <xf numFmtId="0" fontId="23" fillId="16" borderId="0" xfId="0" applyFont="1" applyFill="1" applyAlignment="1">
      <alignment horizontal="center" vertical="center"/>
    </xf>
    <xf numFmtId="0" fontId="23" fillId="16" borderId="115" xfId="0" applyFont="1" applyFill="1" applyBorder="1" applyAlignment="1">
      <alignment horizontal="center" vertical="center"/>
    </xf>
    <xf numFmtId="0" fontId="23" fillId="16" borderId="106" xfId="0" applyFont="1" applyFill="1" applyBorder="1" applyAlignment="1">
      <alignment horizontal="center" vertical="center"/>
    </xf>
    <xf numFmtId="0" fontId="23" fillId="16" borderId="108" xfId="0" applyFont="1" applyFill="1" applyBorder="1" applyAlignment="1">
      <alignment horizontal="center" vertical="center"/>
    </xf>
    <xf numFmtId="0" fontId="23" fillId="16" borderId="107" xfId="0" applyFont="1" applyFill="1" applyBorder="1" applyAlignment="1">
      <alignment horizontal="center" vertical="center"/>
    </xf>
    <xf numFmtId="0" fontId="24" fillId="16" borderId="483" xfId="0" applyFont="1" applyFill="1" applyBorder="1" applyAlignment="1">
      <alignment horizontal="center" vertical="center" wrapText="1"/>
    </xf>
    <xf numFmtId="0" fontId="37" fillId="16" borderId="111" xfId="0" applyFont="1" applyFill="1" applyBorder="1" applyAlignment="1">
      <alignment horizontal="center"/>
    </xf>
    <xf numFmtId="0" fontId="37" fillId="16" borderId="79" xfId="0" applyFont="1" applyFill="1" applyBorder="1" applyAlignment="1">
      <alignment horizontal="center"/>
    </xf>
    <xf numFmtId="0" fontId="37" fillId="16" borderId="117" xfId="0" applyFont="1" applyFill="1" applyBorder="1" applyAlignment="1">
      <alignment horizontal="center"/>
    </xf>
    <xf numFmtId="0" fontId="37" fillId="16" borderId="123" xfId="0" applyFont="1" applyFill="1" applyBorder="1" applyAlignment="1">
      <alignment horizontal="center"/>
    </xf>
    <xf numFmtId="0" fontId="37" fillId="16" borderId="0" xfId="0" applyFont="1" applyFill="1" applyAlignment="1">
      <alignment horizontal="center"/>
    </xf>
    <xf numFmtId="0" fontId="37" fillId="16" borderId="65" xfId="0" applyFont="1" applyFill="1" applyBorder="1" applyAlignment="1">
      <alignment horizontal="center"/>
    </xf>
    <xf numFmtId="0" fontId="37" fillId="16" borderId="67" xfId="0" applyFont="1" applyFill="1" applyBorder="1" applyAlignment="1">
      <alignment horizontal="center"/>
    </xf>
    <xf numFmtId="0" fontId="37" fillId="16" borderId="144" xfId="0" applyFont="1" applyFill="1" applyBorder="1" applyAlignment="1">
      <alignment horizontal="center"/>
    </xf>
    <xf numFmtId="0" fontId="37" fillId="16" borderId="118" xfId="0" applyFont="1" applyFill="1" applyBorder="1" applyAlignment="1">
      <alignment horizontal="center"/>
    </xf>
    <xf numFmtId="0" fontId="90" fillId="11" borderId="64" xfId="4" applyFont="1" applyFill="1" applyBorder="1" applyAlignment="1">
      <alignment horizontal="center" vertical="center"/>
    </xf>
    <xf numFmtId="0" fontId="16" fillId="0" borderId="0" xfId="4"/>
    <xf numFmtId="0" fontId="16" fillId="0" borderId="63" xfId="4" applyBorder="1"/>
    <xf numFmtId="0" fontId="88" fillId="0" borderId="407" xfId="4" applyFont="1" applyBorder="1" applyAlignment="1" applyProtection="1">
      <alignment horizontal="left" vertical="center" wrapText="1"/>
      <protection locked="0"/>
    </xf>
    <xf numFmtId="0" fontId="88" fillId="0" borderId="398" xfId="4" applyFont="1" applyBorder="1" applyAlignment="1" applyProtection="1">
      <alignment horizontal="left" vertical="center" wrapText="1"/>
      <protection locked="0"/>
    </xf>
    <xf numFmtId="0" fontId="88" fillId="0" borderId="12" xfId="4" applyFont="1" applyBorder="1" applyAlignment="1" applyProtection="1">
      <alignment horizontal="left" vertical="center" wrapText="1"/>
      <protection locked="0"/>
    </xf>
    <xf numFmtId="0" fontId="88" fillId="0" borderId="398" xfId="4" applyFont="1" applyBorder="1" applyAlignment="1" applyProtection="1">
      <alignment horizontal="center" vertical="center" wrapText="1"/>
      <protection locked="0"/>
    </xf>
    <xf numFmtId="0" fontId="88" fillId="0" borderId="12" xfId="4" applyFont="1" applyBorder="1" applyAlignment="1" applyProtection="1">
      <alignment horizontal="center" vertical="center" wrapText="1"/>
      <protection locked="0"/>
    </xf>
    <xf numFmtId="0" fontId="90" fillId="11" borderId="407" xfId="4" applyFont="1" applyFill="1" applyBorder="1" applyAlignment="1" applyProtection="1">
      <alignment horizontal="center" vertical="center" wrapText="1"/>
      <protection locked="0"/>
    </xf>
    <xf numFmtId="0" fontId="90" fillId="11" borderId="398" xfId="4" applyFont="1" applyFill="1" applyBorder="1" applyAlignment="1" applyProtection="1">
      <alignment horizontal="center" vertical="center" wrapText="1"/>
      <protection locked="0"/>
    </xf>
    <xf numFmtId="0" fontId="90" fillId="11" borderId="12" xfId="4" applyFont="1" applyFill="1" applyBorder="1" applyAlignment="1" applyProtection="1">
      <alignment horizontal="center" vertical="center" wrapText="1"/>
      <protection locked="0"/>
    </xf>
    <xf numFmtId="0" fontId="88" fillId="0" borderId="3" xfId="11" applyFont="1" applyBorder="1" applyAlignment="1" applyProtection="1">
      <alignment horizontal="center" vertical="center"/>
      <protection locked="0"/>
    </xf>
    <xf numFmtId="10" fontId="62" fillId="0" borderId="407" xfId="5" applyNumberFormat="1" applyFont="1" applyBorder="1" applyAlignment="1" applyProtection="1">
      <alignment horizontal="center" vertical="center"/>
    </xf>
    <xf numFmtId="10" fontId="62" fillId="0" borderId="398" xfId="5" applyNumberFormat="1" applyFont="1" applyBorder="1" applyAlignment="1" applyProtection="1">
      <alignment horizontal="center" vertical="center"/>
    </xf>
    <xf numFmtId="10" fontId="62" fillId="0" borderId="400" xfId="5" applyNumberFormat="1" applyFont="1" applyBorder="1" applyAlignment="1" applyProtection="1">
      <alignment horizontal="center" vertical="center"/>
    </xf>
    <xf numFmtId="0" fontId="12" fillId="11" borderId="511" xfId="4" applyFont="1" applyFill="1" applyBorder="1" applyAlignment="1">
      <alignment horizontal="center" vertical="center"/>
    </xf>
    <xf numFmtId="0" fontId="39" fillId="15" borderId="511" xfId="4" applyFont="1" applyFill="1" applyBorder="1" applyAlignment="1">
      <alignment horizontal="center" vertical="center" wrapText="1"/>
    </xf>
    <xf numFmtId="0" fontId="23" fillId="15" borderId="511" xfId="4" applyFont="1" applyFill="1" applyBorder="1" applyAlignment="1">
      <alignment horizontal="center" vertical="center" wrapText="1"/>
    </xf>
    <xf numFmtId="0" fontId="23" fillId="15" borderId="502" xfId="4" applyFont="1" applyFill="1" applyBorder="1" applyAlignment="1">
      <alignment horizontal="center" vertical="center" wrapText="1"/>
    </xf>
    <xf numFmtId="0" fontId="88" fillId="11" borderId="348" xfId="4" applyFont="1" applyFill="1" applyBorder="1"/>
    <xf numFmtId="0" fontId="88" fillId="0" borderId="349" xfId="4" applyFont="1" applyBorder="1"/>
    <xf numFmtId="0" fontId="88" fillId="0" borderId="350" xfId="4" applyFont="1" applyBorder="1"/>
    <xf numFmtId="0" fontId="20" fillId="16" borderId="223" xfId="4" applyFont="1" applyFill="1" applyBorder="1" applyAlignment="1">
      <alignment horizontal="center" vertical="center" wrapText="1"/>
    </xf>
    <xf numFmtId="0" fontId="20" fillId="16" borderId="57" xfId="4" applyFont="1" applyFill="1" applyBorder="1" applyAlignment="1">
      <alignment horizontal="center" vertical="center" wrapText="1"/>
    </xf>
    <xf numFmtId="0" fontId="20" fillId="16" borderId="58" xfId="4" applyFont="1" applyFill="1" applyBorder="1" applyAlignment="1">
      <alignment horizontal="center" vertical="center" wrapText="1"/>
    </xf>
    <xf numFmtId="0" fontId="88" fillId="0" borderId="346" xfId="4" applyFont="1" applyBorder="1" applyAlignment="1">
      <alignment horizontal="center" vertical="center"/>
    </xf>
    <xf numFmtId="0" fontId="88" fillId="0" borderId="499" xfId="4" applyFont="1" applyBorder="1" applyAlignment="1">
      <alignment horizontal="center" vertical="center"/>
    </xf>
    <xf numFmtId="0" fontId="92" fillId="2" borderId="500" xfId="4" applyFont="1" applyFill="1" applyBorder="1" applyAlignment="1">
      <alignment horizontal="center" vertical="center" wrapText="1"/>
    </xf>
    <xf numFmtId="0" fontId="92" fillId="2" borderId="498" xfId="4" applyFont="1" applyFill="1" applyBorder="1" applyAlignment="1">
      <alignment horizontal="center" vertical="center" wrapText="1"/>
    </xf>
    <xf numFmtId="0" fontId="92" fillId="2" borderId="499" xfId="4" applyFont="1" applyFill="1" applyBorder="1" applyAlignment="1">
      <alignment horizontal="center" vertical="center" wrapText="1"/>
    </xf>
    <xf numFmtId="0" fontId="92" fillId="2" borderId="347" xfId="4" applyFont="1" applyFill="1" applyBorder="1" applyAlignment="1">
      <alignment horizontal="center" vertical="center" wrapText="1"/>
    </xf>
    <xf numFmtId="0" fontId="88" fillId="11" borderId="64" xfId="4" applyFont="1" applyFill="1" applyBorder="1"/>
    <xf numFmtId="0" fontId="88" fillId="0" borderId="0" xfId="4" applyFont="1"/>
    <xf numFmtId="0" fontId="88" fillId="0" borderId="63" xfId="4" applyFont="1" applyBorder="1"/>
    <xf numFmtId="0" fontId="8" fillId="17" borderId="501" xfId="11" applyFont="1" applyFill="1" applyBorder="1" applyAlignment="1">
      <alignment horizontal="center" vertical="center"/>
    </xf>
    <xf numFmtId="0" fontId="67" fillId="14" borderId="511" xfId="4" applyFont="1" applyFill="1" applyBorder="1" applyAlignment="1">
      <alignment horizontal="center" vertical="center"/>
    </xf>
    <xf numFmtId="0" fontId="133" fillId="17" borderId="511" xfId="11" applyFont="1" applyFill="1" applyBorder="1" applyAlignment="1">
      <alignment horizontal="center" vertical="center"/>
    </xf>
    <xf numFmtId="0" fontId="89" fillId="14" borderId="223" xfId="4" applyFont="1" applyFill="1" applyBorder="1" applyAlignment="1">
      <alignment horizontal="center" vertical="center" wrapText="1"/>
    </xf>
    <xf numFmtId="0" fontId="89" fillId="14" borderId="57" xfId="4" applyFont="1" applyFill="1" applyBorder="1" applyAlignment="1">
      <alignment horizontal="center" vertical="center" wrapText="1"/>
    </xf>
    <xf numFmtId="0" fontId="89" fillId="14" borderId="58" xfId="4" applyFont="1" applyFill="1" applyBorder="1" applyAlignment="1">
      <alignment horizontal="center" vertical="center" wrapText="1"/>
    </xf>
    <xf numFmtId="0" fontId="90" fillId="11" borderId="392" xfId="4" applyFont="1" applyFill="1" applyBorder="1" applyAlignment="1">
      <alignment horizontal="center" vertical="center" wrapText="1"/>
    </xf>
    <xf numFmtId="0" fontId="90" fillId="11" borderId="1" xfId="4" applyFont="1" applyFill="1" applyBorder="1" applyAlignment="1">
      <alignment horizontal="center" vertical="center" wrapText="1"/>
    </xf>
    <xf numFmtId="0" fontId="90" fillId="11" borderId="7" xfId="4" applyFont="1" applyFill="1" applyBorder="1" applyAlignment="1">
      <alignment horizontal="center" vertical="center" wrapText="1"/>
    </xf>
    <xf numFmtId="15" fontId="90" fillId="11" borderId="6" xfId="4" applyNumberFormat="1" applyFont="1" applyFill="1" applyBorder="1" applyAlignment="1" applyProtection="1">
      <alignment horizontal="center" vertical="center" wrapText="1"/>
      <protection locked="0"/>
    </xf>
    <xf numFmtId="15" fontId="90" fillId="11" borderId="1" xfId="4" applyNumberFormat="1" applyFont="1" applyFill="1" applyBorder="1" applyAlignment="1" applyProtection="1">
      <alignment horizontal="center" vertical="center" wrapText="1"/>
      <protection locked="0"/>
    </xf>
    <xf numFmtId="15" fontId="90" fillId="11" borderId="7" xfId="4" applyNumberFormat="1" applyFont="1" applyFill="1" applyBorder="1" applyAlignment="1" applyProtection="1">
      <alignment horizontal="center" vertical="center" wrapText="1"/>
      <protection locked="0"/>
    </xf>
    <xf numFmtId="0" fontId="90" fillId="11" borderId="501" xfId="4" applyFont="1" applyFill="1" applyBorder="1" applyAlignment="1">
      <alignment horizontal="center" vertical="center" wrapText="1"/>
    </xf>
    <xf numFmtId="0" fontId="88" fillId="0" borderId="511" xfId="4" applyFont="1" applyBorder="1" applyAlignment="1">
      <alignment horizontal="center" wrapText="1"/>
    </xf>
    <xf numFmtId="0" fontId="88" fillId="0" borderId="500" xfId="4" applyFont="1" applyBorder="1" applyAlignment="1" applyProtection="1">
      <alignment horizontal="center" vertical="center"/>
      <protection locked="0"/>
    </xf>
    <xf numFmtId="0" fontId="88" fillId="0" borderId="498" xfId="4" applyFont="1" applyBorder="1" applyAlignment="1" applyProtection="1">
      <alignment horizontal="center" vertical="center"/>
      <protection locked="0"/>
    </xf>
    <xf numFmtId="0" fontId="88" fillId="0" borderId="499" xfId="4" applyFont="1" applyBorder="1" applyAlignment="1" applyProtection="1">
      <alignment horizontal="center" vertical="center"/>
      <protection locked="0"/>
    </xf>
    <xf numFmtId="0" fontId="90" fillId="11" borderId="511" xfId="4" applyFont="1" applyFill="1" applyBorder="1" applyAlignment="1">
      <alignment horizontal="center" vertical="center" wrapText="1"/>
    </xf>
    <xf numFmtId="0" fontId="90" fillId="11" borderId="499" xfId="4" applyFont="1" applyFill="1" applyBorder="1" applyAlignment="1">
      <alignment horizontal="center" vertical="center" wrapText="1"/>
    </xf>
    <xf numFmtId="0" fontId="88" fillId="0" borderId="500" xfId="4" applyFont="1" applyBorder="1" applyAlignment="1">
      <alignment horizontal="center" vertical="center" wrapText="1"/>
    </xf>
    <xf numFmtId="0" fontId="88" fillId="0" borderId="498" xfId="4" applyFont="1" applyBorder="1" applyAlignment="1">
      <alignment horizontal="center" vertical="center" wrapText="1"/>
    </xf>
    <xf numFmtId="0" fontId="88" fillId="0" borderId="499" xfId="4" applyFont="1" applyBorder="1" applyAlignment="1">
      <alignment horizontal="center" vertical="center" wrapText="1"/>
    </xf>
    <xf numFmtId="0" fontId="90" fillId="11" borderId="500" xfId="4" applyFont="1" applyFill="1" applyBorder="1" applyAlignment="1">
      <alignment horizontal="center" vertical="center" wrapText="1"/>
    </xf>
    <xf numFmtId="182" fontId="88" fillId="0" borderId="500" xfId="4" applyNumberFormat="1" applyFont="1" applyBorder="1" applyAlignment="1" applyProtection="1">
      <alignment horizontal="center" vertical="center"/>
      <protection locked="0"/>
    </xf>
    <xf numFmtId="182" fontId="88" fillId="0" borderId="498" xfId="4" applyNumberFormat="1" applyFont="1" applyBorder="1" applyAlignment="1" applyProtection="1">
      <alignment horizontal="center" vertical="center"/>
      <protection locked="0"/>
    </xf>
    <xf numFmtId="182" fontId="88" fillId="0" borderId="347" xfId="4" applyNumberFormat="1" applyFont="1" applyBorder="1" applyAlignment="1" applyProtection="1">
      <alignment horizontal="center" vertical="center"/>
      <protection locked="0"/>
    </xf>
    <xf numFmtId="0" fontId="90" fillId="0" borderId="6" xfId="4" applyFont="1" applyBorder="1" applyAlignment="1" applyProtection="1">
      <alignment horizontal="center" vertical="center"/>
      <protection locked="0"/>
    </xf>
    <xf numFmtId="0" fontId="90" fillId="0" borderId="1" xfId="4" applyFont="1" applyBorder="1" applyAlignment="1" applyProtection="1">
      <alignment horizontal="center" vertical="center"/>
      <protection locked="0"/>
    </xf>
    <xf numFmtId="0" fontId="90" fillId="0" borderId="2" xfId="4" applyFont="1" applyBorder="1" applyAlignment="1" applyProtection="1">
      <alignment horizontal="center" vertical="center"/>
      <protection locked="0"/>
    </xf>
    <xf numFmtId="0" fontId="90" fillId="11" borderId="6" xfId="4" applyFont="1" applyFill="1" applyBorder="1" applyAlignment="1">
      <alignment horizontal="center" vertical="center"/>
    </xf>
    <xf numFmtId="0" fontId="90" fillId="11" borderId="1" xfId="4" applyFont="1" applyFill="1" applyBorder="1" applyAlignment="1">
      <alignment horizontal="center" vertical="center"/>
    </xf>
    <xf numFmtId="0" fontId="90" fillId="11" borderId="7" xfId="4" applyFont="1" applyFill="1" applyBorder="1" applyAlignment="1">
      <alignment horizontal="center" vertical="center"/>
    </xf>
    <xf numFmtId="0" fontId="88" fillId="0" borderId="500" xfId="4" applyFont="1" applyBorder="1" applyAlignment="1">
      <alignment horizontal="center" vertical="center"/>
    </xf>
    <xf numFmtId="0" fontId="88" fillId="0" borderId="76" xfId="4" applyFont="1" applyBorder="1" applyAlignment="1">
      <alignment horizontal="center" vertical="center"/>
    </xf>
    <xf numFmtId="0" fontId="92" fillId="0" borderId="511" xfId="11" applyFont="1" applyBorder="1" applyAlignment="1">
      <alignment horizontal="left" vertical="center" wrapText="1"/>
    </xf>
    <xf numFmtId="0" fontId="88" fillId="0" borderId="511" xfId="4" applyFont="1" applyBorder="1" applyAlignment="1">
      <alignment vertical="center" wrapText="1"/>
    </xf>
    <xf numFmtId="0" fontId="88" fillId="0" borderId="511" xfId="11" applyFont="1" applyBorder="1" applyAlignment="1" applyProtection="1">
      <alignment horizontal="center" vertical="center"/>
      <protection locked="0"/>
    </xf>
    <xf numFmtId="0" fontId="88" fillId="0" borderId="502" xfId="11" applyFont="1" applyBorder="1" applyAlignment="1" applyProtection="1">
      <alignment horizontal="center" vertical="center"/>
      <protection locked="0"/>
    </xf>
    <xf numFmtId="0" fontId="92" fillId="13" borderId="511" xfId="4" applyFont="1" applyFill="1" applyBorder="1" applyAlignment="1">
      <alignment horizontal="left" vertical="center" wrapText="1"/>
    </xf>
    <xf numFmtId="0" fontId="43" fillId="16" borderId="223" xfId="4" applyFont="1" applyFill="1" applyBorder="1" applyAlignment="1">
      <alignment horizontal="center" vertical="top" wrapText="1"/>
    </xf>
    <xf numFmtId="0" fontId="43" fillId="16" borderId="57" xfId="4" applyFont="1" applyFill="1" applyBorder="1" applyAlignment="1">
      <alignment horizontal="center" vertical="top" wrapText="1"/>
    </xf>
    <xf numFmtId="0" fontId="43" fillId="16" borderId="58" xfId="4" applyFont="1" applyFill="1" applyBorder="1" applyAlignment="1">
      <alignment horizontal="center" vertical="top" wrapText="1"/>
    </xf>
    <xf numFmtId="0" fontId="92" fillId="0" borderId="351" xfId="4" applyFont="1" applyBorder="1" applyAlignment="1">
      <alignment horizontal="center" vertical="center"/>
    </xf>
    <xf numFmtId="0" fontId="92" fillId="0" borderId="352" xfId="4" applyFont="1" applyBorder="1" applyAlignment="1">
      <alignment horizontal="center" vertical="center"/>
    </xf>
    <xf numFmtId="0" fontId="93" fillId="2" borderId="352" xfId="4" applyFont="1" applyFill="1" applyBorder="1" applyAlignment="1">
      <alignment horizontal="center" vertical="center"/>
    </xf>
    <xf numFmtId="0" fontId="93" fillId="0" borderId="352" xfId="4" applyFont="1" applyBorder="1" applyAlignment="1">
      <alignment horizontal="center" vertical="center"/>
    </xf>
    <xf numFmtId="2" fontId="93" fillId="2" borderId="352" xfId="4" applyNumberFormat="1" applyFont="1" applyFill="1" applyBorder="1" applyAlignment="1">
      <alignment horizontal="center" vertical="center"/>
    </xf>
    <xf numFmtId="0" fontId="93" fillId="2" borderId="353" xfId="4" applyFont="1" applyFill="1" applyBorder="1" applyAlignment="1">
      <alignment horizontal="center" vertical="center"/>
    </xf>
    <xf numFmtId="0" fontId="93" fillId="2" borderId="354" xfId="4" applyFont="1" applyFill="1" applyBorder="1" applyAlignment="1">
      <alignment horizontal="center" vertical="center"/>
    </xf>
    <xf numFmtId="0" fontId="93" fillId="2" borderId="355" xfId="4" applyFont="1" applyFill="1" applyBorder="1" applyAlignment="1">
      <alignment horizontal="center" vertical="center"/>
    </xf>
    <xf numFmtId="0" fontId="17" fillId="0" borderId="351" xfId="4" applyFont="1" applyBorder="1" applyAlignment="1">
      <alignment horizontal="center" vertical="center" wrapText="1"/>
    </xf>
    <xf numFmtId="0" fontId="88" fillId="0" borderId="352" xfId="4" applyFont="1" applyBorder="1" applyAlignment="1">
      <alignment horizontal="center" vertical="center"/>
    </xf>
    <xf numFmtId="0" fontId="142" fillId="13" borderId="353" xfId="4" applyFont="1" applyFill="1" applyBorder="1" applyAlignment="1" applyProtection="1">
      <alignment horizontal="center" vertical="center"/>
      <protection locked="0"/>
    </xf>
    <xf numFmtId="0" fontId="142" fillId="13" borderId="354" xfId="4" applyFont="1" applyFill="1" applyBorder="1" applyAlignment="1" applyProtection="1">
      <alignment horizontal="center" vertical="center"/>
      <protection locked="0"/>
    </xf>
    <xf numFmtId="0" fontId="142" fillId="13" borderId="355" xfId="4" applyFont="1" applyFill="1" applyBorder="1" applyAlignment="1" applyProtection="1">
      <alignment horizontal="center" vertical="center"/>
      <protection locked="0"/>
    </xf>
    <xf numFmtId="0" fontId="17" fillId="0" borderId="356" xfId="4" applyFont="1" applyBorder="1" applyAlignment="1">
      <alignment horizontal="center" vertical="center" wrapText="1"/>
    </xf>
    <xf numFmtId="0" fontId="17" fillId="0" borderId="354" xfId="4" applyFont="1" applyBorder="1" applyAlignment="1">
      <alignment horizontal="center" vertical="center" wrapText="1"/>
    </xf>
    <xf numFmtId="182" fontId="142" fillId="0" borderId="353" xfId="4" applyNumberFormat="1" applyFont="1" applyBorder="1" applyAlignment="1" applyProtection="1">
      <alignment horizontal="center" vertical="center" wrapText="1"/>
      <protection locked="0"/>
    </xf>
    <xf numFmtId="0" fontId="142" fillId="0" borderId="354" xfId="4" applyFont="1" applyBorder="1" applyAlignment="1" applyProtection="1">
      <alignment horizontal="center" vertical="center" wrapText="1"/>
      <protection locked="0"/>
    </xf>
    <xf numFmtId="0" fontId="142" fillId="0" borderId="355" xfId="4" applyFont="1" applyBorder="1" applyAlignment="1" applyProtection="1">
      <alignment horizontal="center" vertical="center" wrapText="1"/>
      <protection locked="0"/>
    </xf>
    <xf numFmtId="0" fontId="29" fillId="16" borderId="511" xfId="0" applyFont="1" applyFill="1" applyBorder="1" applyAlignment="1">
      <alignment horizontal="center" vertical="center"/>
    </xf>
    <xf numFmtId="0" fontId="40" fillId="16" borderId="0" xfId="0" applyFont="1" applyFill="1" applyAlignment="1">
      <alignment horizontal="center" vertical="center"/>
    </xf>
    <xf numFmtId="0" fontId="40" fillId="16" borderId="10" xfId="0" applyFont="1" applyFill="1" applyBorder="1" applyAlignment="1">
      <alignment horizontal="center" vertical="center"/>
    </xf>
    <xf numFmtId="0" fontId="40" fillId="16" borderId="144" xfId="0" applyFont="1" applyFill="1" applyBorder="1" applyAlignment="1">
      <alignment horizontal="center" vertical="center"/>
    </xf>
    <xf numFmtId="0" fontId="40" fillId="16" borderId="68" xfId="0" applyFont="1" applyFill="1" applyBorder="1" applyAlignment="1">
      <alignment horizontal="center" vertical="center"/>
    </xf>
    <xf numFmtId="0" fontId="175" fillId="0" borderId="60" xfId="0" applyFont="1" applyBorder="1" applyAlignment="1">
      <alignment horizontal="left" vertical="center"/>
    </xf>
    <xf numFmtId="0" fontId="175" fillId="0" borderId="61" xfId="0" applyFont="1" applyBorder="1" applyAlignment="1">
      <alignment horizontal="left" vertical="center"/>
    </xf>
    <xf numFmtId="0" fontId="176" fillId="0" borderId="29" xfId="0" applyFont="1" applyBorder="1" applyAlignment="1">
      <alignment horizontal="left" vertical="center"/>
    </xf>
    <xf numFmtId="0" fontId="176" fillId="0" borderId="26" xfId="0" applyFont="1" applyBorder="1" applyAlignment="1">
      <alignment horizontal="left" vertical="center"/>
    </xf>
    <xf numFmtId="0" fontId="176" fillId="0" borderId="49" xfId="0" applyFont="1" applyBorder="1" applyAlignment="1">
      <alignment horizontal="left" vertical="center"/>
    </xf>
    <xf numFmtId="0" fontId="176" fillId="0" borderId="50" xfId="0" applyFont="1" applyBorder="1" applyAlignment="1">
      <alignment horizontal="left" vertical="center"/>
    </xf>
    <xf numFmtId="0" fontId="176" fillId="9" borderId="8" xfId="0" applyFont="1" applyFill="1" applyBorder="1" applyAlignment="1">
      <alignment horizontal="left" vertical="center"/>
    </xf>
    <xf numFmtId="0" fontId="176" fillId="9" borderId="30" xfId="0" applyFont="1" applyFill="1" applyBorder="1" applyAlignment="1">
      <alignment horizontal="left" vertical="center"/>
    </xf>
    <xf numFmtId="0" fontId="29" fillId="17" borderId="120" xfId="0" applyFont="1" applyFill="1" applyBorder="1" applyAlignment="1">
      <alignment horizontal="center" vertical="center"/>
    </xf>
    <xf numFmtId="0" fontId="29" fillId="17" borderId="11" xfId="0" applyFont="1" applyFill="1" applyBorder="1" applyAlignment="1">
      <alignment horizontal="center" vertical="center"/>
    </xf>
    <xf numFmtId="0" fontId="176" fillId="9" borderId="29" xfId="0" applyFont="1" applyFill="1" applyBorder="1" applyAlignment="1">
      <alignment horizontal="left" vertical="center"/>
    </xf>
    <xf numFmtId="0" fontId="176" fillId="9" borderId="26" xfId="0" applyFont="1" applyFill="1" applyBorder="1" applyAlignment="1">
      <alignment horizontal="left" vertical="center"/>
    </xf>
    <xf numFmtId="0" fontId="29" fillId="17" borderId="546" xfId="0" applyFont="1" applyFill="1" applyBorder="1" applyAlignment="1">
      <alignment horizontal="center" vertical="center"/>
    </xf>
    <xf numFmtId="0" fontId="189" fillId="0" borderId="0" xfId="61" applyFont="1"/>
    <xf numFmtId="0" fontId="190" fillId="0" borderId="0" xfId="61" applyFont="1"/>
    <xf numFmtId="0" fontId="40" fillId="25" borderId="156" xfId="0" applyFont="1" applyFill="1" applyBorder="1" applyAlignment="1">
      <alignment horizontal="center" vertical="center" wrapText="1"/>
    </xf>
    <xf numFmtId="0" fontId="40" fillId="25" borderId="163" xfId="0" applyFont="1" applyFill="1" applyBorder="1" applyAlignment="1">
      <alignment horizontal="center" vertical="center" wrapText="1"/>
    </xf>
    <xf numFmtId="0" fontId="40" fillId="25" borderId="157" xfId="0" applyFont="1" applyFill="1" applyBorder="1" applyAlignment="1">
      <alignment horizontal="center" vertical="center" wrapText="1"/>
    </xf>
    <xf numFmtId="0" fontId="48" fillId="16" borderId="123" xfId="0" applyFont="1" applyFill="1" applyBorder="1" applyAlignment="1">
      <alignment horizontal="center" vertical="center"/>
    </xf>
    <xf numFmtId="0" fontId="48" fillId="16" borderId="0" xfId="0" applyFont="1" applyFill="1" applyAlignment="1">
      <alignment horizontal="center" vertical="center"/>
    </xf>
    <xf numFmtId="0" fontId="181" fillId="0" borderId="0" xfId="59" applyFont="1"/>
    <xf numFmtId="0" fontId="182" fillId="0" borderId="0" xfId="59" applyFont="1"/>
    <xf numFmtId="39" fontId="34" fillId="0" borderId="85" xfId="1" applyNumberFormat="1" applyFont="1" applyFill="1" applyBorder="1" applyAlignment="1" applyProtection="1">
      <alignment horizontal="center" vertical="center"/>
      <protection locked="0"/>
    </xf>
    <xf numFmtId="39" fontId="34" fillId="0" borderId="30" xfId="1" applyNumberFormat="1" applyFont="1" applyFill="1" applyBorder="1" applyAlignment="1" applyProtection="1">
      <alignment horizontal="center" vertical="center"/>
      <protection locked="0"/>
    </xf>
    <xf numFmtId="39" fontId="33" fillId="0" borderId="132" xfId="0" applyNumberFormat="1" applyFont="1" applyBorder="1" applyAlignment="1">
      <alignment horizontal="center" vertical="center"/>
    </xf>
    <xf numFmtId="39" fontId="33" fillId="0" borderId="134" xfId="0" applyNumberFormat="1" applyFont="1" applyBorder="1" applyAlignment="1">
      <alignment horizontal="center" vertical="center"/>
    </xf>
    <xf numFmtId="39" fontId="34" fillId="2" borderId="92" xfId="1" applyNumberFormat="1" applyFont="1" applyFill="1" applyBorder="1" applyAlignment="1" applyProtection="1">
      <alignment horizontal="center" vertical="center"/>
    </xf>
    <xf numFmtId="39" fontId="34" fillId="2" borderId="59" xfId="1" applyNumberFormat="1" applyFont="1" applyFill="1" applyBorder="1" applyAlignment="1" applyProtection="1">
      <alignment horizontal="center" vertical="center"/>
    </xf>
    <xf numFmtId="39" fontId="44" fillId="2" borderId="85" xfId="1" applyNumberFormat="1" applyFont="1" applyFill="1" applyBorder="1" applyAlignment="1" applyProtection="1">
      <alignment horizontal="center" vertical="center"/>
    </xf>
    <xf numFmtId="39" fontId="44" fillId="2" borderId="9" xfId="1" applyNumberFormat="1" applyFont="1" applyFill="1" applyBorder="1" applyAlignment="1" applyProtection="1">
      <alignment horizontal="center" vertical="center"/>
    </xf>
    <xf numFmtId="39" fontId="34" fillId="0" borderId="9" xfId="1" applyNumberFormat="1" applyFont="1" applyFill="1" applyBorder="1" applyAlignment="1" applyProtection="1">
      <alignment horizontal="center" vertical="center"/>
      <protection locked="0"/>
    </xf>
    <xf numFmtId="38" fontId="33" fillId="2" borderId="132" xfId="0" applyNumberFormat="1" applyFont="1" applyFill="1" applyBorder="1" applyAlignment="1">
      <alignment horizontal="center" vertical="center"/>
    </xf>
    <xf numFmtId="38" fontId="33" fillId="2" borderId="133" xfId="0" applyNumberFormat="1" applyFont="1" applyFill="1" applyBorder="1" applyAlignment="1">
      <alignment horizontal="center" vertical="center"/>
    </xf>
    <xf numFmtId="0" fontId="32" fillId="16" borderId="75" xfId="0" applyFont="1" applyFill="1" applyBorder="1" applyAlignment="1">
      <alignment horizontal="center" vertical="center" wrapText="1"/>
    </xf>
    <xf numFmtId="0" fontId="32" fillId="16" borderId="76" xfId="0" applyFont="1" applyFill="1" applyBorder="1" applyAlignment="1">
      <alignment horizontal="center" vertical="center" wrapText="1"/>
    </xf>
    <xf numFmtId="9" fontId="34" fillId="0" borderId="92" xfId="2" applyFont="1" applyFill="1" applyBorder="1" applyAlignment="1" applyProtection="1">
      <alignment horizontal="center" vertical="center"/>
      <protection locked="0"/>
    </xf>
    <xf numFmtId="9" fontId="34" fillId="0" borderId="66" xfId="2" applyFont="1" applyFill="1" applyBorder="1" applyAlignment="1" applyProtection="1">
      <alignment horizontal="center" vertical="center"/>
      <protection locked="0"/>
    </xf>
    <xf numFmtId="0" fontId="31" fillId="14" borderId="123" xfId="0" applyFont="1" applyFill="1" applyBorder="1" applyAlignment="1">
      <alignment horizontal="center" vertical="center"/>
    </xf>
    <xf numFmtId="0" fontId="31" fillId="14" borderId="0" xfId="0" applyFont="1" applyFill="1" applyAlignment="1">
      <alignment horizontal="center" vertical="center"/>
    </xf>
    <xf numFmtId="0" fontId="24" fillId="16" borderId="75" xfId="0" applyFont="1" applyFill="1" applyBorder="1" applyAlignment="1">
      <alignment horizontal="center" vertical="center" wrapText="1"/>
    </xf>
    <xf numFmtId="0" fontId="24" fillId="16" borderId="106" xfId="0" applyFont="1" applyFill="1" applyBorder="1" applyAlignment="1">
      <alignment horizontal="center" vertical="center" wrapText="1"/>
    </xf>
    <xf numFmtId="167" fontId="41" fillId="2" borderId="66" xfId="0" applyNumberFormat="1" applyFont="1" applyFill="1" applyBorder="1" applyAlignment="1">
      <alignment horizontal="center" vertical="center"/>
    </xf>
    <xf numFmtId="167" fontId="41" fillId="2" borderId="9" xfId="0" applyNumberFormat="1" applyFont="1" applyFill="1" applyBorder="1" applyAlignment="1">
      <alignment horizontal="center" vertical="center"/>
    </xf>
    <xf numFmtId="37" fontId="34" fillId="2" borderId="85" xfId="1" applyNumberFormat="1" applyFont="1" applyFill="1" applyBorder="1" applyAlignment="1" applyProtection="1">
      <alignment horizontal="center" vertical="center"/>
    </xf>
    <xf numFmtId="37" fontId="34" fillId="2" borderId="9" xfId="1" applyNumberFormat="1" applyFont="1" applyFill="1" applyBorder="1" applyAlignment="1" applyProtection="1">
      <alignment horizontal="center" vertical="center"/>
    </xf>
    <xf numFmtId="39" fontId="34" fillId="0" borderId="92" xfId="1" applyNumberFormat="1" applyFont="1" applyFill="1" applyBorder="1" applyAlignment="1" applyProtection="1">
      <alignment horizontal="center" vertical="center"/>
      <protection locked="0"/>
    </xf>
    <xf numFmtId="39" fontId="34" fillId="0" borderId="59" xfId="1" applyNumberFormat="1" applyFont="1" applyFill="1" applyBorder="1" applyAlignment="1" applyProtection="1">
      <alignment horizontal="center" vertical="center"/>
      <protection locked="0"/>
    </xf>
    <xf numFmtId="39" fontId="34" fillId="2" borderId="66" xfId="1" applyNumberFormat="1" applyFont="1" applyFill="1" applyBorder="1" applyAlignment="1" applyProtection="1">
      <alignment horizontal="center" vertical="center"/>
    </xf>
    <xf numFmtId="37" fontId="34" fillId="2" borderId="92" xfId="1" applyNumberFormat="1" applyFont="1" applyFill="1" applyBorder="1" applyAlignment="1" applyProtection="1">
      <alignment horizontal="center" vertical="center"/>
    </xf>
    <xf numFmtId="37" fontId="34" fillId="2" borderId="66" xfId="1" applyNumberFormat="1" applyFont="1" applyFill="1" applyBorder="1" applyAlignment="1" applyProtection="1">
      <alignment horizontal="center" vertical="center"/>
    </xf>
    <xf numFmtId="0" fontId="8" fillId="0" borderId="430" xfId="0" applyFont="1" applyBorder="1" applyAlignment="1">
      <alignment horizontal="center" vertical="center"/>
    </xf>
    <xf numFmtId="0" fontId="8" fillId="0" borderId="431" xfId="0" applyFont="1" applyBorder="1" applyAlignment="1">
      <alignment horizontal="center" vertical="center"/>
    </xf>
    <xf numFmtId="0" fontId="8" fillId="0" borderId="432" xfId="0" applyFont="1" applyBorder="1" applyAlignment="1">
      <alignment horizontal="center" vertical="center"/>
    </xf>
    <xf numFmtId="0" fontId="8" fillId="0" borderId="433" xfId="0" applyFont="1" applyBorder="1" applyAlignment="1">
      <alignment horizontal="center" vertical="center"/>
    </xf>
    <xf numFmtId="0" fontId="8" fillId="0" borderId="434" xfId="0" applyFont="1" applyBorder="1" applyAlignment="1">
      <alignment horizontal="center" vertical="center"/>
    </xf>
    <xf numFmtId="0" fontId="8" fillId="0" borderId="435" xfId="0" applyFont="1" applyBorder="1" applyAlignment="1">
      <alignment horizontal="center" vertical="center"/>
    </xf>
    <xf numFmtId="0" fontId="8" fillId="0" borderId="436" xfId="0" applyFont="1" applyBorder="1" applyAlignment="1">
      <alignment horizontal="center" vertical="center"/>
    </xf>
    <xf numFmtId="0" fontId="8" fillId="0" borderId="437" xfId="0" applyFont="1" applyBorder="1" applyAlignment="1">
      <alignment horizontal="center" vertical="center"/>
    </xf>
    <xf numFmtId="39" fontId="34" fillId="0" borderId="66" xfId="1" applyNumberFormat="1" applyFont="1" applyFill="1" applyBorder="1" applyAlignment="1" applyProtection="1">
      <alignment horizontal="center" vertical="center"/>
      <protection locked="0"/>
    </xf>
    <xf numFmtId="0" fontId="32" fillId="16" borderId="111" xfId="0" applyFont="1" applyFill="1" applyBorder="1" applyAlignment="1">
      <alignment horizontal="center" vertical="center" wrapText="1"/>
    </xf>
    <xf numFmtId="0" fontId="32" fillId="16" borderId="80" xfId="0" applyFont="1" applyFill="1" applyBorder="1" applyAlignment="1">
      <alignment horizontal="center" vertical="center" wrapText="1"/>
    </xf>
    <xf numFmtId="39" fontId="33" fillId="0" borderId="133" xfId="0" applyNumberFormat="1" applyFont="1" applyBorder="1" applyAlignment="1">
      <alignment horizontal="center" vertical="center"/>
    </xf>
    <xf numFmtId="39" fontId="34" fillId="0" borderId="85" xfId="1" applyNumberFormat="1" applyFont="1" applyFill="1" applyBorder="1" applyAlignment="1" applyProtection="1">
      <alignment horizontal="center" vertical="center"/>
    </xf>
    <xf numFmtId="39" fontId="34" fillId="0" borderId="9" xfId="1" applyNumberFormat="1" applyFont="1" applyFill="1" applyBorder="1" applyAlignment="1" applyProtection="1">
      <alignment horizontal="center" vertical="center"/>
    </xf>
    <xf numFmtId="39" fontId="33" fillId="2" borderId="132" xfId="0" applyNumberFormat="1" applyFont="1" applyFill="1" applyBorder="1" applyAlignment="1">
      <alignment horizontal="center" vertical="center"/>
    </xf>
    <xf numFmtId="39" fontId="33" fillId="2" borderId="133" xfId="0" applyNumberFormat="1" applyFont="1" applyFill="1" applyBorder="1" applyAlignment="1">
      <alignment horizontal="center" vertical="center"/>
    </xf>
    <xf numFmtId="9" fontId="34" fillId="0" borderId="85" xfId="2" applyFont="1" applyFill="1" applyBorder="1" applyAlignment="1" applyProtection="1">
      <alignment horizontal="center" vertical="center"/>
      <protection locked="0"/>
    </xf>
    <xf numFmtId="9" fontId="34" fillId="0" borderId="9" xfId="2" applyFont="1" applyFill="1" applyBorder="1" applyAlignment="1" applyProtection="1">
      <alignment horizontal="center" vertical="center"/>
      <protection locked="0"/>
    </xf>
    <xf numFmtId="166" fontId="34" fillId="2" borderId="132" xfId="2" applyNumberFormat="1" applyFont="1" applyFill="1" applyBorder="1" applyAlignment="1" applyProtection="1">
      <alignment horizontal="center" vertical="center"/>
    </xf>
    <xf numFmtId="166" fontId="34" fillId="2" borderId="133" xfId="2" applyNumberFormat="1" applyFont="1" applyFill="1" applyBorder="1" applyAlignment="1" applyProtection="1">
      <alignment horizontal="center" vertical="center"/>
    </xf>
    <xf numFmtId="10" fontId="41" fillId="2" borderId="9" xfId="2" applyNumberFormat="1" applyFont="1" applyFill="1" applyBorder="1" applyAlignment="1">
      <alignment horizontal="center" vertical="center"/>
    </xf>
    <xf numFmtId="10" fontId="41" fillId="2" borderId="133" xfId="2" applyNumberFormat="1" applyFont="1" applyFill="1" applyBorder="1" applyAlignment="1">
      <alignment horizontal="center" vertical="center"/>
    </xf>
    <xf numFmtId="39" fontId="34" fillId="2" borderId="85" xfId="1" applyNumberFormat="1" applyFont="1" applyFill="1" applyBorder="1" applyAlignment="1" applyProtection="1">
      <alignment horizontal="center" vertical="center"/>
    </xf>
    <xf numFmtId="39" fontId="34" fillId="2" borderId="9" xfId="1" applyNumberFormat="1" applyFont="1" applyFill="1" applyBorder="1" applyAlignment="1" applyProtection="1">
      <alignment horizontal="center" vertical="center"/>
    </xf>
    <xf numFmtId="0" fontId="24" fillId="16" borderId="123" xfId="0" applyFont="1" applyFill="1" applyBorder="1" applyAlignment="1">
      <alignment horizontal="center" vertical="center" wrapText="1"/>
    </xf>
    <xf numFmtId="0" fontId="0" fillId="0" borderId="511" xfId="0" applyBorder="1" applyAlignment="1">
      <alignment vertical="center"/>
    </xf>
    <xf numFmtId="0" fontId="0" fillId="0" borderId="502" xfId="0" applyBorder="1" applyAlignment="1">
      <alignment vertical="center"/>
    </xf>
    <xf numFmtId="0" fontId="8" fillId="0" borderId="223" xfId="0" applyFont="1" applyBorder="1" applyAlignment="1">
      <alignment horizontal="center" vertical="center" wrapText="1"/>
    </xf>
    <xf numFmtId="0" fontId="8" fillId="0" borderId="64"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348" xfId="0" applyFont="1" applyBorder="1" applyAlignment="1">
      <alignment horizontal="center" vertical="center" wrapText="1"/>
    </xf>
    <xf numFmtId="0" fontId="8" fillId="0" borderId="350" xfId="0" applyFont="1" applyBorder="1" applyAlignment="1">
      <alignment horizontal="center" vertical="center" wrapText="1"/>
    </xf>
    <xf numFmtId="0" fontId="0" fillId="0" borderId="393" xfId="0" applyBorder="1" applyAlignment="1">
      <alignment vertical="center"/>
    </xf>
    <xf numFmtId="0" fontId="0" fillId="0" borderId="394" xfId="0" applyBorder="1" applyAlignment="1">
      <alignment vertical="center"/>
    </xf>
    <xf numFmtId="0" fontId="0" fillId="19" borderId="3" xfId="0" applyFill="1" applyBorder="1" applyAlignment="1">
      <alignment vertical="center"/>
    </xf>
    <xf numFmtId="0" fontId="0" fillId="19" borderId="4" xfId="0" applyFill="1" applyBorder="1" applyAlignment="1">
      <alignment vertical="center"/>
    </xf>
    <xf numFmtId="0" fontId="40" fillId="16" borderId="75" xfId="0" applyFont="1" applyFill="1" applyBorder="1" applyAlignment="1">
      <alignment horizontal="center" vertical="center" wrapText="1"/>
    </xf>
    <xf numFmtId="0" fontId="40" fillId="16" borderId="67" xfId="0" applyFont="1" applyFill="1" applyBorder="1" applyAlignment="1">
      <alignment horizontal="center" vertical="center" wrapText="1"/>
    </xf>
    <xf numFmtId="37" fontId="34" fillId="2" borderId="76" xfId="1" applyNumberFormat="1" applyFont="1" applyFill="1" applyBorder="1" applyAlignment="1" applyProtection="1">
      <alignment horizontal="center" vertical="center"/>
      <protection locked="0"/>
    </xf>
    <xf numFmtId="37" fontId="34" fillId="2" borderId="77" xfId="1" applyNumberFormat="1" applyFont="1" applyFill="1" applyBorder="1" applyAlignment="1" applyProtection="1">
      <alignment horizontal="center" vertical="center"/>
      <protection locked="0"/>
    </xf>
    <xf numFmtId="37" fontId="34" fillId="2" borderId="144" xfId="1" applyNumberFormat="1" applyFont="1" applyFill="1" applyBorder="1" applyAlignment="1" applyProtection="1">
      <alignment horizontal="center" vertical="center"/>
      <protection locked="0"/>
    </xf>
    <xf numFmtId="37" fontId="34" fillId="2" borderId="68" xfId="1" applyNumberFormat="1" applyFont="1" applyFill="1" applyBorder="1" applyAlignment="1" applyProtection="1">
      <alignment horizontal="center" vertical="center"/>
      <protection locked="0"/>
    </xf>
    <xf numFmtId="0" fontId="31" fillId="16" borderId="64" xfId="0" applyFont="1" applyFill="1" applyBorder="1" applyAlignment="1">
      <alignment horizontal="center" vertical="center"/>
    </xf>
    <xf numFmtId="0" fontId="31" fillId="16" borderId="0" xfId="0" applyFont="1" applyFill="1" applyAlignment="1">
      <alignment horizontal="center" vertical="center"/>
    </xf>
    <xf numFmtId="17" fontId="15" fillId="4" borderId="15" xfId="0" applyNumberFormat="1" applyFont="1" applyFill="1" applyBorder="1" applyAlignment="1">
      <alignment horizontal="center"/>
    </xf>
    <xf numFmtId="17" fontId="15" fillId="4" borderId="16" xfId="0" applyNumberFormat="1" applyFont="1" applyFill="1" applyBorder="1" applyAlignment="1">
      <alignment horizontal="center"/>
    </xf>
    <xf numFmtId="17" fontId="15" fillId="4" borderId="17" xfId="0" applyNumberFormat="1" applyFont="1" applyFill="1" applyBorder="1" applyAlignment="1">
      <alignment horizontal="center"/>
    </xf>
    <xf numFmtId="0" fontId="10" fillId="8" borderId="500" xfId="0" applyFont="1" applyFill="1" applyBorder="1" applyAlignment="1">
      <alignment horizontal="center"/>
    </xf>
    <xf numFmtId="0" fontId="10" fillId="8" borderId="498" xfId="0" applyFont="1" applyFill="1" applyBorder="1" applyAlignment="1">
      <alignment horizontal="center"/>
    </xf>
    <xf numFmtId="0" fontId="8" fillId="0" borderId="6" xfId="0" applyFont="1" applyBorder="1" applyAlignment="1">
      <alignment horizontal="center"/>
    </xf>
    <xf numFmtId="0" fontId="8" fillId="0" borderId="2" xfId="0" applyFont="1" applyBorder="1" applyAlignment="1">
      <alignment horizontal="center"/>
    </xf>
    <xf numFmtId="0" fontId="10" fillId="12" borderId="6" xfId="0" applyFont="1" applyFill="1" applyBorder="1" applyAlignment="1">
      <alignment horizontal="center"/>
    </xf>
    <xf numFmtId="0" fontId="10" fillId="12" borderId="1" xfId="0" applyFont="1" applyFill="1" applyBorder="1" applyAlignment="1">
      <alignment horizontal="center"/>
    </xf>
    <xf numFmtId="0" fontId="8" fillId="5" borderId="6" xfId="0" applyFont="1" applyFill="1" applyBorder="1" applyAlignment="1">
      <alignment horizontal="center"/>
    </xf>
    <xf numFmtId="0" fontId="8" fillId="5" borderId="1" xfId="0" applyFont="1" applyFill="1" applyBorder="1" applyAlignment="1">
      <alignment horizontal="center"/>
    </xf>
    <xf numFmtId="0" fontId="8" fillId="5" borderId="7" xfId="0" applyFont="1" applyFill="1" applyBorder="1" applyAlignment="1">
      <alignment horizontal="center"/>
    </xf>
    <xf numFmtId="0" fontId="8" fillId="6" borderId="6" xfId="0" applyFont="1" applyFill="1" applyBorder="1" applyAlignment="1">
      <alignment horizontal="center"/>
    </xf>
    <xf numFmtId="0" fontId="8" fillId="6" borderId="1" xfId="0" applyFont="1" applyFill="1" applyBorder="1" applyAlignment="1">
      <alignment horizontal="center"/>
    </xf>
    <xf numFmtId="0" fontId="10" fillId="7" borderId="6" xfId="0" applyFont="1" applyFill="1" applyBorder="1" applyAlignment="1">
      <alignment horizontal="center"/>
    </xf>
    <xf numFmtId="0" fontId="10" fillId="7" borderId="1" xfId="0" applyFont="1" applyFill="1" applyBorder="1" applyAlignment="1">
      <alignment horizontal="center"/>
    </xf>
    <xf numFmtId="38" fontId="88" fillId="0" borderId="301" xfId="0" applyNumberFormat="1" applyFont="1" applyBorder="1" applyAlignment="1">
      <alignment horizontal="center" vertical="center"/>
    </xf>
    <xf numFmtId="0" fontId="88" fillId="0" borderId="302" xfId="0" applyFont="1" applyBorder="1" applyAlignment="1">
      <alignment horizontal="center" vertical="center"/>
    </xf>
    <xf numFmtId="0" fontId="55" fillId="2" borderId="294" xfId="0" applyFont="1" applyFill="1" applyBorder="1" applyAlignment="1">
      <alignment horizontal="center" vertical="center"/>
    </xf>
    <xf numFmtId="0" fontId="75" fillId="35" borderId="294" xfId="0" applyFont="1" applyFill="1" applyBorder="1" applyAlignment="1">
      <alignment horizontal="center" vertical="center"/>
    </xf>
    <xf numFmtId="0" fontId="75" fillId="35" borderId="297" xfId="0" applyFont="1" applyFill="1" applyBorder="1" applyAlignment="1">
      <alignment horizontal="center" vertical="center"/>
    </xf>
    <xf numFmtId="0" fontId="131" fillId="0" borderId="541" xfId="0" applyFont="1" applyBorder="1" applyAlignment="1">
      <alignment horizontal="center" vertical="center"/>
    </xf>
    <xf numFmtId="0" fontId="130" fillId="16" borderId="70" xfId="0" applyFont="1" applyFill="1" applyBorder="1" applyAlignment="1">
      <alignment horizontal="center" vertical="center" wrapText="1"/>
    </xf>
    <xf numFmtId="0" fontId="42" fillId="0" borderId="541" xfId="0" applyFont="1" applyBorder="1" applyAlignment="1">
      <alignment horizontal="center" vertical="center"/>
    </xf>
    <xf numFmtId="177" fontId="47" fillId="21" borderId="543" xfId="8" applyNumberFormat="1" applyFont="1" applyFill="1" applyBorder="1" applyAlignment="1">
      <alignment horizontal="center" vertical="center"/>
    </xf>
    <xf numFmtId="177" fontId="47" fillId="21" borderId="544" xfId="8" applyNumberFormat="1" applyFont="1" applyFill="1" applyBorder="1" applyAlignment="1">
      <alignment horizontal="center" vertical="center"/>
    </xf>
    <xf numFmtId="0" fontId="42" fillId="0" borderId="542" xfId="0" applyFont="1" applyBorder="1" applyAlignment="1">
      <alignment horizontal="center" vertical="center"/>
    </xf>
    <xf numFmtId="0" fontId="31" fillId="16" borderId="128" xfId="0" applyFont="1" applyFill="1" applyBorder="1" applyAlignment="1">
      <alignment horizontal="center" vertical="center"/>
    </xf>
    <xf numFmtId="0" fontId="31" fillId="16" borderId="125" xfId="0" applyFont="1" applyFill="1" applyBorder="1" applyAlignment="1">
      <alignment horizontal="center" vertical="center"/>
    </xf>
    <xf numFmtId="0" fontId="23" fillId="16" borderId="70" xfId="0" applyFont="1" applyFill="1" applyBorder="1" applyAlignment="1">
      <alignment horizontal="center" vertical="center" wrapText="1"/>
    </xf>
    <xf numFmtId="0" fontId="23" fillId="16" borderId="89" xfId="0" applyFont="1" applyFill="1" applyBorder="1" applyAlignment="1">
      <alignment horizontal="center" vertical="center" wrapText="1"/>
    </xf>
    <xf numFmtId="0" fontId="23" fillId="16" borderId="88" xfId="0" applyFont="1" applyFill="1" applyBorder="1" applyAlignment="1">
      <alignment horizontal="center" vertical="center" wrapText="1"/>
    </xf>
    <xf numFmtId="0" fontId="36" fillId="16" borderId="106" xfId="0" applyFont="1" applyFill="1" applyBorder="1" applyAlignment="1">
      <alignment horizontal="center" vertical="center"/>
    </xf>
    <xf numFmtId="0" fontId="36" fillId="16" borderId="108" xfId="0" applyFont="1" applyFill="1" applyBorder="1" applyAlignment="1">
      <alignment horizontal="center" vertical="center"/>
    </xf>
    <xf numFmtId="177" fontId="47" fillId="21" borderId="541" xfId="8" applyNumberFormat="1" applyFont="1" applyFill="1" applyBorder="1" applyAlignment="1">
      <alignment horizontal="center" vertical="center"/>
    </xf>
    <xf numFmtId="0" fontId="23" fillId="16" borderId="131" xfId="0" applyFont="1" applyFill="1" applyBorder="1" applyAlignment="1">
      <alignment horizontal="center" vertical="center" wrapText="1"/>
    </xf>
    <xf numFmtId="0" fontId="36" fillId="16" borderId="91" xfId="0" applyFont="1" applyFill="1" applyBorder="1" applyAlignment="1">
      <alignment horizontal="center" vertical="center"/>
    </xf>
    <xf numFmtId="0" fontId="36" fillId="16" borderId="143" xfId="0" applyFont="1" applyFill="1" applyBorder="1" applyAlignment="1">
      <alignment horizontal="center" vertical="center"/>
    </xf>
    <xf numFmtId="0" fontId="36" fillId="16" borderId="129" xfId="0" applyFont="1" applyFill="1" applyBorder="1" applyAlignment="1">
      <alignment horizontal="center" vertical="center"/>
    </xf>
    <xf numFmtId="17" fontId="25" fillId="12" borderId="0" xfId="0" applyNumberFormat="1" applyFont="1" applyFill="1" applyAlignment="1">
      <alignment horizontal="center" vertical="center"/>
    </xf>
    <xf numFmtId="17" fontId="25" fillId="17" borderId="0" xfId="0" applyNumberFormat="1" applyFont="1" applyFill="1" applyAlignment="1">
      <alignment horizontal="center" vertical="center"/>
    </xf>
    <xf numFmtId="0" fontId="25" fillId="17" borderId="114" xfId="0" applyFont="1" applyFill="1" applyBorder="1" applyAlignment="1">
      <alignment horizontal="center" vertical="center"/>
    </xf>
    <xf numFmtId="0" fontId="25" fillId="17" borderId="0" xfId="0" applyFont="1" applyFill="1" applyAlignment="1">
      <alignment horizontal="center" vertical="center"/>
    </xf>
    <xf numFmtId="0" fontId="31" fillId="16" borderId="53" xfId="0" applyFont="1" applyFill="1" applyBorder="1" applyAlignment="1">
      <alignment horizontal="center" vertical="center"/>
    </xf>
    <xf numFmtId="0" fontId="31" fillId="16" borderId="47" xfId="0" applyFont="1" applyFill="1" applyBorder="1" applyAlignment="1">
      <alignment horizontal="center" vertical="center"/>
    </xf>
    <xf numFmtId="0" fontId="31" fillId="16" borderId="473" xfId="0" applyFont="1" applyFill="1" applyBorder="1" applyAlignment="1">
      <alignment horizontal="center" vertical="center"/>
    </xf>
    <xf numFmtId="0" fontId="31" fillId="16" borderId="474" xfId="0" applyFont="1" applyFill="1" applyBorder="1" applyAlignment="1">
      <alignment horizontal="center" vertical="center"/>
    </xf>
    <xf numFmtId="1" fontId="42" fillId="0" borderId="541" xfId="0" applyNumberFormat="1" applyFont="1" applyBorder="1" applyAlignment="1">
      <alignment horizontal="center" vertical="center"/>
    </xf>
    <xf numFmtId="0" fontId="38" fillId="0" borderId="492" xfId="0" applyFont="1" applyBorder="1" applyAlignment="1">
      <alignment horizontal="center" vertical="center"/>
    </xf>
    <xf numFmtId="0" fontId="132" fillId="0" borderId="493" xfId="0" applyFont="1" applyBorder="1"/>
    <xf numFmtId="0" fontId="29" fillId="16" borderId="87" xfId="0" applyFont="1" applyFill="1" applyBorder="1" applyAlignment="1">
      <alignment horizontal="center" vertical="center" wrapText="1"/>
    </xf>
    <xf numFmtId="0" fontId="29" fillId="16" borderId="330" xfId="0" applyFont="1" applyFill="1" applyBorder="1" applyAlignment="1">
      <alignment horizontal="center" vertical="center" wrapText="1"/>
    </xf>
    <xf numFmtId="0" fontId="42" fillId="0" borderId="543" xfId="0" applyFont="1" applyBorder="1" applyAlignment="1">
      <alignment horizontal="center" vertical="center"/>
    </xf>
    <xf numFmtId="0" fontId="42" fillId="0" borderId="499" xfId="0" applyFont="1" applyBorder="1" applyAlignment="1">
      <alignment horizontal="center" vertical="center"/>
    </xf>
    <xf numFmtId="0" fontId="53" fillId="0" borderId="67" xfId="0" applyFont="1" applyBorder="1" applyAlignment="1">
      <alignment horizontal="center" vertical="center"/>
    </xf>
    <xf numFmtId="0" fontId="53" fillId="0" borderId="144" xfId="0" applyFont="1" applyBorder="1" applyAlignment="1">
      <alignment horizontal="center" vertical="center"/>
    </xf>
    <xf numFmtId="0" fontId="23" fillId="16" borderId="130" xfId="0" applyFont="1" applyFill="1" applyBorder="1" applyAlignment="1">
      <alignment horizontal="center" vertical="center" wrapText="1"/>
    </xf>
    <xf numFmtId="0" fontId="53" fillId="0" borderId="500" xfId="0" applyFont="1" applyBorder="1" applyAlignment="1">
      <alignment horizontal="center" vertical="center"/>
    </xf>
    <xf numFmtId="0" fontId="53" fillId="0" borderId="498" xfId="0" applyFont="1" applyBorder="1" applyAlignment="1">
      <alignment horizontal="center" vertical="center"/>
    </xf>
    <xf numFmtId="0" fontId="67" fillId="25" borderId="349" xfId="0" applyFont="1" applyFill="1" applyBorder="1" applyAlignment="1">
      <alignment horizontal="center" vertical="center"/>
    </xf>
    <xf numFmtId="0" fontId="146" fillId="60" borderId="546" xfId="0" applyFont="1" applyFill="1" applyBorder="1" applyAlignment="1">
      <alignment horizontal="center" vertical="center" wrapText="1" readingOrder="2"/>
    </xf>
    <xf numFmtId="0" fontId="146" fillId="60" borderId="546" xfId="0" applyFont="1" applyFill="1" applyBorder="1" applyAlignment="1">
      <alignment horizontal="right" vertical="center" wrapText="1" readingOrder="2"/>
    </xf>
    <xf numFmtId="0" fontId="59" fillId="61" borderId="356" xfId="0" applyFont="1" applyFill="1" applyBorder="1" applyAlignment="1">
      <alignment horizontal="center" vertical="center"/>
    </xf>
    <xf numFmtId="0" fontId="59" fillId="61" borderId="354" xfId="0" applyFont="1" applyFill="1" applyBorder="1" applyAlignment="1">
      <alignment horizontal="center" vertical="center"/>
    </xf>
    <xf numFmtId="0" fontId="146" fillId="0" borderId="546" xfId="0" applyFont="1" applyBorder="1" applyAlignment="1">
      <alignment horizontal="center" vertical="center" wrapText="1" readingOrder="2"/>
    </xf>
    <xf numFmtId="10" fontId="149" fillId="63" borderId="550" xfId="0" applyNumberFormat="1" applyFont="1" applyFill="1" applyBorder="1" applyAlignment="1">
      <alignment horizontal="center" vertical="center" wrapText="1" readingOrder="1"/>
    </xf>
    <xf numFmtId="10" fontId="149" fillId="63" borderId="549" xfId="0" applyNumberFormat="1" applyFont="1" applyFill="1" applyBorder="1" applyAlignment="1">
      <alignment horizontal="center" vertical="center" wrapText="1" readingOrder="1"/>
    </xf>
    <xf numFmtId="0" fontId="59" fillId="61" borderId="355" xfId="0" applyFont="1" applyFill="1" applyBorder="1" applyAlignment="1">
      <alignment horizontal="center" vertical="center"/>
    </xf>
    <xf numFmtId="0" fontId="0" fillId="0" borderId="398" xfId="0" applyBorder="1" applyAlignment="1">
      <alignment horizontal="center" vertical="center"/>
    </xf>
    <xf numFmtId="0" fontId="148" fillId="62" borderId="11" xfId="0" applyFont="1" applyFill="1" applyBorder="1" applyAlignment="1">
      <alignment horizontal="center" vertical="center" wrapText="1" readingOrder="1"/>
    </xf>
    <xf numFmtId="0" fontId="59" fillId="61" borderId="351" xfId="0" applyFont="1" applyFill="1" applyBorder="1" applyAlignment="1">
      <alignment horizontal="center" vertical="center"/>
    </xf>
    <xf numFmtId="0" fontId="59" fillId="61" borderId="352" xfId="0" applyFont="1" applyFill="1" applyBorder="1" applyAlignment="1">
      <alignment horizontal="center" vertical="center"/>
    </xf>
    <xf numFmtId="0" fontId="59" fillId="61" borderId="424" xfId="0" applyFont="1" applyFill="1" applyBorder="1" applyAlignment="1">
      <alignment horizontal="center" vertical="center"/>
    </xf>
    <xf numFmtId="0" fontId="59" fillId="61" borderId="406" xfId="0" applyFont="1" applyFill="1" applyBorder="1" applyAlignment="1">
      <alignment horizontal="center" vertical="center"/>
    </xf>
    <xf numFmtId="0" fontId="59" fillId="61" borderId="551" xfId="0" applyFont="1" applyFill="1" applyBorder="1" applyAlignment="1">
      <alignment horizontal="center" vertical="center"/>
    </xf>
    <xf numFmtId="0" fontId="59" fillId="61" borderId="423" xfId="0" applyFont="1" applyFill="1" applyBorder="1" applyAlignment="1">
      <alignment horizontal="center" vertical="center"/>
    </xf>
    <xf numFmtId="0" fontId="157" fillId="0" borderId="356" xfId="0" applyFont="1" applyBorder="1" applyAlignment="1">
      <alignment horizontal="center" vertical="center"/>
    </xf>
    <xf numFmtId="0" fontId="157" fillId="0" borderId="354" xfId="0" applyFont="1" applyBorder="1" applyAlignment="1">
      <alignment horizontal="center" vertical="center"/>
    </xf>
    <xf numFmtId="0" fontId="157" fillId="0" borderId="355" xfId="0" applyFont="1" applyBorder="1" applyAlignment="1">
      <alignment horizontal="center" vertical="center"/>
    </xf>
    <xf numFmtId="0" fontId="170" fillId="60" borderId="11" xfId="0" applyFont="1" applyFill="1" applyBorder="1" applyAlignment="1">
      <alignment horizontal="right" vertical="center" wrapText="1" readingOrder="2"/>
    </xf>
    <xf numFmtId="0" fontId="59" fillId="61" borderId="348" xfId="0" applyFont="1" applyFill="1" applyBorder="1" applyAlignment="1">
      <alignment horizontal="center" vertical="center"/>
    </xf>
    <xf numFmtId="0" fontId="59" fillId="61" borderId="349" xfId="0" applyFont="1" applyFill="1" applyBorder="1" applyAlignment="1">
      <alignment horizontal="center" vertical="center"/>
    </xf>
    <xf numFmtId="0" fontId="59" fillId="61" borderId="350" xfId="0" applyFont="1" applyFill="1" applyBorder="1" applyAlignment="1">
      <alignment horizontal="center" vertical="center"/>
    </xf>
    <xf numFmtId="4" fontId="165" fillId="29" borderId="356" xfId="0" applyNumberFormat="1" applyFont="1" applyFill="1" applyBorder="1" applyAlignment="1">
      <alignment horizontal="center" vertical="center" readingOrder="2"/>
    </xf>
    <xf numFmtId="4" fontId="165" fillId="29" borderId="354" xfId="0" applyNumberFormat="1" applyFont="1" applyFill="1" applyBorder="1" applyAlignment="1">
      <alignment horizontal="center" vertical="center" readingOrder="2"/>
    </xf>
    <xf numFmtId="4" fontId="165" fillId="29" borderId="355" xfId="0" applyNumberFormat="1" applyFont="1" applyFill="1" applyBorder="1" applyAlignment="1">
      <alignment horizontal="center" vertical="center" readingOrder="2"/>
    </xf>
    <xf numFmtId="0" fontId="0" fillId="0" borderId="511" xfId="0" applyBorder="1"/>
    <xf numFmtId="0" fontId="4" fillId="5" borderId="511" xfId="0" applyFont="1" applyFill="1" applyBorder="1" applyAlignment="1">
      <alignment horizontal="center"/>
    </xf>
    <xf numFmtId="0" fontId="5" fillId="9" borderId="500" xfId="0" applyFont="1" applyFill="1" applyBorder="1" applyAlignment="1">
      <alignment horizontal="center" vertical="center"/>
    </xf>
    <xf numFmtId="0" fontId="5" fillId="9" borderId="498" xfId="0" applyFont="1" applyFill="1" applyBorder="1" applyAlignment="1">
      <alignment horizontal="center" vertical="center"/>
    </xf>
    <xf numFmtId="0" fontId="5" fillId="9" borderId="499" xfId="0" applyFont="1" applyFill="1" applyBorder="1" applyAlignment="1">
      <alignment horizontal="center" vertical="center"/>
    </xf>
    <xf numFmtId="0" fontId="0" fillId="0" borderId="511" xfId="0" applyBorder="1" applyAlignment="1">
      <alignment horizontal="left" vertical="center"/>
    </xf>
  </cellXfs>
  <cellStyles count="62">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4" xfId="14" xr:uid="{680EB3DA-7B39-4E07-93E9-80E84467126D}"/>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7 3" xfId="56" xr:uid="{B9417185-382B-4442-AB46-BC06B4C8EA5A}"/>
    <cellStyle name="Normal" xfId="0" builtinId="0"/>
    <cellStyle name="Normal 10" xfId="57" xr:uid="{C64A2C68-19C3-4DE8-9039-60C38FC4491B}"/>
    <cellStyle name="Normal 11" xfId="43" xr:uid="{68ED555C-782D-4E30-B439-91D2D21E2619}"/>
    <cellStyle name="Normal 11 2" xfId="55" xr:uid="{5AAE6FC0-4322-475F-9EF3-C732D205D8D0}"/>
    <cellStyle name="Normal 12" xfId="59" xr:uid="{CDD12F59-7535-4436-92E6-1103D6F8C304}"/>
    <cellStyle name="Normal 12 2" xfId="60" xr:uid="{BEA75936-EA99-4195-8DD8-EEEB015B4B16}"/>
    <cellStyle name="Normal 12 3" xfId="61" xr:uid="{E222B944-1F23-472F-9AC2-63941654AC4A}"/>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3" xfId="46" xr:uid="{4A55CC22-C73E-472B-9F45-F46C75E2EC2D}"/>
    <cellStyle name="Normal 2 2 4" xfId="48" xr:uid="{93BA919F-E0A9-45FE-8E8D-039748E9F7C6}"/>
    <cellStyle name="Normal 2 2 5" xfId="50" xr:uid="{311CE7A2-2BB7-4F11-9971-DCB13746A1F8}"/>
    <cellStyle name="Normal 2 2 6" xfId="52" xr:uid="{52DDF3A0-0DFD-47FD-8BB2-5C720E214B02}"/>
    <cellStyle name="Normal 2 2 7" xfId="54" xr:uid="{232E314B-CB87-4B8B-9F48-ED27EA2D329B}"/>
    <cellStyle name="Normal 2 2 8" xfId="58" xr:uid="{04E4AF33-E1BA-4B92-97FD-964F141B8E89}"/>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4" xfId="20" xr:uid="{E67F7BF4-4827-456D-B237-D74404DE7646}"/>
    <cellStyle name="Normal 5" xfId="45" xr:uid="{418985BF-E9AE-42E9-877C-A9566B63D131}"/>
    <cellStyle name="Normal 6" xfId="47" xr:uid="{3F333143-3F31-4EA2-B60C-E20ED3C5A531}"/>
    <cellStyle name="Normal 7" xfId="49" xr:uid="{91503D69-883A-4C96-82B2-520898D68052}"/>
    <cellStyle name="Normal 8" xfId="51" xr:uid="{D5F33FD3-F013-479F-852F-49134CB1EBCE}"/>
    <cellStyle name="Normal 9" xfId="53" xr:uid="{68AC64FF-9248-437B-B800-2DC94EB4CB29}"/>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s>
  <dxfs count="201">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b/>
        <i val="0"/>
        <color rgb="FF00B050"/>
      </font>
      <numFmt numFmtId="202" formatCode="#,##0;[Red]#,##0"/>
    </dxf>
    <dxf>
      <font>
        <b/>
        <i val="0"/>
        <color rgb="FF00B050"/>
      </font>
      <numFmt numFmtId="202" formatCode="#,##0;[Red]#,##0"/>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ndense val="0"/>
        <extend val="0"/>
        <color indexed="10"/>
      </font>
    </dxf>
    <dxf>
      <font>
        <b val="0"/>
        <i val="0"/>
        <condense val="0"/>
        <extend val="0"/>
        <color indexed="17"/>
      </font>
    </dxf>
    <dxf>
      <font>
        <b val="0"/>
        <i val="0"/>
        <condense val="0"/>
        <extend val="0"/>
        <color indexed="10"/>
      </font>
    </dxf>
    <dxf>
      <font>
        <b/>
        <sz val="9"/>
        <color rgb="FF1E6B3A"/>
        <name val="Arial"/>
        <charset val="1"/>
        <scheme val="none"/>
      </font>
      <fill>
        <patternFill patternType="solid">
          <bgColor rgb="FFD4EDDA"/>
        </patternFill>
      </fill>
    </dxf>
    <dxf>
      <font>
        <b/>
        <sz val="9"/>
        <color rgb="FF9C5700"/>
        <name val="Arial"/>
        <charset val="1"/>
        <scheme val="none"/>
      </font>
      <fill>
        <patternFill patternType="solid">
          <bgColor rgb="FFFFE5B4"/>
        </patternFill>
      </fill>
    </dxf>
    <dxf>
      <font>
        <b/>
        <sz val="9"/>
        <color rgb="FF9C0006"/>
        <name val="Arial"/>
        <charset val="1"/>
        <scheme val="none"/>
      </font>
      <fill>
        <patternFill patternType="solid">
          <bgColor rgb="FFF8D7DA"/>
        </patternFill>
      </fill>
    </dxf>
    <dxf>
      <font>
        <b/>
        <sz val="9"/>
        <color rgb="FF1E6B3A"/>
        <name val="Arial"/>
        <scheme val="none"/>
      </font>
      <fill>
        <patternFill patternType="solid">
          <bgColor rgb="FFD4EDDA"/>
        </patternFill>
      </fill>
    </dxf>
    <dxf>
      <font>
        <b/>
        <sz val="9"/>
        <color rgb="FF9C5700"/>
        <name val="Arial"/>
        <scheme val="none"/>
      </font>
      <fill>
        <patternFill patternType="solid">
          <bgColor rgb="FFFFE5B4"/>
        </patternFill>
      </fill>
    </dxf>
    <dxf>
      <font>
        <b/>
        <sz val="9"/>
        <color rgb="FF9C0006"/>
        <name val="Arial"/>
        <scheme val="none"/>
      </font>
      <fill>
        <patternFill patternType="solid">
          <bgColor rgb="FFF8D7DA"/>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201" formatCode="yyyy\-mm\-dd"/>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201" formatCode="yyyy\-mm\-dd"/>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3" formatCode="#,##0"/>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right style="thin">
          <color rgb="FFD0D7DE"/>
        </right>
        <top style="thin">
          <color rgb="FFD0D7DE"/>
        </top>
        <bottom style="thin">
          <color rgb="FFD0D7DE"/>
        </bottom>
        <vertical/>
        <horizontal/>
      </border>
    </dxf>
    <dxf>
      <border outline="0">
        <top style="thin">
          <color rgb="FFD0D7DE"/>
        </top>
      </border>
    </dxf>
    <dxf>
      <border outline="0">
        <left style="thin">
          <color rgb="FFD0D7DE"/>
        </left>
        <right style="thin">
          <color rgb="FFD0D7DE"/>
        </right>
        <top style="thin">
          <color rgb="FFD0D7DE"/>
        </top>
        <bottom style="thin">
          <color rgb="FFD0D7DE"/>
        </bottom>
      </border>
    </dxf>
    <dxf>
      <border outline="0">
        <bottom style="thin">
          <color rgb="FFD0D7DE"/>
        </bottom>
      </border>
    </dxf>
    <dxf>
      <font>
        <b/>
        <i val="0"/>
        <strike val="0"/>
        <condense val="0"/>
        <extend val="0"/>
        <outline val="0"/>
        <shadow val="0"/>
        <u val="none"/>
        <vertAlign val="baseline"/>
        <sz val="10"/>
        <color rgb="FFFFFFFF"/>
        <name val="Arial"/>
        <charset val="1"/>
        <scheme val="none"/>
      </font>
      <fill>
        <patternFill patternType="solid">
          <fgColor rgb="FF003366"/>
          <bgColor rgb="FF1B3A4B"/>
        </patternFill>
      </fill>
      <alignment horizontal="center" vertical="top" textRotation="0" wrapText="1" indent="0" justifyLastLine="0" shrinkToFit="0" readingOrder="0"/>
      <border diagonalUp="0" diagonalDown="0" outline="0">
        <left style="thin">
          <color rgb="FFD0D7DE"/>
        </left>
        <right style="thin">
          <color rgb="FFD0D7DE"/>
        </right>
        <top/>
        <bottom/>
      </border>
    </dxf>
    <dxf>
      <font>
        <b val="0"/>
        <i val="0"/>
        <strike val="0"/>
        <u val="none"/>
        <sz val="9"/>
        <color auto="1"/>
        <name val="Arial"/>
        <charset val="1"/>
        <scheme val="none"/>
      </font>
      <alignment horizontal="center" vertical="top" wrapText="1"/>
      <border>
        <left style="thin">
          <color rgb="FFD0D7DE"/>
        </left>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201" formatCode="yyyy\-mm\-dd"/>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201" formatCode="yyyy\-mm\-dd"/>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3" formatCode="#,##0"/>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right style="thin">
          <color rgb="FFD0D7DE"/>
        </right>
        <top style="thin">
          <color rgb="FFD0D7DE"/>
        </top>
        <bottom style="thin">
          <color rgb="FFD0D7DE"/>
        </bottom>
      </border>
    </dxf>
  </dxfs>
  <tableStyles count="1" defaultTableStyle="TableStyleMedium2" defaultPivotStyle="PivotStyleLight16">
    <tableStyle name="Invisible" pivot="0" table="0" count="0" xr9:uid="{238C9AC6-48DB-415E-B966-26745C28CF62}"/>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34.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80" Type="http://schemas.openxmlformats.org/officeDocument/2006/relationships/calcChain" Target="calcChain.xml"/><Relationship Id="rId85"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7" Type="http://schemas.openxmlformats.org/officeDocument/2006/relationships/worksheet" Target="worksheets/sheet7.xml"/><Relationship Id="rId71" Type="http://schemas.openxmlformats.org/officeDocument/2006/relationships/externalLink" Target="externalLinks/externalLink44.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1.2582579389627797</c:v>
                </c:pt>
                <c:pt idx="1">
                  <c:v>1.5591238474158446</c:v>
                </c:pt>
                <c:pt idx="2" formatCode="0%">
                  <c:v>1</c:v>
                </c:pt>
                <c:pt idx="3" formatCode="0%">
                  <c:v>2.9672131147540983</c:v>
                </c:pt>
                <c:pt idx="4" formatCode="0%">
                  <c:v>3.7666666666666666</c:v>
                </c:pt>
                <c:pt idx="5" formatCode="0%">
                  <c:v>0.67825678659811761</c:v>
                </c:pt>
                <c:pt idx="6" formatCode="0%">
                  <c:v>0.88182002022244677</c:v>
                </c:pt>
                <c:pt idx="7" formatCode="0%">
                  <c:v>0.86880529270248608</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Data'!$D$4:$D$25</c:f>
              <c:numCache>
                <c:formatCode>0.0%</c:formatCode>
                <c:ptCount val="22"/>
                <c:pt idx="0">
                  <c:v>1.8905592658328184E-3</c:v>
                </c:pt>
                <c:pt idx="1">
                  <c:v>5.4621900455161992E-2</c:v>
                </c:pt>
                <c:pt idx="2">
                  <c:v>0.12307343887314791</c:v>
                </c:pt>
                <c:pt idx="3">
                  <c:v>0.19298720672330139</c:v>
                </c:pt>
                <c:pt idx="4">
                  <c:v>0.26528632864714236</c:v>
                </c:pt>
                <c:pt idx="5">
                  <c:v>0.37976116919274594</c:v>
                </c:pt>
                <c:pt idx="6">
                  <c:v>0.51647715943470307</c:v>
                </c:pt>
                <c:pt idx="7">
                  <c:v>0.66883703526828464</c:v>
                </c:pt>
                <c:pt idx="8">
                  <c:v>0.77170266032213353</c:v>
                </c:pt>
                <c:pt idx="9">
                  <c:v>0.80704725659664867</c:v>
                </c:pt>
                <c:pt idx="10">
                  <c:v>0.83843841773974781</c:v>
                </c:pt>
                <c:pt idx="11">
                  <c:v>0.85340534526092426</c:v>
                </c:pt>
                <c:pt idx="12">
                  <c:v>0.87555541332598119</c:v>
                </c:pt>
                <c:pt idx="13">
                  <c:v>0.90356670744826195</c:v>
                </c:pt>
                <c:pt idx="14">
                  <c:v>0.91843516834100958</c:v>
                </c:pt>
                <c:pt idx="15">
                  <c:v>0.94049907810619138</c:v>
                </c:pt>
                <c:pt idx="16">
                  <c:v>0.96595270155503421</c:v>
                </c:pt>
                <c:pt idx="17">
                  <c:v>0.99761218426060183</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Data'!$G$4:$G$25</c:f>
              <c:numCache>
                <c:formatCode>0.0%</c:formatCode>
                <c:ptCount val="22"/>
                <c:pt idx="0">
                  <c:v>1.529104613372536E-3</c:v>
                </c:pt>
                <c:pt idx="1">
                  <c:v>5.4005418242070537E-2</c:v>
                </c:pt>
                <c:pt idx="2">
                  <c:v>0.16280539070835404</c:v>
                </c:pt>
                <c:pt idx="3">
                  <c:v>0.20291365721506291</c:v>
                </c:pt>
                <c:pt idx="4">
                  <c:v>0.27783240816768034</c:v>
                </c:pt>
                <c:pt idx="5">
                  <c:v>0.34891856411668398</c:v>
                </c:pt>
                <c:pt idx="6">
                  <c:v>0.42225658473747091</c:v>
                </c:pt>
                <c:pt idx="7">
                  <c:v>0.51547788206719214</c:v>
                </c:pt>
                <c:pt idx="8">
                  <c:v>0.60386848716977981</c:v>
                </c:pt>
                <c:pt idx="9">
                  <c:v>0.6737230009784303</c:v>
                </c:pt>
                <c:pt idx="10">
                  <c:v>0.73794047800498552</c:v>
                </c:pt>
                <c:pt idx="11">
                  <c:v>0.79423463643202363</c:v>
                </c:pt>
                <c:pt idx="12">
                  <c:v>0.84175733945630749</c:v>
                </c:pt>
                <c:pt idx="13">
                  <c:v>0.87720945783162152</c:v>
                </c:pt>
                <c:pt idx="14">
                  <c:v>0.91116443037165595</c:v>
                </c:pt>
                <c:pt idx="15">
                  <c:v>0.93637253118439234</c:v>
                </c:pt>
                <c:pt idx="16">
                  <c:v>0.97407651423148978</c:v>
                </c:pt>
                <c:pt idx="17">
                  <c:v>0.99307969535909379</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Data'!$J$4:$J$25</c:f>
              <c:numCache>
                <c:formatCode>0.00%</c:formatCode>
                <c:ptCount val="22"/>
                <c:pt idx="0">
                  <c:v>1.5311560720677254E-3</c:v>
                </c:pt>
                <c:pt idx="1">
                  <c:v>5.4077872333092913E-2</c:v>
                </c:pt>
                <c:pt idx="2">
                  <c:v>0.16302381169241981</c:v>
                </c:pt>
                <c:pt idx="3">
                  <c:v>0.23638391153758101</c:v>
                </c:pt>
                <c:pt idx="4">
                  <c:v>0.33639400436699496</c:v>
                </c:pt>
                <c:pt idx="5">
                  <c:v>0.48207784279310439</c:v>
                </c:pt>
                <c:pt idx="6">
                  <c:v>0.55082970442779811</c:v>
                </c:pt>
                <c:pt idx="7">
                  <c:v>0.66900442853661357</c:v>
                </c:pt>
                <c:pt idx="8">
                  <c:v>0.7627175804780062</c:v>
                </c:pt>
                <c:pt idx="9">
                  <c:v>0.84857728030248947</c:v>
                </c:pt>
                <c:pt idx="10">
                  <c:v>0.93712659608250515</c:v>
                </c:pt>
                <c:pt idx="11">
                  <c:v>0.96133707834743454</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Data'!$M$4:$M$25</c:f>
              <c:numCache>
                <c:formatCode>0.0%</c:formatCode>
                <c:ptCount val="22"/>
                <c:pt idx="11" formatCode="0.00%">
                  <c:v>0.93712659608250515</c:v>
                </c:pt>
                <c:pt idx="12" formatCode="0.00%">
                  <c:v>0.97234828184692235</c:v>
                </c:pt>
                <c:pt idx="13" formatCode="0.00%">
                  <c:v>0.99259293858506192</c:v>
                </c:pt>
                <c:pt idx="14" formatCode="0.00%">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1746674.44</c:v>
                </c:pt>
                <c:pt idx="1">
                  <c:v>3674180.73</c:v>
                </c:pt>
                <c:pt idx="2">
                  <c:v>6206943.2599999998</c:v>
                </c:pt>
                <c:pt idx="3">
                  <c:v>4258632.4400000004</c:v>
                </c:pt>
                <c:pt idx="4">
                  <c:v>2976928.82</c:v>
                </c:pt>
                <c:pt idx="5">
                  <c:v>5023065.22</c:v>
                </c:pt>
                <c:pt idx="6">
                  <c:v>5345982.47</c:v>
                </c:pt>
                <c:pt idx="7">
                  <c:v>5984969.54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Report'!$T$73:$T$78</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Report'!$U$73:$U$78</c:f>
              <c:numCache>
                <c:formatCode>_(* #,##0_);_(* \(#,##0\);_(* "-"??_);_(@_)</c:formatCode>
                <c:ptCount val="6"/>
                <c:pt idx="0" formatCode="#,##0_);\(#,##0\)">
                  <c:v>57304347.860000007</c:v>
                </c:pt>
                <c:pt idx="1">
                  <c:v>34293976.350000001</c:v>
                </c:pt>
                <c:pt idx="2">
                  <c:v>53468556.349999994</c:v>
                </c:pt>
                <c:pt idx="3" formatCode="#,##0_);\(#,##0\)">
                  <c:v>40499983.457999997</c:v>
                </c:pt>
                <c:pt idx="4" formatCode="#,##0_);\(#,##0\)">
                  <c:v>33617268.486999996</c:v>
                </c:pt>
                <c:pt idx="5" formatCode="#,##0_);\(#,##0\)">
                  <c:v>27469388.637499999</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Manpower!$B$11:$Z$11</c:f>
              <c:numCache>
                <c:formatCode>General</c:formatCode>
                <c:ptCount val="25"/>
                <c:pt idx="0">
                  <c:v>2</c:v>
                </c:pt>
                <c:pt idx="1">
                  <c:v>44</c:v>
                </c:pt>
                <c:pt idx="2">
                  <c:v>113</c:v>
                </c:pt>
                <c:pt idx="3">
                  <c:v>118</c:v>
                </c:pt>
                <c:pt idx="4">
                  <c:v>126</c:v>
                </c:pt>
                <c:pt idx="5">
                  <c:v>195</c:v>
                </c:pt>
                <c:pt idx="6">
                  <c:v>206</c:v>
                </c:pt>
                <c:pt idx="7">
                  <c:v>208</c:v>
                </c:pt>
                <c:pt idx="8">
                  <c:v>152</c:v>
                </c:pt>
                <c:pt idx="9">
                  <c:v>56</c:v>
                </c:pt>
                <c:pt idx="10">
                  <c:v>140</c:v>
                </c:pt>
                <c:pt idx="11">
                  <c:v>136</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Manpower!$B$13:$Z$13</c:f>
              <c:numCache>
                <c:formatCode>General</c:formatCode>
                <c:ptCount val="25"/>
                <c:pt idx="0">
                  <c:v>20</c:v>
                </c:pt>
                <c:pt idx="1">
                  <c:v>63</c:v>
                </c:pt>
                <c:pt idx="2">
                  <c:v>115</c:v>
                </c:pt>
                <c:pt idx="3">
                  <c:v>133</c:v>
                </c:pt>
                <c:pt idx="4">
                  <c:v>142</c:v>
                </c:pt>
                <c:pt idx="5">
                  <c:v>196</c:v>
                </c:pt>
                <c:pt idx="6">
                  <c:v>207</c:v>
                </c:pt>
                <c:pt idx="7">
                  <c:v>211</c:v>
                </c:pt>
                <c:pt idx="8">
                  <c:v>181</c:v>
                </c:pt>
                <c:pt idx="9">
                  <c:v>181</c:v>
                </c:pt>
                <c:pt idx="10">
                  <c:v>179</c:v>
                </c:pt>
                <c:pt idx="11">
                  <c:v>179</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Manpower!$B$15:$Z$15</c:f>
              <c:numCache>
                <c:formatCode>General</c:formatCode>
                <c:ptCount val="25"/>
                <c:pt idx="3">
                  <c:v>0</c:v>
                </c:pt>
                <c:pt idx="4">
                  <c:v>0</c:v>
                </c:pt>
                <c:pt idx="5">
                  <c:v>0</c:v>
                </c:pt>
                <c:pt idx="6">
                  <c:v>0</c:v>
                </c:pt>
                <c:pt idx="7">
                  <c:v>0</c:v>
                </c:pt>
                <c:pt idx="8">
                  <c:v>0</c:v>
                </c:pt>
                <c:pt idx="11">
                  <c:v>0</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Report'!$AG$61:$AG$62</c:f>
              <c:strCache>
                <c:ptCount val="2"/>
                <c:pt idx="0">
                  <c:v>Proactive</c:v>
                </c:pt>
                <c:pt idx="1">
                  <c:v>Reactive</c:v>
                </c:pt>
              </c:strCache>
            </c:strRef>
          </c:cat>
          <c:val>
            <c:numRef>
              <c:f>'Weekly Progress Report'!$AH$61:$AH$62</c:f>
              <c:numCache>
                <c:formatCode>#,##0_ ;[Red]\-#,##0\ </c:formatCode>
                <c:ptCount val="2"/>
                <c:pt idx="0">
                  <c:v>392</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Report'!$X$61</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Report'!$Y$61,'Weekly Progress Report'!$AD$61)</c15:sqref>
                  </c15:fullRef>
                </c:ext>
              </c:extLst>
              <c:f>'Weekly Progress Report'!$AD$61</c:f>
              <c:numCache>
                <c:formatCode>#,##0_ ;[Red]\-#,##0\ </c:formatCode>
                <c:ptCount val="1"/>
                <c:pt idx="0">
                  <c:v>504766</c:v>
                </c:pt>
              </c:numCache>
            </c:numRef>
          </c:val>
          <c:extLst>
            <c:ext xmlns:c16="http://schemas.microsoft.com/office/drawing/2014/chart" uri="{C3380CC4-5D6E-409C-BE32-E72D297353CC}">
              <c16:uniqueId val="{00000000-55A8-4857-BD2C-07C963126922}"/>
            </c:ext>
          </c:extLst>
        </c:ser>
        <c:ser>
          <c:idx val="1"/>
          <c:order val="1"/>
          <c:tx>
            <c:strRef>
              <c:f>'Weekly Progress Report'!$X$62</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504766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Data'!$D$4:$D$25</c:f>
              <c:numCache>
                <c:formatCode>0.00%</c:formatCode>
                <c:ptCount val="22"/>
                <c:pt idx="0">
                  <c:v>0</c:v>
                </c:pt>
                <c:pt idx="1">
                  <c:v>2.0450990795265109E-2</c:v>
                </c:pt>
                <c:pt idx="2">
                  <c:v>0.10887945079681402</c:v>
                </c:pt>
                <c:pt idx="3">
                  <c:v>0.21811832336143352</c:v>
                </c:pt>
                <c:pt idx="4">
                  <c:v>0.31328063314249222</c:v>
                </c:pt>
                <c:pt idx="5">
                  <c:v>0.37338998523246958</c:v>
                </c:pt>
                <c:pt idx="6">
                  <c:v>0.47108218053687601</c:v>
                </c:pt>
                <c:pt idx="7">
                  <c:v>0.58854087581717096</c:v>
                </c:pt>
                <c:pt idx="8">
                  <c:v>0.66315643924151446</c:v>
                </c:pt>
                <c:pt idx="9">
                  <c:v>0.71902279844862527</c:v>
                </c:pt>
                <c:pt idx="10">
                  <c:v>0.77811469580422599</c:v>
                </c:pt>
                <c:pt idx="11">
                  <c:v>0.78475645204808198</c:v>
                </c:pt>
                <c:pt idx="12">
                  <c:v>0.81600998825990834</c:v>
                </c:pt>
                <c:pt idx="13">
                  <c:v>0.8291842863470209</c:v>
                </c:pt>
                <c:pt idx="14">
                  <c:v>0.85950432759684725</c:v>
                </c:pt>
                <c:pt idx="15">
                  <c:v>0.89879304695683515</c:v>
                </c:pt>
                <c:pt idx="16">
                  <c:v>0.93473902432160361</c:v>
                </c:pt>
                <c:pt idx="17">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2"/>
              <c:layout>
                <c:manualLayout>
                  <c:x val="5.4858341806071024E-4"/>
                  <c:y val="-5.6839289008290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D-4830-A6C3-BBB40E125BD4}"/>
                </c:ext>
              </c:extLst>
            </c:dLbl>
            <c:dLbl>
              <c:idx val="8"/>
              <c:layout>
                <c:manualLayout>
                  <c:x val="-3.53028685152426E-2"/>
                  <c:y val="-5.923115689040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D-4830-A6C3-BBB40E125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Data'!$G$4:$G$25</c:f>
              <c:numCache>
                <c:formatCode>0.0%</c:formatCode>
                <c:ptCount val="22"/>
                <c:pt idx="0">
                  <c:v>0</c:v>
                </c:pt>
                <c:pt idx="1">
                  <c:v>2.69584146350322E-2</c:v>
                </c:pt>
                <c:pt idx="2">
                  <c:v>0.11015783052661372</c:v>
                </c:pt>
                <c:pt idx="3">
                  <c:v>0.15199382499350897</c:v>
                </c:pt>
                <c:pt idx="4">
                  <c:v>0.2140273699643844</c:v>
                </c:pt>
                <c:pt idx="5">
                  <c:v>0.26888502348275395</c:v>
                </c:pt>
                <c:pt idx="6">
                  <c:v>0.32165821509795645</c:v>
                </c:pt>
                <c:pt idx="7">
                  <c:v>0.38349773639671608</c:v>
                </c:pt>
                <c:pt idx="8">
                  <c:v>0.46986504629249265</c:v>
                </c:pt>
                <c:pt idx="9">
                  <c:v>0.53594575345368922</c:v>
                </c:pt>
                <c:pt idx="10">
                  <c:v>0.57932986081799909</c:v>
                </c:pt>
                <c:pt idx="11">
                  <c:v>0.63149128646239516</c:v>
                </c:pt>
                <c:pt idx="12">
                  <c:v>0.70409544295963999</c:v>
                </c:pt>
                <c:pt idx="13">
                  <c:v>0.75139328354621637</c:v>
                </c:pt>
                <c:pt idx="14">
                  <c:v>0.81708002531310886</c:v>
                </c:pt>
                <c:pt idx="15">
                  <c:v>0.86912601730810446</c:v>
                </c:pt>
                <c:pt idx="16">
                  <c:v>0.93386982294505427</c:v>
                </c:pt>
                <c:pt idx="17">
                  <c:v>0.98383727161047563</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1.2178978336359223E-2"/>
                  <c:y val="-5.4132013300753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A-4F8C-9CD1-B93C6B8045BB}"/>
                </c:ext>
              </c:extLst>
            </c:dLbl>
            <c:dLbl>
              <c:idx val="4"/>
              <c:layout>
                <c:manualLayout>
                  <c:x val="-1.7491039601625083E-2"/>
                  <c:y val="-5.5936863772444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F-4DF6-8E3D-1C2C0439B588}"/>
                </c:ext>
              </c:extLst>
            </c:dLbl>
            <c:dLbl>
              <c:idx val="5"/>
              <c:layout>
                <c:manualLayout>
                  <c:x val="2.0614081710890422E-2"/>
                  <c:y val="2.34369014683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8-417F-AFDD-1A1F94A8DCD3}"/>
                </c:ext>
              </c:extLst>
            </c:dLbl>
            <c:dLbl>
              <c:idx val="6"/>
              <c:layout>
                <c:manualLayout>
                  <c:x val="9.047297570360692E-3"/>
                  <c:y val="1.9990885088768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D-4FAD-8192-DB123173E577}"/>
                </c:ext>
              </c:extLst>
            </c:dLbl>
            <c:dLbl>
              <c:idx val="7"/>
              <c:layout>
                <c:manualLayout>
                  <c:x val="-1.1510950334909146E-2"/>
                  <c:y val="-2.69253032560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6-43AF-947C-4518B56CBC88}"/>
                </c:ext>
              </c:extLst>
            </c:dLbl>
            <c:dLbl>
              <c:idx val="8"/>
              <c:layout>
                <c:manualLayout>
                  <c:x val="1.0963325563474549E-2"/>
                  <c:y val="2.0029404938266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40-479B-B007-3564C582171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1"/>
              <c:layout>
                <c:manualLayout>
                  <c:x val="-4.981257283531948E-2"/>
                  <c:y val="-3.962616159466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B-4F45-80E5-5CF7874491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Data'!$J$4:$J$25</c:f>
              <c:numCache>
                <c:formatCode>0.0%</c:formatCode>
                <c:ptCount val="22"/>
                <c:pt idx="0">
                  <c:v>0</c:v>
                </c:pt>
                <c:pt idx="1">
                  <c:v>2.69584146350322E-2</c:v>
                </c:pt>
                <c:pt idx="2">
                  <c:v>0.11015783052661372</c:v>
                </c:pt>
                <c:pt idx="3">
                  <c:v>0.17708942670096375</c:v>
                </c:pt>
                <c:pt idx="4" formatCode="0.00%">
                  <c:v>0.25991360352599957</c:v>
                </c:pt>
                <c:pt idx="5" formatCode="0.00%">
                  <c:v>0.36412009331258444</c:v>
                </c:pt>
                <c:pt idx="6" formatCode="0.00%">
                  <c:v>0.43685640068987253</c:v>
                </c:pt>
                <c:pt idx="7" formatCode="0.00%">
                  <c:v>0.53446522408430741</c:v>
                </c:pt>
                <c:pt idx="8" formatCode="0.00%">
                  <c:v>0.67560590593552916</c:v>
                </c:pt>
                <c:pt idx="9" formatCode="0.00%">
                  <c:v>0.7788518724449891</c:v>
                </c:pt>
                <c:pt idx="10" formatCode="0.00%">
                  <c:v>0.88410555572109084</c:v>
                </c:pt>
                <c:pt idx="11" formatCode="0.00%">
                  <c:v>0.93306281890911313</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Data'!$P$4:$P$25</c:f>
              <c:numCache>
                <c:formatCode>0.0%</c:formatCode>
                <c:ptCount val="22"/>
                <c:pt idx="11" formatCode="0.00%">
                  <c:v>0.93306281890911313</c:v>
                </c:pt>
                <c:pt idx="12" formatCode="0.00%">
                  <c:v>0.96225062441536002</c:v>
                </c:pt>
                <c:pt idx="13" formatCode="0.00%">
                  <c:v>0.98982460717597642</c:v>
                </c:pt>
                <c:pt idx="14" formatCode="0.00%">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Data'!$M$4:$M$24</c:f>
              <c:numCache>
                <c:formatCode>0.0%</c:formatCode>
                <c:ptCount val="21"/>
                <c:pt idx="0">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Report'!$K$12:$K$27</c:f>
              <c:numCache>
                <c:formatCode>0.0%</c:formatCode>
                <c:ptCount val="16"/>
                <c:pt idx="0">
                  <c:v>0</c:v>
                </c:pt>
                <c:pt idx="1">
                  <c:v>0.98360655508843509</c:v>
                </c:pt>
                <c:pt idx="2">
                  <c:v>0.84906993854824064</c:v>
                </c:pt>
                <c:pt idx="3">
                  <c:v>0.60426657207653445</c:v>
                </c:pt>
                <c:pt idx="4">
                  <c:v>0.38684290274447519</c:v>
                </c:pt>
                <c:pt idx="5">
                  <c:v>0.99802023028997711</c:v>
                </c:pt>
                <c:pt idx="6">
                  <c:v>0.67109163006314543</c:v>
                </c:pt>
                <c:pt idx="7">
                  <c:v>0.58784165634891639</c:v>
                </c:pt>
                <c:pt idx="8">
                  <c:v>0.6984258081039435</c:v>
                </c:pt>
                <c:pt idx="9">
                  <c:v>0.73171889168701088</c:v>
                </c:pt>
                <c:pt idx="10">
                  <c:v>0.806829351940763</c:v>
                </c:pt>
                <c:pt idx="11">
                  <c:v>1.9650590880314822E-3</c:v>
                </c:pt>
                <c:pt idx="12">
                  <c:v>1.0008295853657321</c:v>
                </c:pt>
                <c:pt idx="13">
                  <c:v>1.000000025653869</c:v>
                </c:pt>
                <c:pt idx="14">
                  <c:v>1</c:v>
                </c:pt>
                <c:pt idx="15">
                  <c:v>0.14285714285714285</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Report'!$L$12:$L$27</c:f>
              <c:numCache>
                <c:formatCode>0.0%</c:formatCode>
                <c:ptCount val="16"/>
                <c:pt idx="0">
                  <c:v>0</c:v>
                </c:pt>
                <c:pt idx="1">
                  <c:v>1</c:v>
                </c:pt>
                <c:pt idx="2">
                  <c:v>1</c:v>
                </c:pt>
                <c:pt idx="3">
                  <c:v>1.0904364837612881</c:v>
                </c:pt>
                <c:pt idx="4">
                  <c:v>1.0704435555356897</c:v>
                </c:pt>
                <c:pt idx="5">
                  <c:v>0.99802023028997711</c:v>
                </c:pt>
                <c:pt idx="6">
                  <c:v>0.76674598568183783</c:v>
                </c:pt>
                <c:pt idx="7">
                  <c:v>0.92443763713282978</c:v>
                </c:pt>
                <c:pt idx="8">
                  <c:v>0.6984258081039435</c:v>
                </c:pt>
                <c:pt idx="9">
                  <c:v>0.8449393273398772</c:v>
                </c:pt>
                <c:pt idx="10">
                  <c:v>0.91125642124990758</c:v>
                </c:pt>
                <c:pt idx="11">
                  <c:v>0.60532779872986564</c:v>
                </c:pt>
                <c:pt idx="12">
                  <c:v>1.0008295853657321</c:v>
                </c:pt>
                <c:pt idx="13">
                  <c:v>1.000000025653869</c:v>
                </c:pt>
                <c:pt idx="14">
                  <c:v>1</c:v>
                </c:pt>
                <c:pt idx="15">
                  <c:v>0.70714285661933662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Report'!$M$12:$M$27</c:f>
              <c:numCache>
                <c:formatCode>0.0%</c:formatCode>
                <c:ptCount val="16"/>
                <c:pt idx="0">
                  <c:v>0</c:v>
                </c:pt>
                <c:pt idx="1">
                  <c:v>1.6393444911564914E-2</c:v>
                </c:pt>
                <c:pt idx="2">
                  <c:v>0.15093006145175936</c:v>
                </c:pt>
                <c:pt idx="3">
                  <c:v>0.48616991168475365</c:v>
                </c:pt>
                <c:pt idx="4">
                  <c:v>0.68360065279121451</c:v>
                </c:pt>
                <c:pt idx="5">
                  <c:v>0</c:v>
                </c:pt>
                <c:pt idx="6">
                  <c:v>9.5654355618692399E-2</c:v>
                </c:pt>
                <c:pt idx="7">
                  <c:v>0.3365959807839134</c:v>
                </c:pt>
                <c:pt idx="8">
                  <c:v>0</c:v>
                </c:pt>
                <c:pt idx="9">
                  <c:v>0.11322043565286632</c:v>
                </c:pt>
                <c:pt idx="10">
                  <c:v>0.10442706930914458</c:v>
                </c:pt>
                <c:pt idx="11">
                  <c:v>0.60336273964183418</c:v>
                </c:pt>
                <c:pt idx="12">
                  <c:v>0</c:v>
                </c:pt>
                <c:pt idx="13">
                  <c:v>0</c:v>
                </c:pt>
                <c:pt idx="14">
                  <c:v>0</c:v>
                </c:pt>
                <c:pt idx="15">
                  <c:v>0.56428571376219372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2</c:v>
                </c:pt>
                <c:pt idx="1">
                  <c:v>44</c:v>
                </c:pt>
                <c:pt idx="2">
                  <c:v>113</c:v>
                </c:pt>
                <c:pt idx="3">
                  <c:v>118</c:v>
                </c:pt>
                <c:pt idx="4">
                  <c:v>126</c:v>
                </c:pt>
                <c:pt idx="5">
                  <c:v>195</c:v>
                </c:pt>
                <c:pt idx="6">
                  <c:v>206</c:v>
                </c:pt>
                <c:pt idx="7">
                  <c:v>208</c:v>
                </c:pt>
                <c:pt idx="8">
                  <c:v>152</c:v>
                </c:pt>
                <c:pt idx="9">
                  <c:v>56</c:v>
                </c:pt>
                <c:pt idx="10">
                  <c:v>140</c:v>
                </c:pt>
                <c:pt idx="11">
                  <c:v>136</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Manpower!$B$13:$T$13</c15:sqref>
                  </c15:fullRef>
                </c:ext>
              </c:extLst>
              <c:f>Manpower!$B$13:$T$13</c:f>
              <c:numCache>
                <c:formatCode>General</c:formatCode>
                <c:ptCount val="19"/>
                <c:pt idx="0">
                  <c:v>20</c:v>
                </c:pt>
                <c:pt idx="1">
                  <c:v>63</c:v>
                </c:pt>
                <c:pt idx="2">
                  <c:v>115</c:v>
                </c:pt>
                <c:pt idx="3">
                  <c:v>133</c:v>
                </c:pt>
                <c:pt idx="4">
                  <c:v>142</c:v>
                </c:pt>
                <c:pt idx="5">
                  <c:v>196</c:v>
                </c:pt>
                <c:pt idx="6">
                  <c:v>207</c:v>
                </c:pt>
                <c:pt idx="7">
                  <c:v>211</c:v>
                </c:pt>
                <c:pt idx="8">
                  <c:v>181</c:v>
                </c:pt>
                <c:pt idx="9">
                  <c:v>181</c:v>
                </c:pt>
                <c:pt idx="10">
                  <c:v>179</c:v>
                </c:pt>
                <c:pt idx="11">
                  <c:v>179</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3">
                  <c:v>0</c:v>
                </c:pt>
                <c:pt idx="4">
                  <c:v>0</c:v>
                </c:pt>
                <c:pt idx="5">
                  <c:v>0</c:v>
                </c:pt>
                <c:pt idx="6">
                  <c:v>0</c:v>
                </c:pt>
                <c:pt idx="7">
                  <c:v>0</c:v>
                </c:pt>
                <c:pt idx="8">
                  <c:v>0</c:v>
                </c:pt>
                <c:pt idx="11">
                  <c:v>0</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Manpower!$B$34:$T$34</c:f>
              <c:numCache>
                <c:formatCode>General</c:formatCode>
                <c:ptCount val="19"/>
                <c:pt idx="0">
                  <c:v>0</c:v>
                </c:pt>
                <c:pt idx="1">
                  <c:v>21</c:v>
                </c:pt>
                <c:pt idx="2">
                  <c:v>95</c:v>
                </c:pt>
                <c:pt idx="3">
                  <c:v>96</c:v>
                </c:pt>
                <c:pt idx="4">
                  <c:v>93</c:v>
                </c:pt>
                <c:pt idx="5">
                  <c:v>99</c:v>
                </c:pt>
                <c:pt idx="6">
                  <c:v>92</c:v>
                </c:pt>
                <c:pt idx="7">
                  <c:v>86</c:v>
                </c:pt>
                <c:pt idx="8">
                  <c:v>68</c:v>
                </c:pt>
                <c:pt idx="9">
                  <c:v>34</c:v>
                </c:pt>
                <c:pt idx="10">
                  <c:v>94</c:v>
                </c:pt>
                <c:pt idx="11">
                  <c:v>78</c:v>
                </c:pt>
                <c:pt idx="12">
                  <c:v>23</c:v>
                </c:pt>
                <c:pt idx="13">
                  <c:v>15</c:v>
                </c:pt>
                <c:pt idx="14">
                  <c:v>10</c:v>
                </c:pt>
                <c:pt idx="15">
                  <c:v>11</c:v>
                </c:pt>
                <c:pt idx="16">
                  <c:v>14</c:v>
                </c:pt>
                <c:pt idx="17">
                  <c:v>0</c:v>
                </c:pt>
                <c:pt idx="18">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Manpower!$B$36:$T$36</c:f>
              <c:numCache>
                <c:formatCode>General</c:formatCode>
                <c:ptCount val="19"/>
                <c:pt idx="0">
                  <c:v>5</c:v>
                </c:pt>
                <c:pt idx="1">
                  <c:v>54</c:v>
                </c:pt>
                <c:pt idx="2">
                  <c:v>99</c:v>
                </c:pt>
                <c:pt idx="3">
                  <c:v>97</c:v>
                </c:pt>
                <c:pt idx="4">
                  <c:v>95</c:v>
                </c:pt>
                <c:pt idx="5">
                  <c:v>102</c:v>
                </c:pt>
                <c:pt idx="6">
                  <c:v>102</c:v>
                </c:pt>
                <c:pt idx="7">
                  <c:v>102</c:v>
                </c:pt>
                <c:pt idx="8">
                  <c:v>113</c:v>
                </c:pt>
                <c:pt idx="9">
                  <c:v>113</c:v>
                </c:pt>
                <c:pt idx="10">
                  <c:v>99</c:v>
                </c:pt>
                <c:pt idx="11">
                  <c:v>99</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Manpower!$B$38:$V$38</c:f>
              <c:numCache>
                <c:formatCode>General</c:formatCode>
                <c:ptCount val="21"/>
                <c:pt idx="3">
                  <c:v>0</c:v>
                </c:pt>
                <c:pt idx="4">
                  <c:v>0</c:v>
                </c:pt>
                <c:pt idx="5">
                  <c:v>0</c:v>
                </c:pt>
                <c:pt idx="6">
                  <c:v>0</c:v>
                </c:pt>
                <c:pt idx="7">
                  <c:v>0</c:v>
                </c:pt>
                <c:pt idx="8">
                  <c:v>0</c:v>
                </c:pt>
                <c:pt idx="9">
                  <c:v>0</c:v>
                </c:pt>
                <c:pt idx="10">
                  <c:v>0</c:v>
                </c:pt>
                <c:pt idx="11">
                  <c:v>0</c:v>
                </c:pt>
                <c:pt idx="12">
                  <c:v>23</c:v>
                </c:pt>
                <c:pt idx="13">
                  <c:v>15</c:v>
                </c:pt>
                <c:pt idx="14">
                  <c:v>10</c:v>
                </c:pt>
                <c:pt idx="15">
                  <c:v>11</c:v>
                </c:pt>
                <c:pt idx="16">
                  <c:v>14</c:v>
                </c:pt>
                <c:pt idx="17">
                  <c:v>0</c:v>
                </c:pt>
                <c:pt idx="18">
                  <c:v>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1.jpeg"/><Relationship Id="rId3" Type="http://schemas.openxmlformats.org/officeDocument/2006/relationships/image" Target="../media/image16.png"/><Relationship Id="rId7" Type="http://schemas.openxmlformats.org/officeDocument/2006/relationships/image" Target="../media/image20.jpeg"/><Relationship Id="rId12" Type="http://schemas.openxmlformats.org/officeDocument/2006/relationships/image" Target="../media/image25.jpeg"/><Relationship Id="rId2" Type="http://schemas.openxmlformats.org/officeDocument/2006/relationships/image" Target="../media/image15.png"/><Relationship Id="rId1" Type="http://schemas.openxmlformats.org/officeDocument/2006/relationships/image" Target="../media/image14.jpeg"/><Relationship Id="rId6" Type="http://schemas.openxmlformats.org/officeDocument/2006/relationships/image" Target="../media/image19.jpeg"/><Relationship Id="rId11" Type="http://schemas.openxmlformats.org/officeDocument/2006/relationships/image" Target="../media/image24.jpeg"/><Relationship Id="rId5" Type="http://schemas.openxmlformats.org/officeDocument/2006/relationships/image" Target="../media/image18.jpeg"/><Relationship Id="rId10" Type="http://schemas.openxmlformats.org/officeDocument/2006/relationships/image" Target="../media/image23.jpeg"/><Relationship Id="rId4" Type="http://schemas.openxmlformats.org/officeDocument/2006/relationships/image" Target="../media/image17.png"/><Relationship Id="rId9"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25</xdr:col>
      <xdr:colOff>822893</xdr:colOff>
      <xdr:row>40</xdr:row>
      <xdr:rowOff>0</xdr:rowOff>
    </xdr:from>
    <xdr:to>
      <xdr:col>30</xdr:col>
      <xdr:colOff>0</xdr:colOff>
      <xdr:row>55</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55</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40</xdr:row>
      <xdr:rowOff>32656</xdr:rowOff>
    </xdr:from>
    <xdr:to>
      <xdr:col>33</xdr:col>
      <xdr:colOff>840441</xdr:colOff>
      <xdr:row>54</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42</xdr:row>
      <xdr:rowOff>60158</xdr:rowOff>
    </xdr:from>
    <xdr:to>
      <xdr:col>33</xdr:col>
      <xdr:colOff>685800</xdr:colOff>
      <xdr:row>43</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4,402,172 </a:t>
          </a:fld>
          <a:endParaRPr lang="en-US" sz="1400" b="1">
            <a:solidFill>
              <a:srgbClr val="2C6682"/>
            </a:solidFill>
          </a:endParaRPr>
        </a:p>
      </xdr:txBody>
    </xdr:sp>
    <xdr:clientData/>
  </xdr:twoCellAnchor>
  <xdr:twoCellAnchor>
    <xdr:from>
      <xdr:col>18</xdr:col>
      <xdr:colOff>15389</xdr:colOff>
      <xdr:row>72</xdr:row>
      <xdr:rowOff>2062</xdr:rowOff>
    </xdr:from>
    <xdr:to>
      <xdr:col>21</xdr:col>
      <xdr:colOff>812423</xdr:colOff>
      <xdr:row>78</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84</xdr:row>
      <xdr:rowOff>26276</xdr:rowOff>
    </xdr:from>
    <xdr:to>
      <xdr:col>17</xdr:col>
      <xdr:colOff>832069</xdr:colOff>
      <xdr:row>92</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57</xdr:row>
      <xdr:rowOff>228600</xdr:rowOff>
    </xdr:from>
    <xdr:to>
      <xdr:col>33</xdr:col>
      <xdr:colOff>850724</xdr:colOff>
      <xdr:row>66</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68</xdr:row>
      <xdr:rowOff>17516</xdr:rowOff>
    </xdr:from>
    <xdr:to>
      <xdr:col>33</xdr:col>
      <xdr:colOff>849585</xdr:colOff>
      <xdr:row>75</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100977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55</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95250</xdr:colOff>
          <xdr:row>95</xdr:row>
          <xdr:rowOff>47624</xdr:rowOff>
        </xdr:from>
        <xdr:to>
          <xdr:col>4</xdr:col>
          <xdr:colOff>864868</xdr:colOff>
          <xdr:row>101</xdr:row>
          <xdr:rowOff>100275</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193347"/>
                </a:ext>
              </a:extLst>
            </xdr:cNvPicPr>
          </xdr:nvPicPr>
          <xdr:blipFill>
            <a:blip xmlns:r="http://schemas.openxmlformats.org/officeDocument/2006/relationships" r:embed="rId11"/>
            <a:srcRect/>
            <a:stretch>
              <a:fillRect/>
            </a:stretch>
          </xdr:blipFill>
          <xdr:spPr bwMode="auto">
            <a:xfrm>
              <a:off x="95250" y="23693437"/>
              <a:ext cx="5167311" cy="30454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95</xdr:row>
          <xdr:rowOff>22411</xdr:rowOff>
        </xdr:from>
        <xdr:to>
          <xdr:col>10</xdr:col>
          <xdr:colOff>847837</xdr:colOff>
          <xdr:row>101</xdr:row>
          <xdr:rowOff>69141</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193348"/>
                </a:ext>
              </a:extLst>
            </xdr:cNvPicPr>
          </xdr:nvPicPr>
          <xdr:blipFill>
            <a:blip xmlns:r="http://schemas.openxmlformats.org/officeDocument/2006/relationships" r:embed="rId12"/>
            <a:srcRect/>
            <a:stretch>
              <a:fillRect/>
            </a:stretch>
          </xdr:blipFill>
          <xdr:spPr bwMode="auto">
            <a:xfrm>
              <a:off x="5457266" y="23846117"/>
              <a:ext cx="5793440" cy="30573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0</xdr:rowOff>
        </xdr:from>
        <xdr:to>
          <xdr:col>15</xdr:col>
          <xdr:colOff>789410</xdr:colOff>
          <xdr:row>101</xdr:row>
          <xdr:rowOff>26652</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193349"/>
                </a:ext>
              </a:extLst>
            </xdr:cNvPicPr>
          </xdr:nvPicPr>
          <xdr:blipFill>
            <a:blip xmlns:r="http://schemas.openxmlformats.org/officeDocument/2006/relationships" r:embed="rId13"/>
            <a:srcRect/>
            <a:stretch>
              <a:fillRect/>
            </a:stretch>
          </xdr:blipFill>
          <xdr:spPr bwMode="auto">
            <a:xfrm>
              <a:off x="10953750" y="23645813"/>
              <a:ext cx="4496541" cy="30213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76.40%</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96.13%</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19.73%</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59.85%</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93.31%</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33.46%</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41142</xdr:colOff>
      <xdr:row>3</xdr:row>
      <xdr:rowOff>420187</xdr:rowOff>
    </xdr:from>
    <xdr:to>
      <xdr:col>9</xdr:col>
      <xdr:colOff>628602</xdr:colOff>
      <xdr:row>20</xdr:row>
      <xdr:rowOff>184513</xdr:rowOff>
    </xdr:to>
    <xdr:pic>
      <xdr:nvPicPr>
        <xdr:cNvPr id="7" name="Picture 6">
          <a:extLst>
            <a:ext uri="{FF2B5EF4-FFF2-40B4-BE49-F238E27FC236}">
              <a16:creationId xmlns:a16="http://schemas.microsoft.com/office/drawing/2014/main" id="{3E2F7D24-FC1A-659D-A763-9F5D62AD47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04428" y="1378130"/>
          <a:ext cx="5551345" cy="3323954"/>
        </a:xfrm>
        <a:prstGeom prst="rect">
          <a:avLst/>
        </a:prstGeom>
      </xdr:spPr>
    </xdr:pic>
    <xdr:clientData/>
  </xdr:twoCellAnchor>
  <xdr:twoCellAnchor editAs="oneCell">
    <xdr:from>
      <xdr:col>1</xdr:col>
      <xdr:colOff>41638</xdr:colOff>
      <xdr:row>23</xdr:row>
      <xdr:rowOff>34834</xdr:rowOff>
    </xdr:from>
    <xdr:to>
      <xdr:col>9</xdr:col>
      <xdr:colOff>664029</xdr:colOff>
      <xdr:row>39</xdr:row>
      <xdr:rowOff>186418</xdr:rowOff>
    </xdr:to>
    <xdr:pic>
      <xdr:nvPicPr>
        <xdr:cNvPr id="9" name="Picture 8">
          <a:extLst>
            <a:ext uri="{FF2B5EF4-FFF2-40B4-BE49-F238E27FC236}">
              <a16:creationId xmlns:a16="http://schemas.microsoft.com/office/drawing/2014/main" id="{FF67FAC2-3BD1-D0D8-ED4C-3C16963A61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04924" y="5368834"/>
          <a:ext cx="5586276" cy="3286670"/>
        </a:xfrm>
        <a:prstGeom prst="rect">
          <a:avLst/>
        </a:prstGeom>
      </xdr:spPr>
    </xdr:pic>
    <xdr:clientData/>
  </xdr:twoCellAnchor>
  <xdr:twoCellAnchor editAs="oneCell">
    <xdr:from>
      <xdr:col>11</xdr:col>
      <xdr:colOff>8980</xdr:colOff>
      <xdr:row>23</xdr:row>
      <xdr:rowOff>34116</xdr:rowOff>
    </xdr:from>
    <xdr:to>
      <xdr:col>19</xdr:col>
      <xdr:colOff>576943</xdr:colOff>
      <xdr:row>39</xdr:row>
      <xdr:rowOff>155666</xdr:rowOff>
    </xdr:to>
    <xdr:pic>
      <xdr:nvPicPr>
        <xdr:cNvPr id="11" name="Picture 10">
          <a:extLst>
            <a:ext uri="{FF2B5EF4-FFF2-40B4-BE49-F238E27FC236}">
              <a16:creationId xmlns:a16="http://schemas.microsoft.com/office/drawing/2014/main" id="{3A1097BF-7DF6-E76C-1625-EC13774AD6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007009" y="5368116"/>
          <a:ext cx="5531848" cy="3256636"/>
        </a:xfrm>
        <a:prstGeom prst="rect">
          <a:avLst/>
        </a:prstGeom>
      </xdr:spPr>
    </xdr:pic>
    <xdr:clientData/>
  </xdr:twoCellAnchor>
  <xdr:twoCellAnchor editAs="oneCell">
    <xdr:from>
      <xdr:col>10</xdr:col>
      <xdr:colOff>180703</xdr:colOff>
      <xdr:row>4</xdr:row>
      <xdr:rowOff>21771</xdr:rowOff>
    </xdr:from>
    <xdr:to>
      <xdr:col>19</xdr:col>
      <xdr:colOff>602524</xdr:colOff>
      <xdr:row>20</xdr:row>
      <xdr:rowOff>111425</xdr:rowOff>
    </xdr:to>
    <xdr:pic>
      <xdr:nvPicPr>
        <xdr:cNvPr id="13" name="Picture 12">
          <a:extLst>
            <a:ext uri="{FF2B5EF4-FFF2-40B4-BE49-F238E27FC236}">
              <a16:creationId xmlns:a16="http://schemas.microsoft.com/office/drawing/2014/main" id="{B0566697-82F7-540D-403A-D50883B303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5982789" y="1404257"/>
          <a:ext cx="5581649" cy="32247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220027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190500</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11</xdr:col>
      <xdr:colOff>114051</xdr:colOff>
      <xdr:row>2</xdr:row>
      <xdr:rowOff>19957</xdr:rowOff>
    </xdr:from>
    <xdr:to>
      <xdr:col>12</xdr:col>
      <xdr:colOff>637351</xdr:colOff>
      <xdr:row>9</xdr:row>
      <xdr:rowOff>303548</xdr:rowOff>
    </xdr:to>
    <xdr:pic>
      <xdr:nvPicPr>
        <xdr:cNvPr id="9" name="Picture 8">
          <a:extLst>
            <a:ext uri="{FF2B5EF4-FFF2-40B4-BE49-F238E27FC236}">
              <a16:creationId xmlns:a16="http://schemas.microsoft.com/office/drawing/2014/main" id="{9AF2E52D-B022-42D9-B646-70E2136CE788}"/>
            </a:ext>
          </a:extLst>
        </xdr:cNvPr>
        <xdr:cNvPicPr>
          <a:picLocks noChangeAspect="1"/>
        </xdr:cNvPicPr>
      </xdr:nvPicPr>
      <xdr:blipFill>
        <a:blip xmlns:r="http://schemas.openxmlformats.org/officeDocument/2006/relationships" r:embed="rId3"/>
        <a:stretch>
          <a:fillRect/>
        </a:stretch>
      </xdr:blipFill>
      <xdr:spPr>
        <a:xfrm rot="5400000" flipH="1">
          <a:off x="9533465743" y="1760758"/>
          <a:ext cx="3098758" cy="1585655"/>
        </a:xfrm>
        <a:prstGeom prst="rect">
          <a:avLst/>
        </a:prstGeom>
      </xdr:spPr>
    </xdr:pic>
    <xdr:clientData/>
  </xdr:twoCellAnchor>
  <xdr:twoCellAnchor editAs="oneCell">
    <xdr:from>
      <xdr:col>12</xdr:col>
      <xdr:colOff>973186</xdr:colOff>
      <xdr:row>2</xdr:row>
      <xdr:rowOff>39928</xdr:rowOff>
    </xdr:from>
    <xdr:to>
      <xdr:col>14</xdr:col>
      <xdr:colOff>980806</xdr:colOff>
      <xdr:row>9</xdr:row>
      <xdr:rowOff>370770</xdr:rowOff>
    </xdr:to>
    <xdr:pic>
      <xdr:nvPicPr>
        <xdr:cNvPr id="10" name="Picture 9">
          <a:extLst>
            <a:ext uri="{FF2B5EF4-FFF2-40B4-BE49-F238E27FC236}">
              <a16:creationId xmlns:a16="http://schemas.microsoft.com/office/drawing/2014/main" id="{72A94C96-5266-4F6F-B64F-F640C6819C51}"/>
            </a:ext>
          </a:extLst>
        </xdr:cNvPr>
        <xdr:cNvPicPr>
          <a:picLocks noChangeAspect="1"/>
        </xdr:cNvPicPr>
      </xdr:nvPicPr>
      <xdr:blipFill rotWithShape="1">
        <a:blip xmlns:r="http://schemas.openxmlformats.org/officeDocument/2006/relationships" r:embed="rId4"/>
        <a:srcRect t="17573"/>
        <a:stretch/>
      </xdr:blipFill>
      <xdr:spPr>
        <a:xfrm>
          <a:off x="9531710314" y="1024178"/>
          <a:ext cx="2159000" cy="3149819"/>
        </a:xfrm>
        <a:prstGeom prst="rect">
          <a:avLst/>
        </a:prstGeom>
      </xdr:spPr>
    </xdr:pic>
    <xdr:clientData/>
  </xdr:twoCellAnchor>
  <xdr:twoCellAnchor editAs="oneCell">
    <xdr:from>
      <xdr:col>13</xdr:col>
      <xdr:colOff>209559</xdr:colOff>
      <xdr:row>14</xdr:row>
      <xdr:rowOff>347381</xdr:rowOff>
    </xdr:from>
    <xdr:to>
      <xdr:col>14</xdr:col>
      <xdr:colOff>638735</xdr:colOff>
      <xdr:row>20</xdr:row>
      <xdr:rowOff>54976</xdr:rowOff>
    </xdr:to>
    <xdr:pic>
      <xdr:nvPicPr>
        <xdr:cNvPr id="7" name="Picture 6">
          <a:extLst>
            <a:ext uri="{FF2B5EF4-FFF2-40B4-BE49-F238E27FC236}">
              <a16:creationId xmlns:a16="http://schemas.microsoft.com/office/drawing/2014/main" id="{68CE6E27-38FB-B5E0-B8E8-D20395D712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42201030" y="6174440"/>
          <a:ext cx="1504940" cy="2128065"/>
        </a:xfrm>
        <a:prstGeom prst="rect">
          <a:avLst/>
        </a:prstGeom>
      </xdr:spPr>
    </xdr:pic>
    <xdr:clientData/>
  </xdr:twoCellAnchor>
  <xdr:twoCellAnchor editAs="oneCell">
    <xdr:from>
      <xdr:col>11</xdr:col>
      <xdr:colOff>563823</xdr:colOff>
      <xdr:row>14</xdr:row>
      <xdr:rowOff>340498</xdr:rowOff>
    </xdr:from>
    <xdr:to>
      <xdr:col>12</xdr:col>
      <xdr:colOff>992998</xdr:colOff>
      <xdr:row>20</xdr:row>
      <xdr:rowOff>48093</xdr:rowOff>
    </xdr:to>
    <xdr:pic>
      <xdr:nvPicPr>
        <xdr:cNvPr id="12" name="Picture 11">
          <a:extLst>
            <a:ext uri="{FF2B5EF4-FFF2-40B4-BE49-F238E27FC236}">
              <a16:creationId xmlns:a16="http://schemas.microsoft.com/office/drawing/2014/main" id="{FE92FA4C-BF84-4864-97E1-EF161081F5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543998296" y="6167557"/>
          <a:ext cx="1504940" cy="2128065"/>
        </a:xfrm>
        <a:prstGeom prst="rect">
          <a:avLst/>
        </a:prstGeom>
      </xdr:spPr>
    </xdr:pic>
    <xdr:clientData/>
  </xdr:twoCellAnchor>
  <xdr:twoCellAnchor editAs="oneCell">
    <xdr:from>
      <xdr:col>13</xdr:col>
      <xdr:colOff>212117</xdr:colOff>
      <xdr:row>20</xdr:row>
      <xdr:rowOff>131911</xdr:rowOff>
    </xdr:from>
    <xdr:to>
      <xdr:col>14</xdr:col>
      <xdr:colOff>641293</xdr:colOff>
      <xdr:row>25</xdr:row>
      <xdr:rowOff>242917</xdr:rowOff>
    </xdr:to>
    <xdr:pic>
      <xdr:nvPicPr>
        <xdr:cNvPr id="14" name="Picture 13">
          <a:extLst>
            <a:ext uri="{FF2B5EF4-FFF2-40B4-BE49-F238E27FC236}">
              <a16:creationId xmlns:a16="http://schemas.microsoft.com/office/drawing/2014/main" id="{E1C45293-D89A-44E7-B726-BEDCB271AE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42198472" y="8379440"/>
          <a:ext cx="1504940" cy="2128065"/>
        </a:xfrm>
        <a:prstGeom prst="rect">
          <a:avLst/>
        </a:prstGeom>
      </xdr:spPr>
    </xdr:pic>
    <xdr:clientData/>
  </xdr:twoCellAnchor>
  <xdr:twoCellAnchor editAs="oneCell">
    <xdr:from>
      <xdr:col>13</xdr:col>
      <xdr:colOff>196587</xdr:colOff>
      <xdr:row>25</xdr:row>
      <xdr:rowOff>349146</xdr:rowOff>
    </xdr:from>
    <xdr:to>
      <xdr:col>14</xdr:col>
      <xdr:colOff>625763</xdr:colOff>
      <xdr:row>28</xdr:row>
      <xdr:rowOff>594623</xdr:rowOff>
    </xdr:to>
    <xdr:pic>
      <xdr:nvPicPr>
        <xdr:cNvPr id="17" name="Picture 16">
          <a:extLst>
            <a:ext uri="{FF2B5EF4-FFF2-40B4-BE49-F238E27FC236}">
              <a16:creationId xmlns:a16="http://schemas.microsoft.com/office/drawing/2014/main" id="{AE562183-A3E1-F234-D271-3D18DD442D7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542214002" y="10613734"/>
          <a:ext cx="1504940" cy="2128065"/>
        </a:xfrm>
        <a:prstGeom prst="rect">
          <a:avLst/>
        </a:prstGeom>
      </xdr:spPr>
    </xdr:pic>
    <xdr:clientData/>
  </xdr:twoCellAnchor>
  <xdr:twoCellAnchor editAs="oneCell">
    <xdr:from>
      <xdr:col>11</xdr:col>
      <xdr:colOff>517235</xdr:colOff>
      <xdr:row>20</xdr:row>
      <xdr:rowOff>162970</xdr:rowOff>
    </xdr:from>
    <xdr:to>
      <xdr:col>12</xdr:col>
      <xdr:colOff>946410</xdr:colOff>
      <xdr:row>25</xdr:row>
      <xdr:rowOff>273976</xdr:rowOff>
    </xdr:to>
    <xdr:pic>
      <xdr:nvPicPr>
        <xdr:cNvPr id="20" name="Picture 19">
          <a:extLst>
            <a:ext uri="{FF2B5EF4-FFF2-40B4-BE49-F238E27FC236}">
              <a16:creationId xmlns:a16="http://schemas.microsoft.com/office/drawing/2014/main" id="{41173176-BEF5-82B7-BCDD-01D0BA793E7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44044884" y="8410499"/>
          <a:ext cx="1504940" cy="2128065"/>
        </a:xfrm>
        <a:prstGeom prst="rect">
          <a:avLst/>
        </a:prstGeom>
      </xdr:spPr>
    </xdr:pic>
    <xdr:clientData/>
  </xdr:twoCellAnchor>
  <xdr:twoCellAnchor editAs="oneCell">
    <xdr:from>
      <xdr:col>13</xdr:col>
      <xdr:colOff>210353</xdr:colOff>
      <xdr:row>29</xdr:row>
      <xdr:rowOff>100057</xdr:rowOff>
    </xdr:from>
    <xdr:to>
      <xdr:col>14</xdr:col>
      <xdr:colOff>639529</xdr:colOff>
      <xdr:row>31</xdr:row>
      <xdr:rowOff>748946</xdr:rowOff>
    </xdr:to>
    <xdr:pic>
      <xdr:nvPicPr>
        <xdr:cNvPr id="23" name="Picture 22">
          <a:extLst>
            <a:ext uri="{FF2B5EF4-FFF2-40B4-BE49-F238E27FC236}">
              <a16:creationId xmlns:a16="http://schemas.microsoft.com/office/drawing/2014/main" id="{3A83260C-6CF8-3D9A-0663-2768F182BD9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542200236" y="12874763"/>
          <a:ext cx="1504940" cy="2128065"/>
        </a:xfrm>
        <a:prstGeom prst="rect">
          <a:avLst/>
        </a:prstGeom>
      </xdr:spPr>
    </xdr:pic>
    <xdr:clientData/>
  </xdr:twoCellAnchor>
  <xdr:twoCellAnchor editAs="oneCell">
    <xdr:from>
      <xdr:col>11</xdr:col>
      <xdr:colOff>508588</xdr:colOff>
      <xdr:row>25</xdr:row>
      <xdr:rowOff>350911</xdr:rowOff>
    </xdr:from>
    <xdr:to>
      <xdr:col>12</xdr:col>
      <xdr:colOff>937763</xdr:colOff>
      <xdr:row>28</xdr:row>
      <xdr:rowOff>596388</xdr:rowOff>
    </xdr:to>
    <xdr:pic>
      <xdr:nvPicPr>
        <xdr:cNvPr id="26" name="Picture 25">
          <a:extLst>
            <a:ext uri="{FF2B5EF4-FFF2-40B4-BE49-F238E27FC236}">
              <a16:creationId xmlns:a16="http://schemas.microsoft.com/office/drawing/2014/main" id="{130B785C-31F3-B3AB-588D-575852DBB1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44053531" y="10615499"/>
          <a:ext cx="1504940" cy="2128065"/>
        </a:xfrm>
        <a:prstGeom prst="rect">
          <a:avLst/>
        </a:prstGeom>
      </xdr:spPr>
    </xdr:pic>
    <xdr:clientData/>
  </xdr:twoCellAnchor>
  <xdr:twoCellAnchor editAs="oneCell">
    <xdr:from>
      <xdr:col>11</xdr:col>
      <xdr:colOff>515470</xdr:colOff>
      <xdr:row>29</xdr:row>
      <xdr:rowOff>86294</xdr:rowOff>
    </xdr:from>
    <xdr:to>
      <xdr:col>12</xdr:col>
      <xdr:colOff>944645</xdr:colOff>
      <xdr:row>31</xdr:row>
      <xdr:rowOff>735183</xdr:rowOff>
    </xdr:to>
    <xdr:pic>
      <xdr:nvPicPr>
        <xdr:cNvPr id="29" name="Picture 28">
          <a:extLst>
            <a:ext uri="{FF2B5EF4-FFF2-40B4-BE49-F238E27FC236}">
              <a16:creationId xmlns:a16="http://schemas.microsoft.com/office/drawing/2014/main" id="{8A04122C-DC6D-EE6A-4421-28FA8382045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544046649" y="12861000"/>
          <a:ext cx="1504940" cy="2128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ttps:\jasarapmc-my.sharepoint.com\My%20Documents\Kingdom-Centre-Backup\KC-A-HAIBACKUP\MonthlyPayments\Valuations\B-226-4%20Bill%2003%20Struct.%20to%20Level%20%20+179%20-%20Civi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옰ʒ䄂ʒ鵠ʐ䄂ʒ閐̐䄂ʒ蕈̐"/>
      <sheetName val="Top sheet"/>
      <sheetName val="COC"/>
      <sheetName val="Inputs"/>
      <sheetName val="LABOUR_HISTOGRAM1"/>
      <sheetName val="Sheet3"/>
      <sheetName val="SHOPLIST.xls"/>
      <sheetName val="Geneí¬_x0008_i_x0014_0."/>
      <sheetName val="70,_0s«_x0008_iÆø_x0003_í¬_x0008_i"/>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Geneí¬_x0008_i_x0000__x0000__x0014__x0000_0."/>
      <sheetName val="70_x0000_,/0_x0000_s«_x0008_i_x0000_Æø_x0003_í¬_x0008_i_x0000_"/>
      <sheetName val="_x0000__x0000__x0000__x0000__x0000__x0000__x0000__x0000_"/>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row r="9">
          <cell r="A9" t="str">
            <v>A</v>
          </cell>
        </row>
      </sheetData>
      <sheetData sheetId="199"/>
      <sheetData sheetId="200"/>
      <sheetData sheetId="201"/>
      <sheetData sheetId="202"/>
      <sheetData sheetId="203"/>
      <sheetData sheetId="204">
        <row r="9">
          <cell r="A9" t="str">
            <v>A</v>
          </cell>
        </row>
      </sheetData>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sheetData sheetId="210">
        <row r="9">
          <cell r="A9" t="str">
            <v>A</v>
          </cell>
        </row>
      </sheetData>
      <sheetData sheetId="211">
        <row r="9">
          <cell r="A9" t="str">
            <v>A</v>
          </cell>
        </row>
      </sheetData>
      <sheetData sheetId="212">
        <row r="9">
          <cell r="A9" t="str">
            <v>A</v>
          </cell>
        </row>
      </sheetData>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9">
          <cell r="A9" t="str">
            <v>A</v>
          </cell>
        </row>
      </sheetData>
      <sheetData sheetId="256">
        <row r="9">
          <cell r="A9" t="str">
            <v>A</v>
          </cell>
        </row>
      </sheetData>
      <sheetData sheetId="257"/>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sheetData sheetId="472"/>
      <sheetData sheetId="473"/>
      <sheetData sheetId="474"/>
      <sheetData sheetId="475"/>
      <sheetData sheetId="476" refreshError="1"/>
      <sheetData sheetId="477" refreshError="1"/>
      <sheetData sheetId="478" refreshError="1"/>
      <sheetData sheetId="479" refreshError="1"/>
      <sheetData sheetId="480"/>
      <sheetData sheetId="481"/>
      <sheetData sheetId="482"/>
      <sheetData sheetId="483" refreshError="1"/>
      <sheetData sheetId="484" refreshError="1"/>
      <sheetData sheetId="485" refreshError="1"/>
      <sheetData sheetId="486" refreshError="1"/>
      <sheetData sheetId="487"/>
      <sheetData sheetId="488" refreshError="1"/>
      <sheetData sheetId="489"/>
      <sheetData sheetId="490" refreshError="1"/>
      <sheetData sheetId="491" refreshError="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sheetData sheetId="523">
        <row r="9">
          <cell r="A9" t="str">
            <v>A</v>
          </cell>
        </row>
      </sheetData>
      <sheetData sheetId="524">
        <row r="9">
          <cell r="A9" t="str">
            <v>A</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refreshError="1"/>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sheetData sheetId="933"/>
      <sheetData sheetId="934">
        <row r="9">
          <cell r="A9" t="str">
            <v>A</v>
          </cell>
        </row>
      </sheetData>
      <sheetData sheetId="935"/>
      <sheetData sheetId="936">
        <row r="9">
          <cell r="A9" t="str">
            <v>A</v>
          </cell>
        </row>
      </sheetData>
      <sheetData sheetId="937" refreshError="1"/>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sheetData sheetId="1053"/>
      <sheetData sheetId="1054"/>
      <sheetData sheetId="1055"/>
      <sheetData sheetId="1056">
        <row r="9">
          <cell r="A9" t="str">
            <v>A</v>
          </cell>
        </row>
      </sheetData>
      <sheetData sheetId="1057" refreshError="1"/>
      <sheetData sheetId="1058">
        <row r="9">
          <cell r="A9" t="str">
            <v>A</v>
          </cell>
        </row>
      </sheetData>
      <sheetData sheetId="1059">
        <row r="9">
          <cell r="A9" t="str">
            <v>A</v>
          </cell>
        </row>
      </sheetData>
      <sheetData sheetId="1060"/>
      <sheetData sheetId="1061"/>
      <sheetData sheetId="1062"/>
      <sheetData sheetId="1063"/>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sheetData sheetId="1084"/>
      <sheetData sheetId="1085"/>
      <sheetData sheetId="1086"/>
      <sheetData sheetId="1087"/>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refreshError="1"/>
      <sheetData sheetId="1121" refreshError="1"/>
      <sheetData sheetId="1122" refreshError="1"/>
      <sheetData sheetId="1123" refreshError="1"/>
      <sheetData sheetId="1124">
        <row r="9">
          <cell r="A9" t="str">
            <v>A</v>
          </cell>
        </row>
      </sheetData>
      <sheetData sheetId="1125" refreshError="1"/>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sheetData sheetId="1149"/>
      <sheetData sheetId="1150"/>
      <sheetData sheetId="1151"/>
      <sheetData sheetId="1152" refreshError="1"/>
      <sheetData sheetId="1153"/>
      <sheetData sheetId="1154" refreshError="1"/>
      <sheetData sheetId="1155" refreshError="1"/>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sheetData sheetId="1313"/>
      <sheetData sheetId="1314"/>
      <sheetData sheetId="1315"/>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ow r="9">
          <cell r="A9" t="str">
            <v>A</v>
          </cell>
        </row>
      </sheetData>
      <sheetData sheetId="1341">
        <row r="9">
          <cell r="A9" t="str">
            <v>A</v>
          </cell>
        </row>
      </sheetData>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sheetData sheetId="1367"/>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sheetData sheetId="138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sheetData sheetId="1694"/>
      <sheetData sheetId="1695"/>
      <sheetData sheetId="1696"/>
      <sheetData sheetId="1697" refreshError="1"/>
      <sheetData sheetId="1698" refreshError="1"/>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sheetData sheetId="1715"/>
      <sheetData sheetId="1716"/>
      <sheetData sheetId="1717"/>
      <sheetData sheetId="1718"/>
      <sheetData sheetId="1719" refreshError="1"/>
      <sheetData sheetId="1720"/>
      <sheetData sheetId="1721"/>
      <sheetData sheetId="1722" refreshError="1"/>
      <sheetData sheetId="1723" refreshError="1"/>
      <sheetData sheetId="1724"/>
      <sheetData sheetId="1725" refreshError="1"/>
      <sheetData sheetId="1726" refreshError="1"/>
      <sheetData sheetId="1727" refreshError="1"/>
      <sheetData sheetId="1728" refreshError="1"/>
      <sheetData sheetId="1729" refreshError="1"/>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ow r="9">
          <cell r="A9" t="str">
            <v>A</v>
          </cell>
        </row>
      </sheetData>
      <sheetData sheetId="1750"/>
      <sheetData sheetId="1751">
        <row r="9">
          <cell r="A9" t="str">
            <v>A</v>
          </cell>
        </row>
      </sheetData>
      <sheetData sheetId="1752">
        <row r="9">
          <cell r="A9" t="str">
            <v>A</v>
          </cell>
        </row>
      </sheetData>
      <sheetData sheetId="1753"/>
      <sheetData sheetId="1754"/>
      <sheetData sheetId="1755"/>
      <sheetData sheetId="1756"/>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refreshError="1"/>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ow r="9">
          <cell r="A9" t="str">
            <v>A</v>
          </cell>
        </row>
      </sheetData>
      <sheetData sheetId="1801">
        <row r="9">
          <cell r="A9" t="str">
            <v>A</v>
          </cell>
        </row>
      </sheetData>
      <sheetData sheetId="1802">
        <row r="9">
          <cell r="A9" t="str">
            <v>A</v>
          </cell>
        </row>
      </sheetData>
      <sheetData sheetId="1803"/>
      <sheetData sheetId="1804"/>
      <sheetData sheetId="1805"/>
      <sheetData sheetId="1806"/>
      <sheetData sheetId="1807"/>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sheetData sheetId="1835" refreshError="1"/>
      <sheetData sheetId="1836" refreshError="1"/>
      <sheetData sheetId="1837"/>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sheetData sheetId="1848"/>
      <sheetData sheetId="1849"/>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ow r="9">
          <cell r="A9" t="str">
            <v>A</v>
          </cell>
        </row>
      </sheetData>
      <sheetData sheetId="2077"/>
      <sheetData sheetId="2078"/>
      <sheetData sheetId="2079">
        <row r="9">
          <cell r="A9" t="str">
            <v>A</v>
          </cell>
        </row>
      </sheetData>
      <sheetData sheetId="2080" refreshError="1"/>
      <sheetData sheetId="2081" refreshError="1"/>
      <sheetData sheetId="2082"/>
      <sheetData sheetId="2083"/>
      <sheetData sheetId="2084" refreshError="1"/>
      <sheetData sheetId="2085"/>
      <sheetData sheetId="2086"/>
      <sheetData sheetId="2087" refreshError="1"/>
      <sheetData sheetId="2088" refreshError="1"/>
      <sheetData sheetId="2089" refreshError="1"/>
      <sheetData sheetId="2090" refreshError="1"/>
      <sheetData sheetId="2091"/>
      <sheetData sheetId="2092" refreshError="1"/>
      <sheetData sheetId="2093"/>
      <sheetData sheetId="2094"/>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sheetData sheetId="2118" refreshError="1"/>
      <sheetData sheetId="2119" refreshError="1"/>
      <sheetData sheetId="2120" refreshError="1"/>
      <sheetData sheetId="2121" refreshError="1"/>
      <sheetData sheetId="2122"/>
      <sheetData sheetId="2123"/>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refreshError="1"/>
      <sheetData sheetId="2154" refreshError="1"/>
      <sheetData sheetId="2155" refreshError="1"/>
      <sheetData sheetId="2156"/>
      <sheetData sheetId="2157"/>
      <sheetData sheetId="2158"/>
      <sheetData sheetId="2159"/>
      <sheetData sheetId="2160" refreshError="1"/>
      <sheetData sheetId="2161" refreshError="1"/>
      <sheetData sheetId="2162"/>
      <sheetData sheetId="2163" refreshError="1"/>
      <sheetData sheetId="2164" refreshError="1"/>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refreshError="1"/>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row r="9">
          <cell r="A9" t="str">
            <v>A</v>
          </cell>
        </row>
      </sheetData>
      <sheetData sheetId="2200">
        <row r="9">
          <cell r="A9" t="str">
            <v>A</v>
          </cell>
        </row>
      </sheetData>
      <sheetData sheetId="2201" refreshError="1"/>
      <sheetData sheetId="2202" refreshError="1"/>
      <sheetData sheetId="2203"/>
      <sheetData sheetId="2204"/>
      <sheetData sheetId="2205"/>
      <sheetData sheetId="2206"/>
      <sheetData sheetId="2207"/>
      <sheetData sheetId="2208"/>
      <sheetData sheetId="2209"/>
      <sheetData sheetId="2210"/>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sheetData sheetId="2474"/>
      <sheetData sheetId="2475" refreshError="1"/>
      <sheetData sheetId="2476" refreshError="1"/>
      <sheetData sheetId="2477" refreshError="1"/>
      <sheetData sheetId="2478" refreshError="1"/>
      <sheetData sheetId="2479" refreshError="1"/>
      <sheetData sheetId="2480" refreshError="1"/>
      <sheetData sheetId="2481"/>
      <sheetData sheetId="2482" refreshError="1"/>
      <sheetData sheetId="2483" refreshError="1"/>
      <sheetData sheetId="2484" refreshError="1"/>
      <sheetData sheetId="2485" refreshError="1"/>
      <sheetData sheetId="2486" refreshError="1"/>
      <sheetData sheetId="2487"/>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sheetData sheetId="2497" refreshError="1"/>
      <sheetData sheetId="2498" refreshError="1"/>
      <sheetData sheetId="2499" refreshError="1"/>
      <sheetData sheetId="2500" refreshError="1"/>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refreshError="1"/>
      <sheetData sheetId="2835" refreshError="1"/>
      <sheetData sheetId="2836" refreshError="1"/>
      <sheetData sheetId="2837" refreshError="1"/>
      <sheetData sheetId="2838" refreshError="1"/>
      <sheetData sheetId="2839" refreshError="1"/>
      <sheetData sheetId="2840"/>
      <sheetData sheetId="2841" refreshError="1"/>
      <sheetData sheetId="2842"/>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sheetData sheetId="3051" refreshError="1"/>
      <sheetData sheetId="3052"/>
      <sheetData sheetId="3053"/>
      <sheetData sheetId="3054"/>
      <sheetData sheetId="3055" refreshError="1"/>
      <sheetData sheetId="3056" refreshError="1"/>
      <sheetData sheetId="3057" refreshError="1"/>
      <sheetData sheetId="3058" refreshError="1"/>
      <sheetData sheetId="3059" refreshError="1"/>
      <sheetData sheetId="3060" refreshError="1"/>
      <sheetData sheetId="306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sheetData sheetId="3082"/>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sheetData sheetId="3139"/>
      <sheetData sheetId="3140"/>
      <sheetData sheetId="3141"/>
      <sheetData sheetId="3142"/>
      <sheetData sheetId="3143"/>
      <sheetData sheetId="3144"/>
      <sheetData sheetId="3145"/>
      <sheetData sheetId="3146">
        <row r="9">
          <cell r="A9" t="str">
            <v>A</v>
          </cell>
        </row>
      </sheetData>
      <sheetData sheetId="3147"/>
      <sheetData sheetId="3148"/>
      <sheetData sheetId="3149"/>
      <sheetData sheetId="3150"/>
      <sheetData sheetId="3151"/>
      <sheetData sheetId="3152"/>
      <sheetData sheetId="3153"/>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sheetData sheetId="3224"/>
      <sheetData sheetId="3225"/>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efreshError="1"/>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efreshError="1"/>
      <sheetData sheetId="3512">
        <row r="9">
          <cell r="A9" t="str">
            <v>A</v>
          </cell>
        </row>
      </sheetData>
      <sheetData sheetId="3513"/>
      <sheetData sheetId="3514">
        <row r="9">
          <cell r="A9" t="str">
            <v>A</v>
          </cell>
        </row>
      </sheetData>
      <sheetData sheetId="3515">
        <row r="9">
          <cell r="A9" t="str">
            <v>A</v>
          </cell>
        </row>
      </sheetData>
      <sheetData sheetId="3516">
        <row r="9">
          <cell r="A9" t="str">
            <v>A</v>
          </cell>
        </row>
      </sheetData>
      <sheetData sheetId="3517"/>
      <sheetData sheetId="3518">
        <row r="9">
          <cell r="A9" t="str">
            <v>A</v>
          </cell>
        </row>
      </sheetData>
      <sheetData sheetId="3519"/>
      <sheetData sheetId="3520">
        <row r="9">
          <cell r="A9" t="str">
            <v>A</v>
          </cell>
        </row>
      </sheetData>
      <sheetData sheetId="3521">
        <row r="9">
          <cell r="A9" t="str">
            <v>A</v>
          </cell>
        </row>
      </sheetData>
      <sheetData sheetId="3522">
        <row r="9">
          <cell r="A9" t="str">
            <v>A</v>
          </cell>
        </row>
      </sheetData>
      <sheetData sheetId="3523" refreshError="1"/>
      <sheetData sheetId="3524">
        <row r="9">
          <cell r="A9" t="str">
            <v>A</v>
          </cell>
        </row>
      </sheetData>
      <sheetData sheetId="3525" refreshError="1"/>
      <sheetData sheetId="3526"/>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sheetData sheetId="3533">
        <row r="9">
          <cell r="A9" t="str">
            <v>A</v>
          </cell>
        </row>
      </sheetData>
      <sheetData sheetId="3534"/>
      <sheetData sheetId="3535">
        <row r="9">
          <cell r="A9" t="str">
            <v>A</v>
          </cell>
        </row>
      </sheetData>
      <sheetData sheetId="3536">
        <row r="9">
          <cell r="A9" t="str">
            <v>A</v>
          </cell>
        </row>
      </sheetData>
      <sheetData sheetId="3537">
        <row r="9">
          <cell r="A9" t="str">
            <v>A</v>
          </cell>
        </row>
      </sheetData>
      <sheetData sheetId="3538" refreshError="1"/>
      <sheetData sheetId="3539"/>
      <sheetData sheetId="3540"/>
      <sheetData sheetId="3541"/>
      <sheetData sheetId="3542">
        <row r="9">
          <cell r="A9" t="str">
            <v>A</v>
          </cell>
        </row>
      </sheetData>
      <sheetData sheetId="3543">
        <row r="9">
          <cell r="A9" t="str">
            <v>A</v>
          </cell>
        </row>
      </sheetData>
      <sheetData sheetId="3544"/>
      <sheetData sheetId="3545"/>
      <sheetData sheetId="3546" refreshError="1"/>
      <sheetData sheetId="3547"/>
      <sheetData sheetId="3548"/>
      <sheetData sheetId="3549"/>
      <sheetData sheetId="3550" refreshError="1"/>
      <sheetData sheetId="3551" refreshError="1"/>
      <sheetData sheetId="3552"/>
      <sheetData sheetId="3553" refreshError="1"/>
      <sheetData sheetId="3554"/>
      <sheetData sheetId="3555"/>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sheetData sheetId="3566" refreshError="1"/>
      <sheetData sheetId="3567" refreshError="1"/>
      <sheetData sheetId="3568" refreshError="1"/>
      <sheetData sheetId="3569">
        <row r="9">
          <cell r="A9" t="str">
            <v>A</v>
          </cell>
        </row>
      </sheetData>
      <sheetData sheetId="3570">
        <row r="9">
          <cell r="A9" t="str">
            <v>A</v>
          </cell>
        </row>
      </sheetData>
      <sheetData sheetId="3571"/>
      <sheetData sheetId="3572"/>
      <sheetData sheetId="3573">
        <row r="9">
          <cell r="A9" t="str">
            <v>A</v>
          </cell>
        </row>
      </sheetData>
      <sheetData sheetId="3574"/>
      <sheetData sheetId="3575">
        <row r="9">
          <cell r="A9" t="str">
            <v>A</v>
          </cell>
        </row>
      </sheetData>
      <sheetData sheetId="3576"/>
      <sheetData sheetId="3577" refreshError="1"/>
      <sheetData sheetId="3578" refreshError="1"/>
      <sheetData sheetId="3579"/>
      <sheetData sheetId="3580" refreshError="1"/>
      <sheetData sheetId="3581"/>
      <sheetData sheetId="3582"/>
      <sheetData sheetId="3583"/>
      <sheetData sheetId="3584"/>
      <sheetData sheetId="3585"/>
      <sheetData sheetId="3586"/>
      <sheetData sheetId="3587"/>
      <sheetData sheetId="3588" refreshError="1"/>
      <sheetData sheetId="3589"/>
      <sheetData sheetId="3590"/>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sheetData sheetId="3600"/>
      <sheetData sheetId="3601"/>
      <sheetData sheetId="3602"/>
      <sheetData sheetId="3603"/>
      <sheetData sheetId="3604"/>
      <sheetData sheetId="3605"/>
      <sheetData sheetId="3606" refreshError="1"/>
      <sheetData sheetId="3607" refreshError="1"/>
      <sheetData sheetId="3608"/>
      <sheetData sheetId="3609"/>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sheetData sheetId="3802"/>
      <sheetData sheetId="3803"/>
      <sheetData sheetId="3804"/>
      <sheetData sheetId="3805"/>
      <sheetData sheetId="3806">
        <row r="9">
          <cell r="A9" t="str">
            <v>A</v>
          </cell>
        </row>
      </sheetData>
      <sheetData sheetId="3807"/>
      <sheetData sheetId="3808"/>
      <sheetData sheetId="3809"/>
      <sheetData sheetId="3810"/>
      <sheetData sheetId="3811"/>
      <sheetData sheetId="3812">
        <row r="9">
          <cell r="A9" t="str">
            <v>A</v>
          </cell>
        </row>
      </sheetData>
      <sheetData sheetId="3813" refreshError="1"/>
      <sheetData sheetId="3814" refreshError="1"/>
      <sheetData sheetId="3815" refreshError="1"/>
      <sheetData sheetId="3816" refreshError="1"/>
      <sheetData sheetId="3817" refreshError="1"/>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sheetData sheetId="3823">
        <row r="9">
          <cell r="A9" t="str">
            <v>A</v>
          </cell>
        </row>
      </sheetData>
      <sheetData sheetId="3824">
        <row r="9">
          <cell r="A9" t="str">
            <v>A</v>
          </cell>
        </row>
      </sheetData>
      <sheetData sheetId="3825">
        <row r="9">
          <cell r="A9" t="str">
            <v>A</v>
          </cell>
        </row>
      </sheetData>
      <sheetData sheetId="3826"/>
      <sheetData sheetId="3827"/>
      <sheetData sheetId="3828"/>
      <sheetData sheetId="3829"/>
      <sheetData sheetId="3830"/>
      <sheetData sheetId="3831"/>
      <sheetData sheetId="3832"/>
      <sheetData sheetId="3833"/>
      <sheetData sheetId="3834" refreshError="1"/>
      <sheetData sheetId="3835"/>
      <sheetData sheetId="3836"/>
      <sheetData sheetId="3837"/>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sheetData sheetId="3895"/>
      <sheetData sheetId="3896"/>
      <sheetData sheetId="3897"/>
      <sheetData sheetId="3898" refreshError="1"/>
      <sheetData sheetId="3899" refreshError="1"/>
      <sheetData sheetId="3900" refreshError="1"/>
      <sheetData sheetId="3901" refreshError="1"/>
      <sheetData sheetId="3902" refreshError="1"/>
      <sheetData sheetId="3903"/>
      <sheetData sheetId="3904"/>
      <sheetData sheetId="3905"/>
      <sheetData sheetId="3906"/>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sheetData sheetId="3919" refreshError="1"/>
      <sheetData sheetId="3920">
        <row r="9">
          <cell r="A9" t="str">
            <v>A</v>
          </cell>
        </row>
      </sheetData>
      <sheetData sheetId="3921" refreshError="1"/>
      <sheetData sheetId="3922" refreshError="1"/>
      <sheetData sheetId="3923" refreshError="1"/>
      <sheetData sheetId="3924" refreshError="1"/>
      <sheetData sheetId="3925" refreshError="1"/>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ow r="9">
          <cell r="A9" t="str">
            <v>A</v>
          </cell>
        </row>
      </sheetData>
      <sheetData sheetId="3975" refreshError="1"/>
      <sheetData sheetId="3976">
        <row r="9">
          <cell r="A9" t="str">
            <v>A</v>
          </cell>
        </row>
      </sheetData>
      <sheetData sheetId="3977" refreshError="1"/>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sheetData sheetId="3987"/>
      <sheetData sheetId="3988">
        <row r="9">
          <cell r="A9" t="str">
            <v>A</v>
          </cell>
        </row>
      </sheetData>
      <sheetData sheetId="3989">
        <row r="9">
          <cell r="A9" t="str">
            <v>A</v>
          </cell>
        </row>
      </sheetData>
      <sheetData sheetId="3990">
        <row r="9">
          <cell r="A9" t="str">
            <v>A</v>
          </cell>
        </row>
      </sheetData>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sheetData sheetId="4038"/>
      <sheetData sheetId="4039"/>
      <sheetData sheetId="4040"/>
      <sheetData sheetId="4041"/>
      <sheetData sheetId="4042"/>
      <sheetData sheetId="4043"/>
      <sheetData sheetId="4044">
        <row r="9">
          <cell r="A9" t="str">
            <v>A</v>
          </cell>
        </row>
      </sheetData>
      <sheetData sheetId="4045"/>
      <sheetData sheetId="4046"/>
      <sheetData sheetId="4047"/>
      <sheetData sheetId="4048"/>
      <sheetData sheetId="4049"/>
      <sheetData sheetId="4050">
        <row r="9">
          <cell r="A9" t="str">
            <v>A</v>
          </cell>
        </row>
      </sheetData>
      <sheetData sheetId="4051" refreshError="1"/>
      <sheetData sheetId="4052" refreshError="1"/>
      <sheetData sheetId="4053" refreshError="1"/>
      <sheetData sheetId="4054" refreshError="1"/>
      <sheetData sheetId="4055" refreshError="1"/>
      <sheetData sheetId="4056"/>
      <sheetData sheetId="4057"/>
      <sheetData sheetId="4058"/>
      <sheetData sheetId="4059"/>
      <sheetData sheetId="4060"/>
      <sheetData sheetId="4061"/>
      <sheetData sheetId="4062"/>
      <sheetData sheetId="4063" refreshError="1"/>
      <sheetData sheetId="4064"/>
      <sheetData sheetId="4065"/>
      <sheetData sheetId="4066"/>
      <sheetData sheetId="4067"/>
      <sheetData sheetId="4068"/>
      <sheetData sheetId="4069"/>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row r="9">
          <cell r="A9" t="str">
            <v>A</v>
          </cell>
        </row>
      </sheetData>
      <sheetData sheetId="4336">
        <row r="9">
          <cell r="A9" t="str">
            <v>A</v>
          </cell>
        </row>
      </sheetData>
      <sheetData sheetId="4337">
        <row r="9">
          <cell r="A9" t="str">
            <v>A</v>
          </cell>
        </row>
      </sheetData>
      <sheetData sheetId="4338"/>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efreshError="1"/>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sheetData sheetId="4616">
        <row r="9">
          <cell r="A9" t="str">
            <v>A</v>
          </cell>
        </row>
      </sheetData>
      <sheetData sheetId="4617"/>
      <sheetData sheetId="4618"/>
      <sheetData sheetId="4619"/>
      <sheetData sheetId="4620">
        <row r="9">
          <cell r="A9" t="str">
            <v>A</v>
          </cell>
        </row>
      </sheetData>
      <sheetData sheetId="4621"/>
      <sheetData sheetId="4622">
        <row r="9">
          <cell r="A9" t="str">
            <v>A</v>
          </cell>
        </row>
      </sheetData>
      <sheetData sheetId="4623"/>
      <sheetData sheetId="4624"/>
      <sheetData sheetId="4625"/>
      <sheetData sheetId="4626">
        <row r="9">
          <cell r="A9" t="str">
            <v>A</v>
          </cell>
        </row>
      </sheetData>
      <sheetData sheetId="4627" refreshError="1"/>
      <sheetData sheetId="4628">
        <row r="9">
          <cell r="A9" t="str">
            <v>A</v>
          </cell>
        </row>
      </sheetData>
      <sheetData sheetId="4629" refreshError="1"/>
      <sheetData sheetId="4630" refreshError="1"/>
      <sheetData sheetId="4631" refreshError="1"/>
      <sheetData sheetId="4632"/>
      <sheetData sheetId="4633" refreshError="1"/>
      <sheetData sheetId="4634"/>
      <sheetData sheetId="4635" refreshError="1"/>
      <sheetData sheetId="4636"/>
      <sheetData sheetId="4637"/>
      <sheetData sheetId="4638"/>
      <sheetData sheetId="4639"/>
      <sheetData sheetId="4640"/>
      <sheetData sheetId="464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refreshError="1"/>
      <sheetData sheetId="4688" refreshError="1"/>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sheetData sheetId="4715"/>
      <sheetData sheetId="4716"/>
      <sheetData sheetId="4717"/>
      <sheetData sheetId="4718">
        <row r="9">
          <cell r="A9" t="str">
            <v>A</v>
          </cell>
        </row>
      </sheetData>
      <sheetData sheetId="4719"/>
      <sheetData sheetId="4720"/>
      <sheetData sheetId="4721"/>
      <sheetData sheetId="4722"/>
      <sheetData sheetId="4723"/>
      <sheetData sheetId="4724">
        <row r="9">
          <cell r="A9" t="str">
            <v>A</v>
          </cell>
        </row>
      </sheetData>
      <sheetData sheetId="4725" refreshError="1"/>
      <sheetData sheetId="4726" refreshError="1"/>
      <sheetData sheetId="4727" refreshError="1"/>
      <sheetData sheetId="4728" refreshError="1"/>
      <sheetData sheetId="4729" refreshError="1"/>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efreshError="1"/>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refreshError="1"/>
      <sheetData sheetId="5758" refreshError="1"/>
      <sheetData sheetId="5759" refreshError="1"/>
      <sheetData sheetId="5760" refreshError="1"/>
      <sheetData sheetId="5761" refreshError="1"/>
      <sheetData sheetId="5762" refreshError="1"/>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efreshError="1"/>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refreshError="1"/>
      <sheetData sheetId="6114" refreshError="1"/>
      <sheetData sheetId="6115" refreshError="1"/>
      <sheetData sheetId="6116" refreshError="1"/>
      <sheetData sheetId="6117" refreshError="1"/>
      <sheetData sheetId="6118" refreshError="1"/>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sheetData sheetId="7589"/>
      <sheetData sheetId="7590">
        <row r="9">
          <cell r="A9" t="str">
            <v>A</v>
          </cell>
        </row>
      </sheetData>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refreshError="1"/>
      <sheetData sheetId="7606" refreshError="1"/>
      <sheetData sheetId="7607"/>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sheetData sheetId="7617"/>
      <sheetData sheetId="7618"/>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sheetData sheetId="7686"/>
      <sheetData sheetId="7687"/>
      <sheetData sheetId="7688"/>
      <sheetData sheetId="7689" refreshError="1"/>
      <sheetData sheetId="7690" refreshError="1"/>
      <sheetData sheetId="7691"/>
      <sheetData sheetId="7692"/>
      <sheetData sheetId="7693"/>
      <sheetData sheetId="7694"/>
      <sheetData sheetId="7695" refreshError="1"/>
      <sheetData sheetId="7696"/>
      <sheetData sheetId="7697"/>
      <sheetData sheetId="7698"/>
      <sheetData sheetId="7699"/>
      <sheetData sheetId="7700"/>
      <sheetData sheetId="7701"/>
      <sheetData sheetId="7702"/>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refreshError="1"/>
      <sheetData sheetId="7728" refreshError="1"/>
      <sheetData sheetId="7729" refreshError="1"/>
      <sheetData sheetId="7730" refreshError="1"/>
      <sheetData sheetId="773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sheetData sheetId="7741"/>
      <sheetData sheetId="7742"/>
      <sheetData sheetId="7743"/>
      <sheetData sheetId="7744"/>
      <sheetData sheetId="7745"/>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sheetData sheetId="7757">
        <row r="9">
          <cell r="A9" t="str">
            <v>A</v>
          </cell>
        </row>
      </sheetData>
      <sheetData sheetId="7758">
        <row r="9">
          <cell r="A9" t="str">
            <v>A</v>
          </cell>
        </row>
      </sheetData>
      <sheetData sheetId="7759">
        <row r="9">
          <cell r="A9" t="str">
            <v>A</v>
          </cell>
        </row>
      </sheetData>
      <sheetData sheetId="7760"/>
      <sheetData sheetId="7761"/>
      <sheetData sheetId="7762"/>
      <sheetData sheetId="7763"/>
      <sheetData sheetId="7764"/>
      <sheetData sheetId="7765"/>
      <sheetData sheetId="7766"/>
      <sheetData sheetId="7767"/>
      <sheetData sheetId="7768"/>
      <sheetData sheetId="7769"/>
      <sheetData sheetId="7770"/>
      <sheetData sheetId="7771" refreshError="1"/>
      <sheetData sheetId="7772" refreshError="1"/>
      <sheetData sheetId="7773"/>
      <sheetData sheetId="7774"/>
      <sheetData sheetId="7775"/>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sheetData sheetId="7790"/>
      <sheetData sheetId="7791"/>
      <sheetData sheetId="7792"/>
      <sheetData sheetId="7793"/>
      <sheetData sheetId="7794"/>
      <sheetData sheetId="7795"/>
      <sheetData sheetId="7796"/>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efreshError="1"/>
      <sheetData sheetId="7829">
        <row r="9">
          <cell r="A9" t="str">
            <v>A</v>
          </cell>
        </row>
      </sheetData>
      <sheetData sheetId="7830">
        <row r="9">
          <cell r="A9" t="str">
            <v>A</v>
          </cell>
        </row>
      </sheetData>
      <sheetData sheetId="7831"/>
      <sheetData sheetId="7832"/>
      <sheetData sheetId="7833"/>
      <sheetData sheetId="7834"/>
      <sheetData sheetId="7835">
        <row r="9">
          <cell r="A9" t="str">
            <v>A</v>
          </cell>
        </row>
      </sheetData>
      <sheetData sheetId="7836">
        <row r="9">
          <cell r="A9" t="str">
            <v>A</v>
          </cell>
        </row>
      </sheetData>
      <sheetData sheetId="7837">
        <row r="9">
          <cell r="A9" t="str">
            <v>A</v>
          </cell>
        </row>
      </sheetData>
      <sheetData sheetId="7838"/>
      <sheetData sheetId="7839"/>
      <sheetData sheetId="7840"/>
      <sheetData sheetId="7841"/>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sheetData sheetId="7847"/>
      <sheetData sheetId="7848"/>
      <sheetData sheetId="7849"/>
      <sheetData sheetId="7850"/>
      <sheetData sheetId="7851" refreshError="1"/>
      <sheetData sheetId="7852" refreshError="1"/>
      <sheetData sheetId="7853"/>
      <sheetData sheetId="7854" refreshError="1"/>
      <sheetData sheetId="7855" refreshError="1"/>
      <sheetData sheetId="7856" refreshError="1"/>
      <sheetData sheetId="7857" refreshError="1"/>
      <sheetData sheetId="7858"/>
      <sheetData sheetId="7859" refreshError="1"/>
      <sheetData sheetId="7860" refreshError="1"/>
      <sheetData sheetId="7861"/>
      <sheetData sheetId="7862" refreshError="1"/>
      <sheetData sheetId="7863"/>
      <sheetData sheetId="7864"/>
      <sheetData sheetId="7865"/>
      <sheetData sheetId="7866"/>
      <sheetData sheetId="7867" refreshError="1"/>
      <sheetData sheetId="7868" refreshError="1"/>
      <sheetData sheetId="7869"/>
      <sheetData sheetId="7870" refreshError="1"/>
      <sheetData sheetId="787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sheetData sheetId="7909"/>
      <sheetData sheetId="7910"/>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sheetData sheetId="7917"/>
      <sheetData sheetId="7918"/>
      <sheetData sheetId="7919">
        <row r="9">
          <cell r="A9" t="str">
            <v>A</v>
          </cell>
        </row>
      </sheetData>
      <sheetData sheetId="7920"/>
      <sheetData sheetId="7921"/>
      <sheetData sheetId="7922">
        <row r="9">
          <cell r="A9" t="str">
            <v>A</v>
          </cell>
        </row>
      </sheetData>
      <sheetData sheetId="7923"/>
      <sheetData sheetId="7924" refreshError="1"/>
      <sheetData sheetId="7925" refreshError="1"/>
      <sheetData sheetId="7926" refreshError="1"/>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refreshError="1"/>
      <sheetData sheetId="7942"/>
      <sheetData sheetId="7943" refreshError="1"/>
      <sheetData sheetId="7944" refreshError="1"/>
      <sheetData sheetId="7945"/>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sheetData sheetId="7969"/>
      <sheetData sheetId="7970" refreshError="1"/>
      <sheetData sheetId="7971"/>
      <sheetData sheetId="7972"/>
      <sheetData sheetId="7973"/>
      <sheetData sheetId="7974"/>
      <sheetData sheetId="7975"/>
      <sheetData sheetId="7976"/>
      <sheetData sheetId="7977"/>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ow r="9">
          <cell r="A9" t="str">
            <v>A</v>
          </cell>
        </row>
      </sheetData>
      <sheetData sheetId="7986">
        <row r="9">
          <cell r="A9" t="str">
            <v>A</v>
          </cell>
        </row>
      </sheetData>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refreshError="1"/>
      <sheetData sheetId="8001"/>
      <sheetData sheetId="8002"/>
      <sheetData sheetId="8003"/>
      <sheetData sheetId="8004"/>
      <sheetData sheetId="8005"/>
      <sheetData sheetId="8006"/>
      <sheetData sheetId="8007"/>
      <sheetData sheetId="8008"/>
      <sheetData sheetId="8009"/>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sheetData sheetId="8034"/>
      <sheetData sheetId="8035" refreshError="1"/>
      <sheetData sheetId="8036" refreshError="1"/>
      <sheetData sheetId="8037"/>
      <sheetData sheetId="8038"/>
      <sheetData sheetId="8039"/>
      <sheetData sheetId="8040"/>
      <sheetData sheetId="8041" refreshError="1"/>
      <sheetData sheetId="8042" refreshError="1"/>
      <sheetData sheetId="8043" refreshError="1"/>
      <sheetData sheetId="8044" refreshError="1"/>
      <sheetData sheetId="8045" refreshError="1"/>
      <sheetData sheetId="8046"/>
      <sheetData sheetId="8047"/>
      <sheetData sheetId="8048"/>
      <sheetData sheetId="8049"/>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sheetData sheetId="8071"/>
      <sheetData sheetId="8072"/>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sheetData sheetId="8148"/>
      <sheetData sheetId="8149"/>
      <sheetData sheetId="8150">
        <row r="9">
          <cell r="A9" t="str">
            <v>A</v>
          </cell>
        </row>
      </sheetData>
      <sheetData sheetId="8151">
        <row r="9">
          <cell r="A9" t="str">
            <v>A</v>
          </cell>
        </row>
      </sheetData>
      <sheetData sheetId="8152">
        <row r="9">
          <cell r="A9" t="str">
            <v>A</v>
          </cell>
        </row>
      </sheetData>
      <sheetData sheetId="8153"/>
      <sheetData sheetId="8154">
        <row r="9">
          <cell r="A9" t="str">
            <v>A</v>
          </cell>
        </row>
      </sheetData>
      <sheetData sheetId="8155"/>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sheetData sheetId="8312"/>
      <sheetData sheetId="8313"/>
      <sheetData sheetId="8314">
        <row r="9">
          <cell r="A9" t="str">
            <v>A</v>
          </cell>
        </row>
      </sheetData>
      <sheetData sheetId="8315">
        <row r="9">
          <cell r="A9" t="str">
            <v>A</v>
          </cell>
        </row>
      </sheetData>
      <sheetData sheetId="8316"/>
      <sheetData sheetId="8317"/>
      <sheetData sheetId="8318"/>
      <sheetData sheetId="8319"/>
      <sheetData sheetId="8320"/>
      <sheetData sheetId="8321"/>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efreshError="1"/>
      <sheetData sheetId="8349"/>
      <sheetData sheetId="8350"/>
      <sheetData sheetId="8351"/>
      <sheetData sheetId="8352"/>
      <sheetData sheetId="8353"/>
      <sheetData sheetId="8354"/>
      <sheetData sheetId="8355"/>
      <sheetData sheetId="8356" refreshError="1"/>
      <sheetData sheetId="8357"/>
      <sheetData sheetId="8358"/>
      <sheetData sheetId="8359"/>
      <sheetData sheetId="8360"/>
      <sheetData sheetId="8361"/>
      <sheetData sheetId="8362"/>
      <sheetData sheetId="8363"/>
      <sheetData sheetId="8364" refreshError="1"/>
      <sheetData sheetId="8365"/>
      <sheetData sheetId="8366"/>
      <sheetData sheetId="8367"/>
      <sheetData sheetId="8368"/>
      <sheetData sheetId="8369"/>
      <sheetData sheetId="8370"/>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sheetData sheetId="8386"/>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efreshError="1"/>
      <sheetData sheetId="8392" refreshError="1"/>
      <sheetData sheetId="8393" refreshError="1"/>
      <sheetData sheetId="8394" refreshError="1"/>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ow r="9">
          <cell r="A9" t="str">
            <v>A</v>
          </cell>
        </row>
      </sheetData>
      <sheetData sheetId="8429" refreshError="1"/>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sheetData sheetId="8778"/>
      <sheetData sheetId="8779"/>
      <sheetData sheetId="8780"/>
      <sheetData sheetId="8781"/>
      <sheetData sheetId="8782">
        <row r="9">
          <cell r="A9" t="str">
            <v>A</v>
          </cell>
        </row>
      </sheetData>
      <sheetData sheetId="8783">
        <row r="9">
          <cell r="A9" t="str">
            <v>A</v>
          </cell>
        </row>
      </sheetData>
      <sheetData sheetId="8784"/>
      <sheetData sheetId="8785"/>
      <sheetData sheetId="8786"/>
      <sheetData sheetId="8787"/>
      <sheetData sheetId="8788"/>
      <sheetData sheetId="8789"/>
      <sheetData sheetId="8790">
        <row r="9">
          <cell r="A9" t="str">
            <v>A</v>
          </cell>
        </row>
      </sheetData>
      <sheetData sheetId="8791">
        <row r="9">
          <cell r="A9" t="str">
            <v>A</v>
          </cell>
        </row>
      </sheetData>
      <sheetData sheetId="8792"/>
      <sheetData sheetId="8793" refreshError="1"/>
      <sheetData sheetId="8794" refreshError="1"/>
      <sheetData sheetId="8795" refreshError="1"/>
      <sheetData sheetId="8796" refreshError="1"/>
      <sheetData sheetId="8797" refreshError="1"/>
      <sheetData sheetId="8798">
        <row r="9">
          <cell r="A9" t="str">
            <v>A</v>
          </cell>
        </row>
      </sheetData>
      <sheetData sheetId="8799">
        <row r="9">
          <cell r="A9" t="str">
            <v>A</v>
          </cell>
        </row>
      </sheetData>
      <sheetData sheetId="8800" refreshError="1"/>
      <sheetData sheetId="8801" refreshError="1"/>
      <sheetData sheetId="8802" refreshError="1"/>
      <sheetData sheetId="8803" refreshError="1"/>
      <sheetData sheetId="8804"/>
      <sheetData sheetId="8805"/>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efreshError="1"/>
      <sheetData sheetId="8813" refreshError="1"/>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sheetData sheetId="8839"/>
      <sheetData sheetId="8840"/>
      <sheetData sheetId="8841">
        <row r="9">
          <cell r="A9" t="str">
            <v>A</v>
          </cell>
        </row>
      </sheetData>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sheetData sheetId="8873"/>
      <sheetData sheetId="8874"/>
      <sheetData sheetId="8875"/>
      <sheetData sheetId="8876"/>
      <sheetData sheetId="8877"/>
      <sheetData sheetId="8878"/>
      <sheetData sheetId="8879"/>
      <sheetData sheetId="8880"/>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sheetData sheetId="8907"/>
      <sheetData sheetId="8908"/>
      <sheetData sheetId="8909"/>
      <sheetData sheetId="8910">
        <row r="9">
          <cell r="A9" t="str">
            <v>A</v>
          </cell>
        </row>
      </sheetData>
      <sheetData sheetId="8911">
        <row r="9">
          <cell r="A9" t="str">
            <v>A</v>
          </cell>
        </row>
      </sheetData>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refreshError="1"/>
      <sheetData sheetId="8934" refreshError="1"/>
      <sheetData sheetId="8935" refreshError="1"/>
      <sheetData sheetId="8936"/>
      <sheetData sheetId="8937" refreshError="1"/>
      <sheetData sheetId="8938" refreshError="1"/>
      <sheetData sheetId="8939" refreshError="1"/>
      <sheetData sheetId="8940" refreshError="1"/>
      <sheetData sheetId="8941" refreshError="1"/>
      <sheetData sheetId="8942" refreshError="1"/>
      <sheetData sheetId="8943" refreshError="1"/>
      <sheetData sheetId="8944"/>
      <sheetData sheetId="8945" refreshError="1"/>
      <sheetData sheetId="8946" refreshError="1"/>
      <sheetData sheetId="8947" refreshError="1"/>
      <sheetData sheetId="8948" refreshError="1"/>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refreshError="1"/>
      <sheetData sheetId="897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ow r="9">
          <cell r="A9" t="str">
            <v>A</v>
          </cell>
        </row>
      </sheetData>
      <sheetData sheetId="9013" refreshError="1"/>
      <sheetData sheetId="9014"/>
      <sheetData sheetId="9015" refreshError="1"/>
      <sheetData sheetId="9016"/>
      <sheetData sheetId="9017"/>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efreshError="1"/>
      <sheetData sheetId="9024" refreshError="1"/>
      <sheetData sheetId="9025" refreshError="1"/>
      <sheetData sheetId="9026" refreshError="1"/>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sheetData sheetId="9410"/>
      <sheetData sheetId="9411" refreshError="1"/>
      <sheetData sheetId="9412"/>
      <sheetData sheetId="9413">
        <row r="9">
          <cell r="A9" t="str">
            <v>A</v>
          </cell>
        </row>
      </sheetData>
      <sheetData sheetId="9414">
        <row r="9">
          <cell r="A9" t="str">
            <v>A</v>
          </cell>
        </row>
      </sheetData>
      <sheetData sheetId="9415">
        <row r="9">
          <cell r="A9" t="str">
            <v>A</v>
          </cell>
        </row>
      </sheetData>
      <sheetData sheetId="9416" refreshError="1"/>
      <sheetData sheetId="9417"/>
      <sheetData sheetId="9418" refreshError="1"/>
      <sheetData sheetId="9419" refreshError="1"/>
      <sheetData sheetId="9420">
        <row r="9">
          <cell r="A9" t="str">
            <v>A</v>
          </cell>
        </row>
      </sheetData>
      <sheetData sheetId="9421" refreshError="1"/>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efreshError="1"/>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sheetData sheetId="9511">
        <row r="9">
          <cell r="A9" t="str">
            <v>A</v>
          </cell>
        </row>
      </sheetData>
      <sheetData sheetId="9512">
        <row r="9">
          <cell r="A9" t="str">
            <v>A</v>
          </cell>
        </row>
      </sheetData>
      <sheetData sheetId="9513"/>
      <sheetData sheetId="9514">
        <row r="9">
          <cell r="A9" t="str">
            <v>A</v>
          </cell>
        </row>
      </sheetData>
      <sheetData sheetId="9515">
        <row r="9">
          <cell r="A9" t="str">
            <v>A</v>
          </cell>
        </row>
      </sheetData>
      <sheetData sheetId="9516">
        <row r="9">
          <cell r="A9" t="str">
            <v>A</v>
          </cell>
        </row>
      </sheetData>
      <sheetData sheetId="9517"/>
      <sheetData sheetId="9518">
        <row r="9">
          <cell r="A9" t="str">
            <v>A</v>
          </cell>
        </row>
      </sheetData>
      <sheetData sheetId="9519">
        <row r="9">
          <cell r="A9" t="str">
            <v>A</v>
          </cell>
        </row>
      </sheetData>
      <sheetData sheetId="9520" refreshError="1"/>
      <sheetData sheetId="9521">
        <row r="9">
          <cell r="A9" t="str">
            <v>A</v>
          </cell>
        </row>
      </sheetData>
      <sheetData sheetId="9522">
        <row r="9">
          <cell r="A9" t="str">
            <v>A</v>
          </cell>
        </row>
      </sheetData>
      <sheetData sheetId="9523"/>
      <sheetData sheetId="9524">
        <row r="9">
          <cell r="A9" t="str">
            <v>A</v>
          </cell>
        </row>
      </sheetData>
      <sheetData sheetId="9525">
        <row r="9">
          <cell r="A9" t="str">
            <v>A</v>
          </cell>
        </row>
      </sheetData>
      <sheetData sheetId="9526"/>
      <sheetData sheetId="9527" refreshError="1"/>
      <sheetData sheetId="9528"/>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sheetData sheetId="9534">
        <row r="9">
          <cell r="A9" t="str">
            <v>A</v>
          </cell>
        </row>
      </sheetData>
      <sheetData sheetId="9535">
        <row r="9">
          <cell r="A9" t="str">
            <v>A</v>
          </cell>
        </row>
      </sheetData>
      <sheetData sheetId="9536"/>
      <sheetData sheetId="9537"/>
      <sheetData sheetId="9538"/>
      <sheetData sheetId="9539"/>
      <sheetData sheetId="9540"/>
      <sheetData sheetId="9541"/>
      <sheetData sheetId="9542"/>
      <sheetData sheetId="9543" refreshError="1"/>
      <sheetData sheetId="9544">
        <row r="9">
          <cell r="A9" t="str">
            <v>A</v>
          </cell>
        </row>
      </sheetData>
      <sheetData sheetId="9545">
        <row r="9">
          <cell r="A9" t="str">
            <v>A</v>
          </cell>
        </row>
      </sheetData>
      <sheetData sheetId="9546" refreshError="1"/>
      <sheetData sheetId="9547" refreshError="1"/>
      <sheetData sheetId="9548"/>
      <sheetData sheetId="9549"/>
      <sheetData sheetId="9550"/>
      <sheetData sheetId="9551"/>
      <sheetData sheetId="9552"/>
      <sheetData sheetId="9553"/>
      <sheetData sheetId="9554"/>
      <sheetData sheetId="9555"/>
      <sheetData sheetId="9556"/>
      <sheetData sheetId="9557" refreshError="1"/>
      <sheetData sheetId="9558" refreshError="1"/>
      <sheetData sheetId="9559" refreshError="1"/>
      <sheetData sheetId="9560" refreshError="1"/>
      <sheetData sheetId="9561" refreshError="1"/>
      <sheetData sheetId="9562" refreshError="1"/>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sheetData sheetId="9969">
        <row r="9">
          <cell r="A9" t="str">
            <v>A</v>
          </cell>
        </row>
      </sheetData>
      <sheetData sheetId="9970">
        <row r="9">
          <cell r="A9" t="str">
            <v>A</v>
          </cell>
        </row>
      </sheetData>
      <sheetData sheetId="9971">
        <row r="9">
          <cell r="A9" t="str">
            <v>A</v>
          </cell>
        </row>
      </sheetData>
      <sheetData sheetId="9972"/>
      <sheetData sheetId="9973"/>
      <sheetData sheetId="9974">
        <row r="9">
          <cell r="A9" t="str">
            <v>A</v>
          </cell>
        </row>
      </sheetData>
      <sheetData sheetId="9975">
        <row r="9">
          <cell r="A9" t="str">
            <v>A</v>
          </cell>
        </row>
      </sheetData>
      <sheetData sheetId="9976">
        <row r="9">
          <cell r="A9" t="str">
            <v>A</v>
          </cell>
        </row>
      </sheetData>
      <sheetData sheetId="9977"/>
      <sheetData sheetId="9978">
        <row r="9">
          <cell r="A9" t="str">
            <v>A</v>
          </cell>
        </row>
      </sheetData>
      <sheetData sheetId="9979">
        <row r="9">
          <cell r="A9" t="str">
            <v>A</v>
          </cell>
        </row>
      </sheetData>
      <sheetData sheetId="9980">
        <row r="9">
          <cell r="A9" t="str">
            <v>A</v>
          </cell>
        </row>
      </sheetData>
      <sheetData sheetId="9981"/>
      <sheetData sheetId="9982"/>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sheetData sheetId="9988">
        <row r="9">
          <cell r="A9" t="str">
            <v>A</v>
          </cell>
        </row>
      </sheetData>
      <sheetData sheetId="9989">
        <row r="9">
          <cell r="A9" t="str">
            <v>A</v>
          </cell>
        </row>
      </sheetData>
      <sheetData sheetId="9990">
        <row r="9">
          <cell r="A9" t="str">
            <v>A</v>
          </cell>
        </row>
      </sheetData>
      <sheetData sheetId="9991"/>
      <sheetData sheetId="9992"/>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efreshError="1"/>
      <sheetData sheetId="9998">
        <row r="9">
          <cell r="A9" t="str">
            <v>A</v>
          </cell>
        </row>
      </sheetData>
      <sheetData sheetId="9999">
        <row r="9">
          <cell r="A9" t="str">
            <v>A</v>
          </cell>
        </row>
      </sheetData>
      <sheetData sheetId="10000">
        <row r="9">
          <cell r="A9" t="str">
            <v>A</v>
          </cell>
        </row>
      </sheetData>
      <sheetData sheetId="10001" refreshError="1"/>
      <sheetData sheetId="10002" refreshError="1"/>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sheetData sheetId="10504">
        <row r="9">
          <cell r="A9" t="str">
            <v>A</v>
          </cell>
        </row>
      </sheetData>
      <sheetData sheetId="10505">
        <row r="9">
          <cell r="A9" t="str">
            <v>A</v>
          </cell>
        </row>
      </sheetData>
      <sheetData sheetId="10506">
        <row r="9">
          <cell r="A9" t="str">
            <v>A</v>
          </cell>
        </row>
      </sheetData>
      <sheetData sheetId="10507"/>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efreshError="1"/>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efreshError="1"/>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sheetData sheetId="10674"/>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sheetData sheetId="10683"/>
      <sheetData sheetId="10684">
        <row r="9">
          <cell r="A9" t="str">
            <v>A</v>
          </cell>
        </row>
      </sheetData>
      <sheetData sheetId="10685">
        <row r="9">
          <cell r="A9" t="str">
            <v>A</v>
          </cell>
        </row>
      </sheetData>
      <sheetData sheetId="10686">
        <row r="9">
          <cell r="A9" t="str">
            <v>A</v>
          </cell>
        </row>
      </sheetData>
      <sheetData sheetId="10687"/>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sheetData sheetId="10693"/>
      <sheetData sheetId="10694">
        <row r="9">
          <cell r="A9" t="str">
            <v>A</v>
          </cell>
        </row>
      </sheetData>
      <sheetData sheetId="10695">
        <row r="9">
          <cell r="A9" t="str">
            <v>A</v>
          </cell>
        </row>
      </sheetData>
      <sheetData sheetId="10696"/>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efreshError="1"/>
      <sheetData sheetId="10703" refreshError="1"/>
      <sheetData sheetId="10704">
        <row r="9">
          <cell r="A9" t="str">
            <v>A</v>
          </cell>
        </row>
      </sheetData>
      <sheetData sheetId="10705">
        <row r="9">
          <cell r="A9" t="str">
            <v>A</v>
          </cell>
        </row>
      </sheetData>
      <sheetData sheetId="10706"/>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efreshError="1"/>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sheetData sheetId="10775"/>
      <sheetData sheetId="10776"/>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sheetData sheetId="10790"/>
      <sheetData sheetId="10791"/>
      <sheetData sheetId="10792"/>
      <sheetData sheetId="10793"/>
      <sheetData sheetId="10794"/>
      <sheetData sheetId="10795">
        <row r="9">
          <cell r="A9" t="str">
            <v>A</v>
          </cell>
        </row>
      </sheetData>
      <sheetData sheetId="10796"/>
      <sheetData sheetId="10797">
        <row r="9">
          <cell r="A9" t="str">
            <v>A</v>
          </cell>
        </row>
      </sheetData>
      <sheetData sheetId="10798">
        <row r="9">
          <cell r="A9" t="str">
            <v>A</v>
          </cell>
        </row>
      </sheetData>
      <sheetData sheetId="10799"/>
      <sheetData sheetId="10800"/>
      <sheetData sheetId="10801"/>
      <sheetData sheetId="10802"/>
      <sheetData sheetId="10803"/>
      <sheetData sheetId="10804"/>
      <sheetData sheetId="10805"/>
      <sheetData sheetId="10806"/>
      <sheetData sheetId="10807">
        <row r="9">
          <cell r="A9" t="str">
            <v>A</v>
          </cell>
        </row>
      </sheetData>
      <sheetData sheetId="10808">
        <row r="9">
          <cell r="A9" t="str">
            <v>A</v>
          </cell>
        </row>
      </sheetData>
      <sheetData sheetId="10809" refreshError="1"/>
      <sheetData sheetId="10810" refreshError="1"/>
      <sheetData sheetId="10811" refreshError="1"/>
      <sheetData sheetId="10812" refreshError="1"/>
      <sheetData sheetId="10813" refreshError="1"/>
      <sheetData sheetId="10814"/>
      <sheetData sheetId="10815"/>
      <sheetData sheetId="10816" refreshError="1"/>
      <sheetData sheetId="10817"/>
      <sheetData sheetId="10818"/>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sheetData sheetId="10828"/>
      <sheetData sheetId="10829"/>
      <sheetData sheetId="10830"/>
      <sheetData sheetId="10831" refreshError="1"/>
      <sheetData sheetId="10832" refreshError="1"/>
      <sheetData sheetId="10833" refreshError="1"/>
      <sheetData sheetId="10834" refreshError="1"/>
      <sheetData sheetId="10835"/>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efreshError="1"/>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sheetData sheetId="10932"/>
      <sheetData sheetId="10933">
        <row r="9">
          <cell r="A9" t="str">
            <v>A</v>
          </cell>
        </row>
      </sheetData>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refreshError="1"/>
      <sheetData sheetId="10952" refreshError="1"/>
      <sheetData sheetId="10953"/>
      <sheetData sheetId="10954"/>
      <sheetData sheetId="10955"/>
      <sheetData sheetId="10956"/>
      <sheetData sheetId="10957"/>
      <sheetData sheetId="10958"/>
      <sheetData sheetId="10959"/>
      <sheetData sheetId="10960"/>
      <sheetData sheetId="10961"/>
      <sheetData sheetId="10962"/>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sheetData sheetId="11134"/>
      <sheetData sheetId="11135"/>
      <sheetData sheetId="11136"/>
      <sheetData sheetId="11137"/>
      <sheetData sheetId="11138"/>
      <sheetData sheetId="11139"/>
      <sheetData sheetId="11140"/>
      <sheetData sheetId="11141"/>
      <sheetData sheetId="11142"/>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sheetData sheetId="11156"/>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row r="9">
          <cell r="A9" t="str">
            <v>A</v>
          </cell>
        </row>
      </sheetData>
      <sheetData sheetId="11173">
        <row r="9">
          <cell r="A9" t="str">
            <v>A</v>
          </cell>
        </row>
      </sheetData>
      <sheetData sheetId="11174"/>
      <sheetData sheetId="11175"/>
      <sheetData sheetId="11176"/>
      <sheetData sheetId="11177"/>
      <sheetData sheetId="11178"/>
      <sheetData sheetId="11179"/>
      <sheetData sheetId="11180"/>
      <sheetData sheetId="11181"/>
      <sheetData sheetId="11182">
        <row r="9">
          <cell r="A9" t="str">
            <v>A</v>
          </cell>
        </row>
      </sheetData>
      <sheetData sheetId="11183">
        <row r="9">
          <cell r="A9" t="str">
            <v>A</v>
          </cell>
        </row>
      </sheetData>
      <sheetData sheetId="11184"/>
      <sheetData sheetId="11185"/>
      <sheetData sheetId="11186" refreshError="1"/>
      <sheetData sheetId="11187" refreshError="1"/>
      <sheetData sheetId="11188" refreshError="1"/>
      <sheetData sheetId="11189" refreshError="1"/>
      <sheetData sheetId="11190" refreshError="1"/>
      <sheetData sheetId="11191" refreshError="1"/>
      <sheetData sheetId="11192">
        <row r="9">
          <cell r="A9" t="str">
            <v>A</v>
          </cell>
        </row>
      </sheetData>
      <sheetData sheetId="11193">
        <row r="9">
          <cell r="A9" t="str">
            <v>A</v>
          </cell>
        </row>
      </sheetData>
      <sheetData sheetId="11194" refreshError="1"/>
      <sheetData sheetId="11195" refreshError="1"/>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efreshError="1"/>
      <sheetData sheetId="11201">
        <row r="9">
          <cell r="A9" t="str">
            <v>A</v>
          </cell>
        </row>
      </sheetData>
      <sheetData sheetId="11202"/>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sheetData sheetId="11213">
        <row r="9">
          <cell r="A9" t="str">
            <v>A</v>
          </cell>
        </row>
      </sheetData>
      <sheetData sheetId="11214">
        <row r="9">
          <cell r="A9" t="str">
            <v>A</v>
          </cell>
        </row>
      </sheetData>
      <sheetData sheetId="11215"/>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efreshError="1"/>
      <sheetData sheetId="11223">
        <row r="9">
          <cell r="A9" t="str">
            <v>A</v>
          </cell>
        </row>
      </sheetData>
      <sheetData sheetId="11224">
        <row r="9">
          <cell r="A9" t="str">
            <v>A</v>
          </cell>
        </row>
      </sheetData>
      <sheetData sheetId="11225"/>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efreshError="1"/>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sheetData sheetId="11284"/>
      <sheetData sheetId="11285">
        <row r="9">
          <cell r="A9" t="str">
            <v>A</v>
          </cell>
        </row>
      </sheetData>
      <sheetData sheetId="11286"/>
      <sheetData sheetId="11287">
        <row r="9">
          <cell r="A9" t="str">
            <v>A</v>
          </cell>
        </row>
      </sheetData>
      <sheetData sheetId="11288">
        <row r="9">
          <cell r="A9" t="str">
            <v>A</v>
          </cell>
        </row>
      </sheetData>
      <sheetData sheetId="11289">
        <row r="9">
          <cell r="A9" t="str">
            <v>A</v>
          </cell>
        </row>
      </sheetData>
      <sheetData sheetId="11290"/>
      <sheetData sheetId="11291">
        <row r="9">
          <cell r="A9" t="str">
            <v>A</v>
          </cell>
        </row>
      </sheetData>
      <sheetData sheetId="11292">
        <row r="9">
          <cell r="A9" t="str">
            <v>A</v>
          </cell>
        </row>
      </sheetData>
      <sheetData sheetId="11293"/>
      <sheetData sheetId="11294"/>
      <sheetData sheetId="11295"/>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sheetData sheetId="11301">
        <row r="9">
          <cell r="A9" t="str">
            <v>A</v>
          </cell>
        </row>
      </sheetData>
      <sheetData sheetId="11302">
        <row r="9">
          <cell r="A9" t="str">
            <v>A</v>
          </cell>
        </row>
      </sheetData>
      <sheetData sheetId="11303" refreshError="1"/>
      <sheetData sheetId="11304" refreshError="1"/>
      <sheetData sheetId="11305"/>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efreshError="1"/>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efreshError="1"/>
      <sheetData sheetId="11316"/>
      <sheetData sheetId="11317"/>
      <sheetData sheetId="11318"/>
      <sheetData sheetId="11319"/>
      <sheetData sheetId="11320">
        <row r="9">
          <cell r="A9" t="str">
            <v>A</v>
          </cell>
        </row>
      </sheetData>
      <sheetData sheetId="11321"/>
      <sheetData sheetId="11322">
        <row r="9">
          <cell r="A9" t="str">
            <v>A</v>
          </cell>
        </row>
      </sheetData>
      <sheetData sheetId="11323">
        <row r="9">
          <cell r="A9" t="str">
            <v>A</v>
          </cell>
        </row>
      </sheetData>
      <sheetData sheetId="11324"/>
      <sheetData sheetId="11325"/>
      <sheetData sheetId="11326"/>
      <sheetData sheetId="11327"/>
      <sheetData sheetId="11328"/>
      <sheetData sheetId="11329"/>
      <sheetData sheetId="11330">
        <row r="9">
          <cell r="A9" t="str">
            <v>A</v>
          </cell>
        </row>
      </sheetData>
      <sheetData sheetId="11331"/>
      <sheetData sheetId="11332">
        <row r="9">
          <cell r="A9" t="str">
            <v>A</v>
          </cell>
        </row>
      </sheetData>
      <sheetData sheetId="11333">
        <row r="9">
          <cell r="A9" t="str">
            <v>A</v>
          </cell>
        </row>
      </sheetData>
      <sheetData sheetId="11334"/>
      <sheetData sheetId="11335" refreshError="1"/>
      <sheetData sheetId="11336" refreshError="1"/>
      <sheetData sheetId="11337" refreshError="1"/>
      <sheetData sheetId="11338" refreshError="1"/>
      <sheetData sheetId="11339" refreshError="1"/>
      <sheetData sheetId="11340">
        <row r="9">
          <cell r="A9" t="str">
            <v>A</v>
          </cell>
        </row>
      </sheetData>
      <sheetData sheetId="11341" refreshError="1"/>
      <sheetData sheetId="11342">
        <row r="9">
          <cell r="A9" t="str">
            <v>A</v>
          </cell>
        </row>
      </sheetData>
      <sheetData sheetId="11343">
        <row r="9">
          <cell r="A9" t="str">
            <v>A</v>
          </cell>
        </row>
      </sheetData>
      <sheetData sheetId="11344" refreshError="1"/>
      <sheetData sheetId="11345" refreshError="1"/>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efreshError="1"/>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sheetData sheetId="11430"/>
      <sheetData sheetId="11431"/>
      <sheetData sheetId="11432"/>
      <sheetData sheetId="11433"/>
      <sheetData sheetId="11434"/>
      <sheetData sheetId="11435">
        <row r="9">
          <cell r="A9" t="str">
            <v>A</v>
          </cell>
        </row>
      </sheetData>
      <sheetData sheetId="11436"/>
      <sheetData sheetId="11437">
        <row r="9">
          <cell r="A9" t="str">
            <v>A</v>
          </cell>
        </row>
      </sheetData>
      <sheetData sheetId="11438"/>
      <sheetData sheetId="11439"/>
      <sheetData sheetId="11440"/>
      <sheetData sheetId="11441"/>
      <sheetData sheetId="11442"/>
      <sheetData sheetId="11443"/>
      <sheetData sheetId="11444"/>
      <sheetData sheetId="11445">
        <row r="9">
          <cell r="A9" t="str">
            <v>A</v>
          </cell>
        </row>
      </sheetData>
      <sheetData sheetId="11446"/>
      <sheetData sheetId="11447">
        <row r="9">
          <cell r="A9" t="str">
            <v>A</v>
          </cell>
        </row>
      </sheetData>
      <sheetData sheetId="11448"/>
      <sheetData sheetId="11449"/>
      <sheetData sheetId="11450"/>
      <sheetData sheetId="11451"/>
      <sheetData sheetId="11452"/>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sheetData sheetId="11465"/>
      <sheetData sheetId="11466"/>
      <sheetData sheetId="11467"/>
      <sheetData sheetId="11468"/>
      <sheetData sheetId="11469" refreshError="1"/>
      <sheetData sheetId="11470"/>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sheetData sheetId="11482"/>
      <sheetData sheetId="11483" refreshError="1"/>
      <sheetData sheetId="11484" refreshError="1"/>
      <sheetData sheetId="11485" refreshError="1"/>
      <sheetData sheetId="11486" refreshError="1"/>
      <sheetData sheetId="11487" refreshError="1"/>
      <sheetData sheetId="11488"/>
      <sheetData sheetId="11489"/>
      <sheetData sheetId="11490"/>
      <sheetData sheetId="1149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sheetData sheetId="11596"/>
      <sheetData sheetId="11597"/>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sheetData sheetId="11604">
        <row r="9">
          <cell r="A9" t="str">
            <v>A</v>
          </cell>
        </row>
      </sheetData>
      <sheetData sheetId="11605"/>
      <sheetData sheetId="11606"/>
      <sheetData sheetId="11607"/>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sheetData sheetId="11614">
        <row r="9">
          <cell r="A9" t="str">
            <v>A</v>
          </cell>
        </row>
      </sheetData>
      <sheetData sheetId="11615" refreshError="1"/>
      <sheetData sheetId="11616" refreshError="1"/>
      <sheetData sheetId="11617" refreshError="1"/>
      <sheetData sheetId="11618">
        <row r="9">
          <cell r="A9" t="str">
            <v>A</v>
          </cell>
        </row>
      </sheetData>
      <sheetData sheetId="11619">
        <row r="9">
          <cell r="A9" t="str">
            <v>A</v>
          </cell>
        </row>
      </sheetData>
      <sheetData sheetId="11620"/>
      <sheetData sheetId="11621">
        <row r="9">
          <cell r="A9" t="str">
            <v>A</v>
          </cell>
        </row>
      </sheetData>
      <sheetData sheetId="11622">
        <row r="9">
          <cell r="A9" t="str">
            <v>A</v>
          </cell>
        </row>
      </sheetData>
      <sheetData sheetId="11623" refreshError="1"/>
      <sheetData sheetId="11624">
        <row r="9">
          <cell r="A9" t="str">
            <v>A</v>
          </cell>
        </row>
      </sheetData>
      <sheetData sheetId="11625"/>
      <sheetData sheetId="11626" refreshError="1"/>
      <sheetData sheetId="11627">
        <row r="9">
          <cell r="A9" t="str">
            <v>A</v>
          </cell>
        </row>
      </sheetData>
      <sheetData sheetId="11628">
        <row r="9">
          <cell r="A9" t="str">
            <v>A</v>
          </cell>
        </row>
      </sheetData>
      <sheetData sheetId="11629"/>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sheetData sheetId="11636">
        <row r="9">
          <cell r="A9" t="str">
            <v>A</v>
          </cell>
        </row>
      </sheetData>
      <sheetData sheetId="11637">
        <row r="9">
          <cell r="A9" t="str">
            <v>A</v>
          </cell>
        </row>
      </sheetData>
      <sheetData sheetId="11638">
        <row r="9">
          <cell r="A9" t="str">
            <v>A</v>
          </cell>
        </row>
      </sheetData>
      <sheetData sheetId="11639"/>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efreshError="1"/>
      <sheetData sheetId="11646">
        <row r="9">
          <cell r="A9" t="str">
            <v>A</v>
          </cell>
        </row>
      </sheetData>
      <sheetData sheetId="11647">
        <row r="9">
          <cell r="A9" t="str">
            <v>A</v>
          </cell>
        </row>
      </sheetData>
      <sheetData sheetId="11648">
        <row r="9">
          <cell r="A9" t="str">
            <v>A</v>
          </cell>
        </row>
      </sheetData>
      <sheetData sheetId="11649" refreshError="1"/>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sheetData sheetId="12520"/>
      <sheetData sheetId="12521"/>
      <sheetData sheetId="12522"/>
      <sheetData sheetId="12523"/>
      <sheetData sheetId="12524"/>
      <sheetData sheetId="12525"/>
      <sheetData sheetId="12526"/>
      <sheetData sheetId="12527"/>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sheetData sheetId="12536"/>
      <sheetData sheetId="12537"/>
      <sheetData sheetId="12538"/>
      <sheetData sheetId="12539"/>
      <sheetData sheetId="12540"/>
      <sheetData sheetId="12541">
        <row r="9">
          <cell r="A9" t="str">
            <v>A</v>
          </cell>
        </row>
      </sheetData>
      <sheetData sheetId="12542">
        <row r="9">
          <cell r="A9" t="str">
            <v>A</v>
          </cell>
        </row>
      </sheetData>
      <sheetData sheetId="12543">
        <row r="9">
          <cell r="A9" t="str">
            <v>A</v>
          </cell>
        </row>
      </sheetData>
      <sheetData sheetId="12544"/>
      <sheetData sheetId="12545"/>
      <sheetData sheetId="12546"/>
      <sheetData sheetId="12547"/>
      <sheetData sheetId="12548"/>
      <sheetData sheetId="12549">
        <row r="9">
          <cell r="A9" t="str">
            <v>A</v>
          </cell>
        </row>
      </sheetData>
      <sheetData sheetId="12550"/>
      <sheetData sheetId="12551">
        <row r="9">
          <cell r="A9" t="str">
            <v>A</v>
          </cell>
        </row>
      </sheetData>
      <sheetData sheetId="12552">
        <row r="9">
          <cell r="A9" t="str">
            <v>A</v>
          </cell>
        </row>
      </sheetData>
      <sheetData sheetId="12553">
        <row r="9">
          <cell r="A9" t="str">
            <v>A</v>
          </cell>
        </row>
      </sheetData>
      <sheetData sheetId="12554"/>
      <sheetData sheetId="12555" refreshError="1"/>
      <sheetData sheetId="12556" refreshError="1"/>
      <sheetData sheetId="12557"/>
      <sheetData sheetId="12558"/>
      <sheetData sheetId="12559">
        <row r="9">
          <cell r="A9" t="str">
            <v>A</v>
          </cell>
        </row>
      </sheetData>
      <sheetData sheetId="12560" refreshError="1"/>
      <sheetData sheetId="12561">
        <row r="9">
          <cell r="A9" t="str">
            <v>A</v>
          </cell>
        </row>
      </sheetData>
      <sheetData sheetId="12562">
        <row r="9">
          <cell r="A9" t="str">
            <v>A</v>
          </cell>
        </row>
      </sheetData>
      <sheetData sheetId="12563">
        <row r="9">
          <cell r="A9" t="str">
            <v>A</v>
          </cell>
        </row>
      </sheetData>
      <sheetData sheetId="12564" refreshError="1"/>
      <sheetData sheetId="12565" refreshError="1"/>
      <sheetData sheetId="12566" refreshError="1"/>
      <sheetData sheetId="12567" refreshError="1"/>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sheetData sheetId="12576">
        <row r="9">
          <cell r="A9" t="str">
            <v>A</v>
          </cell>
        </row>
      </sheetData>
      <sheetData sheetId="12577">
        <row r="9">
          <cell r="A9" t="str">
            <v>A</v>
          </cell>
        </row>
      </sheetData>
      <sheetData sheetId="12578">
        <row r="9">
          <cell r="A9" t="str">
            <v>A</v>
          </cell>
        </row>
      </sheetData>
      <sheetData sheetId="12579"/>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efreshError="1"/>
      <sheetData sheetId="12586">
        <row r="9">
          <cell r="A9" t="str">
            <v>A</v>
          </cell>
        </row>
      </sheetData>
      <sheetData sheetId="12587">
        <row r="9">
          <cell r="A9" t="str">
            <v>A</v>
          </cell>
        </row>
      </sheetData>
      <sheetData sheetId="12588">
        <row r="9">
          <cell r="A9" t="str">
            <v>A</v>
          </cell>
        </row>
      </sheetData>
      <sheetData sheetId="12589"/>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efreshError="1"/>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sheetData sheetId="12646">
        <row r="9">
          <cell r="A9" t="str">
            <v>A</v>
          </cell>
        </row>
      </sheetData>
      <sheetData sheetId="12647">
        <row r="9">
          <cell r="A9" t="str">
            <v>A</v>
          </cell>
        </row>
      </sheetData>
      <sheetData sheetId="12648">
        <row r="9">
          <cell r="A9" t="str">
            <v>A</v>
          </cell>
        </row>
      </sheetData>
      <sheetData sheetId="12649"/>
      <sheetData sheetId="12650"/>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efreshError="1"/>
      <sheetData sheetId="12656">
        <row r="9">
          <cell r="A9" t="str">
            <v>A</v>
          </cell>
        </row>
      </sheetData>
      <sheetData sheetId="12657">
        <row r="9">
          <cell r="A9" t="str">
            <v>A</v>
          </cell>
        </row>
      </sheetData>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refreshError="1"/>
      <sheetData sheetId="12679" refreshError="1"/>
      <sheetData sheetId="12680"/>
      <sheetData sheetId="12681"/>
      <sheetData sheetId="12682"/>
      <sheetData sheetId="12683"/>
      <sheetData sheetId="12684" refreshError="1"/>
      <sheetData sheetId="12685" refreshError="1"/>
      <sheetData sheetId="12686" refreshError="1"/>
      <sheetData sheetId="12687" refreshError="1"/>
      <sheetData sheetId="12688"/>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efreshError="1"/>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sheetData sheetId="12778"/>
      <sheetData sheetId="12779"/>
      <sheetData sheetId="12780"/>
      <sheetData sheetId="12781"/>
      <sheetData sheetId="12782"/>
      <sheetData sheetId="12783"/>
      <sheetData sheetId="12784"/>
      <sheetData sheetId="12785">
        <row r="9">
          <cell r="A9" t="str">
            <v>A</v>
          </cell>
        </row>
      </sheetData>
      <sheetData sheetId="12786"/>
      <sheetData sheetId="12787"/>
      <sheetData sheetId="12788"/>
      <sheetData sheetId="12789"/>
      <sheetData sheetId="12790"/>
      <sheetData sheetId="12791"/>
      <sheetData sheetId="12792"/>
      <sheetData sheetId="12793"/>
      <sheetData sheetId="12794">
        <row r="9">
          <cell r="A9" t="str">
            <v>A</v>
          </cell>
        </row>
      </sheetData>
      <sheetData sheetId="12795">
        <row r="9">
          <cell r="A9" t="str">
            <v>A</v>
          </cell>
        </row>
      </sheetData>
      <sheetData sheetId="12796"/>
      <sheetData sheetId="12797"/>
      <sheetData sheetId="12798"/>
      <sheetData sheetId="12799"/>
      <sheetData sheetId="12800"/>
      <sheetData sheetId="12801"/>
      <sheetData sheetId="12802"/>
      <sheetData sheetId="12803"/>
      <sheetData sheetId="12804">
        <row r="9">
          <cell r="A9" t="str">
            <v>A</v>
          </cell>
        </row>
      </sheetData>
      <sheetData sheetId="12805">
        <row r="9">
          <cell r="A9" t="str">
            <v>A</v>
          </cell>
        </row>
      </sheetData>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sheetData sheetId="12937"/>
      <sheetData sheetId="12938"/>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sheetData sheetId="13012" refreshError="1"/>
      <sheetData sheetId="13013" refreshError="1"/>
      <sheetData sheetId="13014"/>
      <sheetData sheetId="13015"/>
      <sheetData sheetId="13016"/>
      <sheetData sheetId="13017"/>
      <sheetData sheetId="13018"/>
      <sheetData sheetId="13019"/>
      <sheetData sheetId="13020"/>
      <sheetData sheetId="13021"/>
      <sheetData sheetId="13022"/>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sheetData sheetId="13035"/>
      <sheetData sheetId="13036"/>
      <sheetData sheetId="13037"/>
      <sheetData sheetId="13038"/>
      <sheetData sheetId="13039" refreshError="1"/>
      <sheetData sheetId="13040" refreshError="1"/>
      <sheetData sheetId="13041" refreshError="1"/>
      <sheetData sheetId="13042" refreshError="1"/>
      <sheetData sheetId="13043" refreshError="1"/>
      <sheetData sheetId="13044"/>
      <sheetData sheetId="13045" refreshError="1"/>
      <sheetData sheetId="13046" refreshError="1"/>
      <sheetData sheetId="13047" refreshError="1"/>
      <sheetData sheetId="13048"/>
      <sheetData sheetId="13049"/>
      <sheetData sheetId="13050"/>
      <sheetData sheetId="13051"/>
      <sheetData sheetId="13052"/>
      <sheetData sheetId="13053"/>
      <sheetData sheetId="13054"/>
      <sheetData sheetId="13055"/>
      <sheetData sheetId="13056"/>
      <sheetData sheetId="13057"/>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ow r="9">
          <cell r="A9" t="str">
            <v>A</v>
          </cell>
        </row>
      </sheetData>
      <sheetData sheetId="13088"/>
      <sheetData sheetId="13089"/>
      <sheetData sheetId="13090"/>
      <sheetData sheetId="13091"/>
      <sheetData sheetId="13092"/>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efreshError="1"/>
      <sheetData sheetId="13099" refreshError="1"/>
      <sheetData sheetId="13100" refreshError="1"/>
      <sheetData sheetId="13101" refreshError="1"/>
      <sheetData sheetId="13102" refreshError="1"/>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sheetData sheetId="13204" refreshError="1"/>
      <sheetData sheetId="13205"/>
      <sheetData sheetId="13206"/>
      <sheetData sheetId="13207"/>
      <sheetData sheetId="13208">
        <row r="9">
          <cell r="A9" t="str">
            <v>A</v>
          </cell>
        </row>
      </sheetData>
      <sheetData sheetId="13209"/>
      <sheetData sheetId="13210">
        <row r="9">
          <cell r="A9" t="str">
            <v>A</v>
          </cell>
        </row>
      </sheetData>
      <sheetData sheetId="13211"/>
      <sheetData sheetId="13212"/>
      <sheetData sheetId="13213"/>
      <sheetData sheetId="13214"/>
      <sheetData sheetId="13215" refreshError="1"/>
      <sheetData sheetId="13216"/>
      <sheetData sheetId="13217"/>
      <sheetData sheetId="13218"/>
      <sheetData sheetId="13219" refreshError="1"/>
      <sheetData sheetId="13220"/>
      <sheetData sheetId="13221"/>
      <sheetData sheetId="13222"/>
      <sheetData sheetId="13223"/>
      <sheetData sheetId="13224"/>
      <sheetData sheetId="13225"/>
      <sheetData sheetId="13226"/>
      <sheetData sheetId="13227"/>
      <sheetData sheetId="13228"/>
      <sheetData sheetId="13229"/>
      <sheetData sheetId="13230">
        <row r="9">
          <cell r="A9" t="str">
            <v>A</v>
          </cell>
        </row>
      </sheetData>
      <sheetData sheetId="13231" refreshError="1"/>
      <sheetData sheetId="13232" refreshError="1"/>
      <sheetData sheetId="13233" refreshError="1"/>
      <sheetData sheetId="13234" refreshError="1"/>
      <sheetData sheetId="13235" refreshError="1"/>
      <sheetData sheetId="13236" refreshError="1"/>
      <sheetData sheetId="13237"/>
      <sheetData sheetId="13238"/>
      <sheetData sheetId="13239"/>
      <sheetData sheetId="13240">
        <row r="9">
          <cell r="A9" t="str">
            <v>A</v>
          </cell>
        </row>
      </sheetData>
      <sheetData sheetId="13241" refreshError="1"/>
      <sheetData sheetId="13242" refreshError="1"/>
      <sheetData sheetId="13243"/>
      <sheetData sheetId="13244"/>
      <sheetData sheetId="13245">
        <row r="9">
          <cell r="A9" t="str">
            <v>A</v>
          </cell>
        </row>
      </sheetData>
      <sheetData sheetId="13246" refreshError="1"/>
      <sheetData sheetId="13247" refreshError="1"/>
      <sheetData sheetId="13248" refreshError="1"/>
      <sheetData sheetId="13249" refreshError="1"/>
      <sheetData sheetId="13250">
        <row r="9">
          <cell r="A9" t="str">
            <v>A</v>
          </cell>
        </row>
      </sheetData>
      <sheetData sheetId="13251">
        <row r="9">
          <cell r="A9" t="str">
            <v>A</v>
          </cell>
        </row>
      </sheetData>
      <sheetData sheetId="13252"/>
      <sheetData sheetId="13253"/>
      <sheetData sheetId="13254">
        <row r="9">
          <cell r="A9" t="str">
            <v>A</v>
          </cell>
        </row>
      </sheetData>
      <sheetData sheetId="13255">
        <row r="9">
          <cell r="A9" t="str">
            <v>A</v>
          </cell>
        </row>
      </sheetData>
      <sheetData sheetId="13256">
        <row r="9">
          <cell r="A9" t="str">
            <v>A</v>
          </cell>
        </row>
      </sheetData>
      <sheetData sheetId="13257" refreshError="1"/>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sheetData sheetId="13263"/>
      <sheetData sheetId="13264">
        <row r="9">
          <cell r="A9" t="str">
            <v>A</v>
          </cell>
        </row>
      </sheetData>
      <sheetData sheetId="13265">
        <row r="9">
          <cell r="A9" t="str">
            <v>A</v>
          </cell>
        </row>
      </sheetData>
      <sheetData sheetId="13266"/>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sheetData sheetId="13272" refreshError="1"/>
      <sheetData sheetId="13273" refreshError="1"/>
      <sheetData sheetId="13274"/>
      <sheetData sheetId="13275"/>
      <sheetData sheetId="13276"/>
      <sheetData sheetId="13277">
        <row r="9">
          <cell r="A9" t="str">
            <v>A</v>
          </cell>
        </row>
      </sheetData>
      <sheetData sheetId="13278">
        <row r="9">
          <cell r="A9" t="str">
            <v>A</v>
          </cell>
        </row>
      </sheetData>
      <sheetData sheetId="13279">
        <row r="9">
          <cell r="A9" t="str">
            <v>A</v>
          </cell>
        </row>
      </sheetData>
      <sheetData sheetId="13280"/>
      <sheetData sheetId="13281"/>
      <sheetData sheetId="13282"/>
      <sheetData sheetId="13283"/>
      <sheetData sheetId="13284"/>
      <sheetData sheetId="13285">
        <row r="9">
          <cell r="A9" t="str">
            <v>A</v>
          </cell>
        </row>
      </sheetData>
      <sheetData sheetId="13286" refreshError="1"/>
      <sheetData sheetId="13287">
        <row r="9">
          <cell r="A9" t="str">
            <v>A</v>
          </cell>
        </row>
      </sheetData>
      <sheetData sheetId="13288">
        <row r="9">
          <cell r="A9" t="str">
            <v>A</v>
          </cell>
        </row>
      </sheetData>
      <sheetData sheetId="13289">
        <row r="9">
          <cell r="A9" t="str">
            <v>A</v>
          </cell>
        </row>
      </sheetData>
      <sheetData sheetId="13290"/>
      <sheetData sheetId="13291"/>
      <sheetData sheetId="13292"/>
      <sheetData sheetId="13293"/>
      <sheetData sheetId="13294"/>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efreshError="1"/>
      <sheetData sheetId="13301" refreshError="1"/>
      <sheetData sheetId="13302" refreshError="1"/>
      <sheetData sheetId="13303" refreshError="1"/>
      <sheetData sheetId="13304" refreshError="1"/>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sheetData sheetId="13352">
        <row r="9">
          <cell r="A9" t="str">
            <v>A</v>
          </cell>
        </row>
      </sheetData>
      <sheetData sheetId="13353"/>
      <sheetData sheetId="13354"/>
      <sheetData sheetId="13355"/>
      <sheetData sheetId="13356"/>
      <sheetData sheetId="13357"/>
      <sheetData sheetId="13358"/>
      <sheetData sheetId="13359"/>
      <sheetData sheetId="13360"/>
      <sheetData sheetId="13361">
        <row r="9">
          <cell r="A9" t="str">
            <v>A</v>
          </cell>
        </row>
      </sheetData>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refreshError="1"/>
      <sheetData sheetId="1338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sheetData sheetId="13391"/>
      <sheetData sheetId="13392"/>
      <sheetData sheetId="13393"/>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sheetData sheetId="13416"/>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refreshError="1"/>
      <sheetData sheetId="13454"/>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sheetData sheetId="13465"/>
      <sheetData sheetId="13466"/>
      <sheetData sheetId="13467"/>
      <sheetData sheetId="13468"/>
      <sheetData sheetId="13469"/>
      <sheetData sheetId="13470"/>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sheetData sheetId="14089"/>
      <sheetData sheetId="14090"/>
      <sheetData sheetId="14091"/>
      <sheetData sheetId="14092"/>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sheetData sheetId="14098"/>
      <sheetData sheetId="14099"/>
      <sheetData sheetId="14100"/>
      <sheetData sheetId="14101"/>
      <sheetData sheetId="14102"/>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sheetData sheetId="14108"/>
      <sheetData sheetId="14109"/>
      <sheetData sheetId="14110"/>
      <sheetData sheetId="14111"/>
      <sheetData sheetId="14112"/>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efreshError="1"/>
      <sheetData sheetId="14118" refreshError="1"/>
      <sheetData sheetId="14119" refreshError="1"/>
      <sheetData sheetId="14120" refreshError="1"/>
      <sheetData sheetId="14121" refreshError="1"/>
      <sheetData sheetId="14122" refreshError="1"/>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efreshError="1"/>
      <sheetData sheetId="14166" refreshError="1"/>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sheetData sheetId="14296"/>
      <sheetData sheetId="14297"/>
      <sheetData sheetId="14298"/>
      <sheetData sheetId="14299"/>
      <sheetData sheetId="14300"/>
      <sheetData sheetId="14301"/>
      <sheetData sheetId="14302">
        <row r="9">
          <cell r="A9" t="str">
            <v>A</v>
          </cell>
        </row>
      </sheetData>
      <sheetData sheetId="14303">
        <row r="9">
          <cell r="A9" t="str">
            <v>A</v>
          </cell>
        </row>
      </sheetData>
      <sheetData sheetId="14304">
        <row r="9">
          <cell r="A9" t="str">
            <v>A</v>
          </cell>
        </row>
      </sheetData>
      <sheetData sheetId="14305"/>
      <sheetData sheetId="14306"/>
      <sheetData sheetId="14307"/>
      <sheetData sheetId="14308"/>
      <sheetData sheetId="14309"/>
      <sheetData sheetId="14310"/>
      <sheetData sheetId="14311"/>
      <sheetData sheetId="14312">
        <row r="9">
          <cell r="A9" t="str">
            <v>A</v>
          </cell>
        </row>
      </sheetData>
      <sheetData sheetId="14313">
        <row r="9">
          <cell r="A9" t="str">
            <v>A</v>
          </cell>
        </row>
      </sheetData>
      <sheetData sheetId="14314">
        <row r="9">
          <cell r="A9" t="str">
            <v>A</v>
          </cell>
        </row>
      </sheetData>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ow r="9">
          <cell r="A9" t="str">
            <v>A</v>
          </cell>
        </row>
      </sheetData>
      <sheetData sheetId="14323">
        <row r="9">
          <cell r="A9" t="str">
            <v>A</v>
          </cell>
        </row>
      </sheetData>
      <sheetData sheetId="14324">
        <row r="9">
          <cell r="A9" t="str">
            <v>A</v>
          </cell>
        </row>
      </sheetData>
      <sheetData sheetId="14325" refreshError="1"/>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ow r="9">
          <cell r="A9" t="str">
            <v>A</v>
          </cell>
        </row>
      </sheetData>
      <sheetData sheetId="14422" refreshError="1"/>
      <sheetData sheetId="14423" refreshError="1"/>
      <sheetData sheetId="14424" refreshError="1"/>
      <sheetData sheetId="14425">
        <row r="9">
          <cell r="A9" t="str">
            <v>A</v>
          </cell>
        </row>
      </sheetData>
      <sheetData sheetId="14426">
        <row r="9">
          <cell r="A9" t="str">
            <v>A</v>
          </cell>
        </row>
      </sheetData>
      <sheetData sheetId="14427">
        <row r="9">
          <cell r="A9" t="str">
            <v>A</v>
          </cell>
        </row>
      </sheetData>
      <sheetData sheetId="14428"/>
      <sheetData sheetId="14429">
        <row r="9">
          <cell r="A9" t="str">
            <v>A</v>
          </cell>
        </row>
      </sheetData>
      <sheetData sheetId="14430">
        <row r="9">
          <cell r="A9" t="str">
            <v>A</v>
          </cell>
        </row>
      </sheetData>
      <sheetData sheetId="14431">
        <row r="9">
          <cell r="A9" t="str">
            <v>A</v>
          </cell>
        </row>
      </sheetData>
      <sheetData sheetId="14432"/>
      <sheetData sheetId="14433"/>
      <sheetData sheetId="14434">
        <row r="9">
          <cell r="A9" t="str">
            <v>A</v>
          </cell>
        </row>
      </sheetData>
      <sheetData sheetId="14435"/>
      <sheetData sheetId="14436"/>
      <sheetData sheetId="14437"/>
      <sheetData sheetId="14438" refreshError="1"/>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refreshError="1"/>
      <sheetData sheetId="14453"/>
      <sheetData sheetId="14454"/>
      <sheetData sheetId="14455"/>
      <sheetData sheetId="14456"/>
      <sheetData sheetId="14457"/>
      <sheetData sheetId="14458"/>
      <sheetData sheetId="14459"/>
      <sheetData sheetId="14460"/>
      <sheetData sheetId="1446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ow r="9">
          <cell r="A9" t="str">
            <v>A</v>
          </cell>
        </row>
      </sheetData>
      <sheetData sheetId="14551">
        <row r="9">
          <cell r="A9" t="str">
            <v>A</v>
          </cell>
        </row>
      </sheetData>
      <sheetData sheetId="14552"/>
      <sheetData sheetId="14553"/>
      <sheetData sheetId="14554"/>
      <sheetData sheetId="14555"/>
      <sheetData sheetId="14556">
        <row r="9">
          <cell r="A9" t="str">
            <v>A</v>
          </cell>
        </row>
      </sheetData>
      <sheetData sheetId="14557"/>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sheetData sheetId="14563"/>
      <sheetData sheetId="14564"/>
      <sheetData sheetId="14565"/>
      <sheetData sheetId="14566">
        <row r="9">
          <cell r="A9" t="str">
            <v>A</v>
          </cell>
        </row>
      </sheetData>
      <sheetData sheetId="14567"/>
      <sheetData sheetId="14568">
        <row r="9">
          <cell r="A9" t="str">
            <v>A</v>
          </cell>
        </row>
      </sheetData>
      <sheetData sheetId="14569">
        <row r="9">
          <cell r="A9" t="str">
            <v>A</v>
          </cell>
        </row>
      </sheetData>
      <sheetData sheetId="14570">
        <row r="9">
          <cell r="A9" t="str">
            <v>A</v>
          </cell>
        </row>
      </sheetData>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refreshError="1"/>
      <sheetData sheetId="14585" refreshError="1"/>
      <sheetData sheetId="14586" refreshError="1"/>
      <sheetData sheetId="14587" refreshError="1"/>
      <sheetData sheetId="14588"/>
      <sheetData sheetId="14589" refreshError="1"/>
      <sheetData sheetId="14590"/>
      <sheetData sheetId="14591"/>
      <sheetData sheetId="14592"/>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ow r="9">
          <cell r="A9" t="str">
            <v>A</v>
          </cell>
        </row>
      </sheetData>
      <sheetData sheetId="14812">
        <row r="9">
          <cell r="A9" t="str">
            <v>A</v>
          </cell>
        </row>
      </sheetData>
      <sheetData sheetId="14813"/>
      <sheetData sheetId="14814"/>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sheetData sheetId="14866">
        <row r="9">
          <cell r="A9" t="str">
            <v>A</v>
          </cell>
        </row>
      </sheetData>
      <sheetData sheetId="14867">
        <row r="9">
          <cell r="A9" t="str">
            <v>A</v>
          </cell>
        </row>
      </sheetData>
      <sheetData sheetId="14868"/>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sheetData sheetId="14880"/>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sheetData sheetId="14923"/>
      <sheetData sheetId="14924"/>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sheetData sheetId="15017"/>
      <sheetData sheetId="15018"/>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sheetData sheetId="15509"/>
      <sheetData sheetId="15510"/>
      <sheetData sheetId="15511"/>
      <sheetData sheetId="15512"/>
      <sheetData sheetId="15513"/>
      <sheetData sheetId="15514"/>
      <sheetData sheetId="15515"/>
      <sheetData sheetId="15516"/>
      <sheetData sheetId="15517"/>
      <sheetData sheetId="15518"/>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sheetData sheetId="15607"/>
      <sheetData sheetId="15608"/>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sheetData sheetId="15629">
        <row r="9">
          <cell r="A9" t="str">
            <v>A</v>
          </cell>
        </row>
      </sheetData>
      <sheetData sheetId="15630">
        <row r="9">
          <cell r="A9" t="str">
            <v>A</v>
          </cell>
        </row>
      </sheetData>
      <sheetData sheetId="15631"/>
      <sheetData sheetId="15632"/>
      <sheetData sheetId="15633"/>
      <sheetData sheetId="15634"/>
      <sheetData sheetId="15635"/>
      <sheetData sheetId="15636"/>
      <sheetData sheetId="15637">
        <row r="9">
          <cell r="A9" t="str">
            <v>A</v>
          </cell>
        </row>
      </sheetData>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refreshError="1"/>
      <sheetData sheetId="15661"/>
      <sheetData sheetId="15662"/>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sheetData sheetId="15716"/>
      <sheetData sheetId="15717"/>
      <sheetData sheetId="15718"/>
      <sheetData sheetId="15719"/>
      <sheetData sheetId="15720"/>
      <sheetData sheetId="15721"/>
      <sheetData sheetId="15722"/>
      <sheetData sheetId="15723"/>
      <sheetData sheetId="15724" refreshError="1"/>
      <sheetData sheetId="15725" refreshError="1"/>
      <sheetData sheetId="15726"/>
      <sheetData sheetId="15727"/>
      <sheetData sheetId="15728"/>
      <sheetData sheetId="15729"/>
      <sheetData sheetId="15730"/>
      <sheetData sheetId="15731"/>
      <sheetData sheetId="15732"/>
      <sheetData sheetId="15733"/>
      <sheetData sheetId="15734"/>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ow r="9">
          <cell r="A9" t="str">
            <v>A</v>
          </cell>
        </row>
      </sheetData>
      <sheetData sheetId="15759">
        <row r="9">
          <cell r="A9" t="str">
            <v>A</v>
          </cell>
        </row>
      </sheetData>
      <sheetData sheetId="15760"/>
      <sheetData sheetId="15761"/>
      <sheetData sheetId="15762"/>
      <sheetData sheetId="15763"/>
      <sheetData sheetId="15764">
        <row r="9">
          <cell r="A9" t="str">
            <v>A</v>
          </cell>
        </row>
      </sheetData>
      <sheetData sheetId="15765" refreshError="1"/>
      <sheetData sheetId="15766" refreshError="1"/>
      <sheetData sheetId="15767" refreshError="1"/>
      <sheetData sheetId="15768" refreshError="1"/>
      <sheetData sheetId="15769">
        <row r="9">
          <cell r="A9" t="str">
            <v>A</v>
          </cell>
        </row>
      </sheetData>
      <sheetData sheetId="15770">
        <row r="9">
          <cell r="A9" t="str">
            <v>A</v>
          </cell>
        </row>
      </sheetData>
      <sheetData sheetId="15771" refreshError="1"/>
      <sheetData sheetId="15772" refreshError="1"/>
      <sheetData sheetId="15773" refreshError="1"/>
      <sheetData sheetId="15774" refreshError="1"/>
      <sheetData sheetId="15775">
        <row r="9">
          <cell r="A9" t="str">
            <v>A</v>
          </cell>
        </row>
      </sheetData>
      <sheetData sheetId="15776">
        <row r="9">
          <cell r="A9" t="str">
            <v>A</v>
          </cell>
        </row>
      </sheetData>
      <sheetData sheetId="15777">
        <row r="9">
          <cell r="A9" t="str">
            <v>A</v>
          </cell>
        </row>
      </sheetData>
      <sheetData sheetId="15778"/>
      <sheetData sheetId="15779"/>
      <sheetData sheetId="15780"/>
      <sheetData sheetId="15781"/>
      <sheetData sheetId="15782"/>
      <sheetData sheetId="15783"/>
      <sheetData sheetId="15784"/>
      <sheetData sheetId="15785">
        <row r="9">
          <cell r="A9" t="str">
            <v>A</v>
          </cell>
        </row>
      </sheetData>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refreshError="1"/>
      <sheetData sheetId="15811" refreshError="1"/>
      <sheetData sheetId="15812">
        <row r="9">
          <cell r="A9" t="str">
            <v>A</v>
          </cell>
        </row>
      </sheetData>
      <sheetData sheetId="15813" refreshError="1"/>
      <sheetData sheetId="15814" refreshError="1"/>
      <sheetData sheetId="15815" refreshError="1"/>
      <sheetData sheetId="15816" refreshError="1"/>
      <sheetData sheetId="15817"/>
      <sheetData sheetId="15818" refreshError="1"/>
      <sheetData sheetId="15819" refreshError="1"/>
      <sheetData sheetId="15820" refreshError="1"/>
      <sheetData sheetId="15821" refreshError="1"/>
      <sheetData sheetId="15822" refreshError="1"/>
      <sheetData sheetId="15823">
        <row r="9">
          <cell r="A9" t="str">
            <v>A</v>
          </cell>
        </row>
      </sheetData>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ow r="9">
          <cell r="A9" t="str">
            <v>A</v>
          </cell>
        </row>
      </sheetData>
      <sheetData sheetId="15835" refreshError="1"/>
      <sheetData sheetId="15836" refreshError="1"/>
      <sheetData sheetId="15837" refreshError="1"/>
      <sheetData sheetId="15838" refreshError="1"/>
      <sheetData sheetId="15839" refreshError="1"/>
      <sheetData sheetId="15840"/>
      <sheetData sheetId="15841">
        <row r="9">
          <cell r="A9" t="str">
            <v>A</v>
          </cell>
        </row>
      </sheetData>
      <sheetData sheetId="15842" refreshError="1"/>
      <sheetData sheetId="15843">
        <row r="9">
          <cell r="A9" t="str">
            <v>A</v>
          </cell>
        </row>
      </sheetData>
      <sheetData sheetId="15844"/>
      <sheetData sheetId="15845"/>
      <sheetData sheetId="15846"/>
      <sheetData sheetId="15847"/>
      <sheetData sheetId="15848"/>
      <sheetData sheetId="15849"/>
      <sheetData sheetId="15850" refreshError="1"/>
      <sheetData sheetId="15851">
        <row r="9">
          <cell r="A9" t="str">
            <v>A</v>
          </cell>
        </row>
      </sheetData>
      <sheetData sheetId="15852"/>
      <sheetData sheetId="15853">
        <row r="9">
          <cell r="A9" t="str">
            <v>A</v>
          </cell>
        </row>
      </sheetData>
      <sheetData sheetId="15854"/>
      <sheetData sheetId="15855"/>
      <sheetData sheetId="15856"/>
      <sheetData sheetId="15857"/>
      <sheetData sheetId="15858"/>
      <sheetData sheetId="15859"/>
      <sheetData sheetId="15860"/>
      <sheetData sheetId="15861" refreshError="1"/>
      <sheetData sheetId="15862"/>
      <sheetData sheetId="15863">
        <row r="9">
          <cell r="A9" t="str">
            <v>A</v>
          </cell>
        </row>
      </sheetData>
      <sheetData sheetId="15864">
        <row r="9">
          <cell r="A9" t="str">
            <v>A</v>
          </cell>
        </row>
      </sheetData>
      <sheetData sheetId="15865"/>
      <sheetData sheetId="15866"/>
      <sheetData sheetId="15867" refreshError="1"/>
      <sheetData sheetId="15868" refreshError="1"/>
      <sheetData sheetId="15869" refreshError="1"/>
      <sheetData sheetId="15870" refreshError="1"/>
      <sheetData sheetId="15871" refreshError="1"/>
      <sheetData sheetId="15872" refreshError="1"/>
      <sheetData sheetId="15873"/>
      <sheetData sheetId="15874">
        <row r="9">
          <cell r="A9" t="str">
            <v>A</v>
          </cell>
        </row>
      </sheetData>
      <sheetData sheetId="15875">
        <row r="9">
          <cell r="A9" t="str">
            <v>A</v>
          </cell>
        </row>
      </sheetData>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ow r="9">
          <cell r="A9" t="str">
            <v>A</v>
          </cell>
        </row>
      </sheetData>
      <sheetData sheetId="15884" refreshError="1"/>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sheetData sheetId="15906">
        <row r="9">
          <cell r="A9" t="str">
            <v>A</v>
          </cell>
        </row>
      </sheetData>
      <sheetData sheetId="15907">
        <row r="9">
          <cell r="A9" t="str">
            <v>A</v>
          </cell>
        </row>
      </sheetData>
      <sheetData sheetId="15908">
        <row r="9">
          <cell r="A9" t="str">
            <v>A</v>
          </cell>
        </row>
      </sheetData>
      <sheetData sheetId="15909"/>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efreshError="1"/>
      <sheetData sheetId="15919">
        <row r="9">
          <cell r="A9" t="str">
            <v>A</v>
          </cell>
        </row>
      </sheetData>
      <sheetData sheetId="15920">
        <row r="9">
          <cell r="A9" t="str">
            <v>A</v>
          </cell>
        </row>
      </sheetData>
      <sheetData sheetId="15921">
        <row r="9">
          <cell r="A9" t="str">
            <v>A</v>
          </cell>
        </row>
      </sheetData>
      <sheetData sheetId="15922"/>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sheetData sheetId="15935" refreshError="1"/>
      <sheetData sheetId="15936"/>
      <sheetData sheetId="15937"/>
      <sheetData sheetId="15938"/>
      <sheetData sheetId="15939"/>
      <sheetData sheetId="15940">
        <row r="9">
          <cell r="A9" t="str">
            <v>A</v>
          </cell>
        </row>
      </sheetData>
      <sheetData sheetId="15941"/>
      <sheetData sheetId="15942"/>
      <sheetData sheetId="15943"/>
      <sheetData sheetId="15944">
        <row r="9">
          <cell r="A9" t="str">
            <v>A</v>
          </cell>
        </row>
      </sheetData>
      <sheetData sheetId="15945"/>
      <sheetData sheetId="15946"/>
      <sheetData sheetId="15947"/>
      <sheetData sheetId="15948"/>
      <sheetData sheetId="15949"/>
      <sheetData sheetId="15950"/>
      <sheetData sheetId="15951"/>
      <sheetData sheetId="15952">
        <row r="9">
          <cell r="A9" t="str">
            <v>A</v>
          </cell>
        </row>
      </sheetData>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refreshError="1"/>
      <sheetData sheetId="15973" refreshError="1"/>
      <sheetData sheetId="15974" refreshError="1"/>
      <sheetData sheetId="15975" refreshError="1"/>
      <sheetData sheetId="15976" refreshError="1"/>
      <sheetData sheetId="15977" refreshError="1"/>
      <sheetData sheetId="15978"/>
      <sheetData sheetId="15979" refreshError="1"/>
      <sheetData sheetId="15980" refreshError="1"/>
      <sheetData sheetId="15981" refreshError="1"/>
      <sheetData sheetId="15982"/>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sheetData sheetId="17443"/>
      <sheetData sheetId="17444"/>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sheetData sheetId="17450"/>
      <sheetData sheetId="17451">
        <row r="9">
          <cell r="A9" t="str">
            <v>A</v>
          </cell>
        </row>
      </sheetData>
      <sheetData sheetId="17452"/>
      <sheetData sheetId="17453"/>
      <sheetData sheetId="17454"/>
      <sheetData sheetId="17455"/>
      <sheetData sheetId="17456"/>
      <sheetData sheetId="17457"/>
      <sheetData sheetId="17458"/>
      <sheetData sheetId="17459"/>
      <sheetData sheetId="17460"/>
      <sheetData sheetId="17461"/>
      <sheetData sheetId="17462"/>
      <sheetData sheetId="17463">
        <row r="9">
          <cell r="A9" t="str">
            <v>A</v>
          </cell>
        </row>
      </sheetData>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refreshError="1"/>
      <sheetData sheetId="17481" refreshError="1"/>
      <sheetData sheetId="17482" refreshError="1"/>
      <sheetData sheetId="17483"/>
      <sheetData sheetId="17484"/>
      <sheetData sheetId="17485"/>
      <sheetData sheetId="17486"/>
      <sheetData sheetId="17487" refreshError="1"/>
      <sheetData sheetId="17488" refreshError="1"/>
      <sheetData sheetId="17489"/>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ow r="9">
          <cell r="A9" t="str">
            <v>A</v>
          </cell>
        </row>
      </sheetData>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sheetData sheetId="17546" refreshError="1"/>
      <sheetData sheetId="17547" refreshError="1"/>
      <sheetData sheetId="17548">
        <row r="9">
          <cell r="A9" t="str">
            <v>A</v>
          </cell>
        </row>
      </sheetData>
      <sheetData sheetId="17549"/>
      <sheetData sheetId="17550" refreshError="1"/>
      <sheetData sheetId="17551" refreshError="1"/>
      <sheetData sheetId="17552" refreshError="1"/>
      <sheetData sheetId="17553"/>
      <sheetData sheetId="17554" refreshError="1"/>
      <sheetData sheetId="17555"/>
      <sheetData sheetId="17556"/>
      <sheetData sheetId="17557" refreshError="1"/>
      <sheetData sheetId="17558"/>
      <sheetData sheetId="17559"/>
      <sheetData sheetId="17560"/>
      <sheetData sheetId="17561"/>
      <sheetData sheetId="17562"/>
      <sheetData sheetId="17563"/>
      <sheetData sheetId="17564"/>
      <sheetData sheetId="17565"/>
      <sheetData sheetId="17566"/>
      <sheetData sheetId="17567">
        <row r="9">
          <cell r="A9" t="str">
            <v>A</v>
          </cell>
        </row>
      </sheetData>
      <sheetData sheetId="17568" refreshError="1"/>
      <sheetData sheetId="17569" refreshError="1"/>
      <sheetData sheetId="17570" refreshError="1"/>
      <sheetData sheetId="17571" refreshError="1"/>
      <sheetData sheetId="17572" refreshError="1"/>
      <sheetData sheetId="17573" refreshError="1"/>
      <sheetData sheetId="17574"/>
      <sheetData sheetId="17575" refreshError="1"/>
      <sheetData sheetId="17576" refreshError="1"/>
      <sheetData sheetId="17577" refreshError="1"/>
      <sheetData sheetId="17578" refreshError="1"/>
      <sheetData sheetId="17579" refreshError="1"/>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efreshError="1"/>
      <sheetData sheetId="17585"/>
      <sheetData sheetId="17586"/>
      <sheetData sheetId="17587" refreshError="1"/>
      <sheetData sheetId="17588" refreshError="1"/>
      <sheetData sheetId="17589" refreshError="1"/>
      <sheetData sheetId="17590" refreshError="1"/>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efreshError="1"/>
      <sheetData sheetId="17599" refreshError="1"/>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sheetData sheetId="17645">
        <row r="9">
          <cell r="A9" t="str">
            <v>A</v>
          </cell>
        </row>
      </sheetData>
      <sheetData sheetId="17646"/>
      <sheetData sheetId="17647">
        <row r="9">
          <cell r="A9" t="str">
            <v>A</v>
          </cell>
        </row>
      </sheetData>
      <sheetData sheetId="17648">
        <row r="9">
          <cell r="A9" t="str">
            <v>A</v>
          </cell>
        </row>
      </sheetData>
      <sheetData sheetId="17649">
        <row r="9">
          <cell r="A9" t="str">
            <v>A</v>
          </cell>
        </row>
      </sheetData>
      <sheetData sheetId="17650"/>
      <sheetData sheetId="17651"/>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sheetData sheetId="17658">
        <row r="9">
          <cell r="A9" t="str">
            <v>A</v>
          </cell>
        </row>
      </sheetData>
      <sheetData sheetId="17659"/>
      <sheetData sheetId="17660">
        <row r="9">
          <cell r="A9" t="str">
            <v>A</v>
          </cell>
        </row>
      </sheetData>
      <sheetData sheetId="17661">
        <row r="9">
          <cell r="A9" t="str">
            <v>A</v>
          </cell>
        </row>
      </sheetData>
      <sheetData sheetId="17662"/>
      <sheetData sheetId="17663"/>
      <sheetData sheetId="17664"/>
      <sheetData sheetId="17665">
        <row r="9">
          <cell r="A9" t="str">
            <v>A</v>
          </cell>
        </row>
      </sheetData>
      <sheetData sheetId="17666">
        <row r="9">
          <cell r="A9" t="str">
            <v>A</v>
          </cell>
        </row>
      </sheetData>
      <sheetData sheetId="17667"/>
      <sheetData sheetId="17668">
        <row r="9">
          <cell r="A9" t="str">
            <v>A</v>
          </cell>
        </row>
      </sheetData>
      <sheetData sheetId="17669">
        <row r="9">
          <cell r="A9" t="str">
            <v>A</v>
          </cell>
        </row>
      </sheetData>
      <sheetData sheetId="17670" refreshError="1"/>
      <sheetData sheetId="17671"/>
      <sheetData sheetId="17672" refreshError="1"/>
      <sheetData sheetId="17673"/>
      <sheetData sheetId="17674">
        <row r="9">
          <cell r="A9" t="str">
            <v>A</v>
          </cell>
        </row>
      </sheetData>
      <sheetData sheetId="17675"/>
      <sheetData sheetId="17676" refreshError="1"/>
      <sheetData sheetId="17677" refreshError="1"/>
      <sheetData sheetId="17678">
        <row r="9">
          <cell r="A9" t="str">
            <v>A</v>
          </cell>
        </row>
      </sheetData>
      <sheetData sheetId="17679">
        <row r="9">
          <cell r="A9" t="str">
            <v>A</v>
          </cell>
        </row>
      </sheetData>
      <sheetData sheetId="17680"/>
      <sheetData sheetId="17681"/>
      <sheetData sheetId="17682"/>
      <sheetData sheetId="17683"/>
      <sheetData sheetId="17684"/>
      <sheetData sheetId="17685"/>
      <sheetData sheetId="17686"/>
      <sheetData sheetId="17687">
        <row r="9">
          <cell r="A9" t="str">
            <v>A</v>
          </cell>
        </row>
      </sheetData>
      <sheetData sheetId="17688" refreshError="1"/>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efreshError="1"/>
      <sheetData sheetId="17694"/>
      <sheetData sheetId="17695"/>
      <sheetData sheetId="17696" refreshError="1"/>
      <sheetData sheetId="17697" refreshError="1"/>
      <sheetData sheetId="17698" refreshError="1"/>
      <sheetData sheetId="17699" refreshError="1"/>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efreshError="1"/>
      <sheetData sheetId="17708" refreshError="1"/>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refreshError="1"/>
      <sheetData sheetId="17780" refreshError="1"/>
      <sheetData sheetId="17781" refreshError="1"/>
      <sheetData sheetId="17782" refreshError="1"/>
      <sheetData sheetId="17783" refreshError="1"/>
      <sheetData sheetId="17784" refreshError="1"/>
      <sheetData sheetId="17785"/>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sheetData sheetId="17808"/>
      <sheetData sheetId="17809" refreshError="1"/>
      <sheetData sheetId="17810"/>
      <sheetData sheetId="17811"/>
      <sheetData sheetId="17812"/>
      <sheetData sheetId="17813"/>
      <sheetData sheetId="17814"/>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sheetData sheetId="17840"/>
      <sheetData sheetId="17841" refreshError="1"/>
      <sheetData sheetId="17842" refreshError="1"/>
      <sheetData sheetId="17843" refreshError="1"/>
      <sheetData sheetId="17844">
        <row r="9">
          <cell r="A9" t="str">
            <v>A</v>
          </cell>
        </row>
      </sheetData>
      <sheetData sheetId="17845">
        <row r="9">
          <cell r="A9" t="str">
            <v>A</v>
          </cell>
        </row>
      </sheetData>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row r="9">
          <cell r="A9" t="str">
            <v>A</v>
          </cell>
        </row>
      </sheetData>
      <sheetData sheetId="17869"/>
      <sheetData sheetId="17870"/>
      <sheetData sheetId="17871"/>
      <sheetData sheetId="17872"/>
      <sheetData sheetId="17873"/>
      <sheetData sheetId="17874"/>
      <sheetData sheetId="17875"/>
      <sheetData sheetId="17876"/>
      <sheetData sheetId="17877"/>
      <sheetData sheetId="17878"/>
      <sheetData sheetId="17879"/>
      <sheetData sheetId="17880">
        <row r="9">
          <cell r="A9" t="str">
            <v>A</v>
          </cell>
        </row>
      </sheetData>
      <sheetData sheetId="17881">
        <row r="9">
          <cell r="A9" t="str">
            <v>A</v>
          </cell>
        </row>
      </sheetData>
      <sheetData sheetId="17882"/>
      <sheetData sheetId="17883"/>
      <sheetData sheetId="17884"/>
      <sheetData sheetId="17885"/>
      <sheetData sheetId="17886"/>
      <sheetData sheetId="17887"/>
      <sheetData sheetId="17888"/>
      <sheetData sheetId="17889"/>
      <sheetData sheetId="17890"/>
      <sheetData sheetId="17891"/>
      <sheetData sheetId="17892"/>
      <sheetData sheetId="17893">
        <row r="9">
          <cell r="A9" t="str">
            <v>A</v>
          </cell>
        </row>
      </sheetData>
      <sheetData sheetId="17894">
        <row r="9">
          <cell r="A9" t="str">
            <v>A</v>
          </cell>
        </row>
      </sheetData>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row r="9">
          <cell r="A9" t="str">
            <v>A</v>
          </cell>
        </row>
      </sheetData>
      <sheetData sheetId="17908" refreshError="1"/>
      <sheetData sheetId="17909" refreshError="1"/>
      <sheetData sheetId="17910" refreshError="1"/>
      <sheetData sheetId="17911">
        <row r="9">
          <cell r="A9" t="str">
            <v>A</v>
          </cell>
        </row>
      </sheetData>
      <sheetData sheetId="17912">
        <row r="9">
          <cell r="A9" t="str">
            <v>A</v>
          </cell>
        </row>
      </sheetData>
      <sheetData sheetId="17913" refreshError="1"/>
      <sheetData sheetId="17914" refreshError="1"/>
      <sheetData sheetId="17915"/>
      <sheetData sheetId="17916"/>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sheetData sheetId="17929"/>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efreshError="1"/>
      <sheetData sheetId="17942" refreshError="1"/>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sheetData sheetId="17965"/>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sheetData sheetId="17976"/>
      <sheetData sheetId="17977"/>
      <sheetData sheetId="17978"/>
      <sheetData sheetId="17979"/>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sheetData sheetId="17998">
        <row r="9">
          <cell r="A9" t="str">
            <v>A</v>
          </cell>
        </row>
      </sheetData>
      <sheetData sheetId="17999">
        <row r="9">
          <cell r="A9" t="str">
            <v>A</v>
          </cell>
        </row>
      </sheetData>
      <sheetData sheetId="18000"/>
      <sheetData sheetId="18001">
        <row r="9">
          <cell r="A9" t="str">
            <v>A</v>
          </cell>
        </row>
      </sheetData>
      <sheetData sheetId="18002">
        <row r="9">
          <cell r="A9" t="str">
            <v>A</v>
          </cell>
        </row>
      </sheetData>
      <sheetData sheetId="18003"/>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sheetData sheetId="18010">
        <row r="9">
          <cell r="A9" t="str">
            <v>A</v>
          </cell>
        </row>
      </sheetData>
      <sheetData sheetId="18011">
        <row r="9">
          <cell r="A9" t="str">
            <v>A</v>
          </cell>
        </row>
      </sheetData>
      <sheetData sheetId="18012"/>
      <sheetData sheetId="18013" refreshError="1"/>
      <sheetData sheetId="18014"/>
      <sheetData sheetId="18015"/>
      <sheetData sheetId="18016">
        <row r="9">
          <cell r="A9" t="str">
            <v>A</v>
          </cell>
        </row>
      </sheetData>
      <sheetData sheetId="18017">
        <row r="9">
          <cell r="A9" t="str">
            <v>A</v>
          </cell>
        </row>
      </sheetData>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refreshError="1"/>
      <sheetData sheetId="18036"/>
      <sheetData sheetId="18037"/>
      <sheetData sheetId="18038">
        <row r="9">
          <cell r="A9" t="str">
            <v>A</v>
          </cell>
        </row>
      </sheetData>
      <sheetData sheetId="18039">
        <row r="9">
          <cell r="A9" t="str">
            <v>A</v>
          </cell>
        </row>
      </sheetData>
      <sheetData sheetId="18040">
        <row r="9">
          <cell r="A9" t="str">
            <v>A</v>
          </cell>
        </row>
      </sheetData>
      <sheetData sheetId="18041" refreshError="1"/>
      <sheetData sheetId="18042"/>
      <sheetData sheetId="18043"/>
      <sheetData sheetId="18044"/>
      <sheetData sheetId="18045">
        <row r="9">
          <cell r="A9" t="str">
            <v>A</v>
          </cell>
        </row>
      </sheetData>
      <sheetData sheetId="18046">
        <row r="9">
          <cell r="A9" t="str">
            <v>A</v>
          </cell>
        </row>
      </sheetData>
      <sheetData sheetId="18047"/>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sheetData sheetId="18055"/>
      <sheetData sheetId="18056"/>
      <sheetData sheetId="18057"/>
      <sheetData sheetId="18058">
        <row r="9">
          <cell r="A9" t="str">
            <v>A</v>
          </cell>
        </row>
      </sheetData>
      <sheetData sheetId="18059"/>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efreshError="1"/>
      <sheetData sheetId="18068" refreshError="1"/>
      <sheetData sheetId="18069" refreshError="1"/>
      <sheetData sheetId="18070" refreshError="1"/>
      <sheetData sheetId="18071"/>
      <sheetData sheetId="18072"/>
      <sheetData sheetId="18073"/>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sheetData sheetId="18081">
        <row r="9">
          <cell r="A9" t="str">
            <v>A</v>
          </cell>
        </row>
      </sheetData>
      <sheetData sheetId="18082"/>
      <sheetData sheetId="18083"/>
      <sheetData sheetId="18084"/>
      <sheetData sheetId="18085" refreshError="1"/>
      <sheetData sheetId="18086"/>
      <sheetData sheetId="18087">
        <row r="9">
          <cell r="A9" t="str">
            <v>A</v>
          </cell>
        </row>
      </sheetData>
      <sheetData sheetId="18088">
        <row r="9">
          <cell r="A9" t="str">
            <v>A</v>
          </cell>
        </row>
      </sheetData>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sheetData sheetId="18212"/>
      <sheetData sheetId="18213"/>
      <sheetData sheetId="18214"/>
      <sheetData sheetId="18215"/>
      <sheetData sheetId="18216"/>
      <sheetData sheetId="18217"/>
      <sheetData sheetId="18218"/>
      <sheetData sheetId="18219"/>
      <sheetData sheetId="18220"/>
      <sheetData sheetId="18221" refreshError="1"/>
      <sheetData sheetId="18222" refreshError="1"/>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refreshError="1"/>
      <sheetData sheetId="18243"/>
      <sheetData sheetId="18244"/>
      <sheetData sheetId="18245" refreshError="1"/>
      <sheetData sheetId="18246" refreshError="1"/>
      <sheetData sheetId="18247" refreshError="1"/>
      <sheetData sheetId="18248" refreshError="1"/>
      <sheetData sheetId="18249" refreshError="1"/>
      <sheetData sheetId="18250"/>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sheetData sheetId="18260"/>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ow r="9">
          <cell r="A9" t="str">
            <v>A</v>
          </cell>
        </row>
      </sheetData>
      <sheetData sheetId="18369">
        <row r="9">
          <cell r="A9" t="str">
            <v>A</v>
          </cell>
        </row>
      </sheetData>
      <sheetData sheetId="18370"/>
      <sheetData sheetId="18371">
        <row r="9">
          <cell r="A9" t="str">
            <v>A</v>
          </cell>
        </row>
      </sheetData>
      <sheetData sheetId="18372">
        <row r="9">
          <cell r="A9" t="str">
            <v>A</v>
          </cell>
        </row>
      </sheetData>
      <sheetData sheetId="18373">
        <row r="9">
          <cell r="A9" t="str">
            <v>A</v>
          </cell>
        </row>
      </sheetData>
      <sheetData sheetId="18374"/>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sheetData sheetId="18388">
        <row r="9">
          <cell r="A9" t="str">
            <v>A</v>
          </cell>
        </row>
      </sheetData>
      <sheetData sheetId="18389">
        <row r="9">
          <cell r="A9" t="str">
            <v>A</v>
          </cell>
        </row>
      </sheetData>
      <sheetData sheetId="18390"/>
      <sheetData sheetId="18391"/>
      <sheetData sheetId="18392">
        <row r="9">
          <cell r="A9" t="str">
            <v>A</v>
          </cell>
        </row>
      </sheetData>
      <sheetData sheetId="18393" refreshError="1"/>
      <sheetData sheetId="18394">
        <row r="9">
          <cell r="A9" t="str">
            <v>A</v>
          </cell>
        </row>
      </sheetData>
      <sheetData sheetId="18395"/>
      <sheetData sheetId="18396"/>
      <sheetData sheetId="18397">
        <row r="9">
          <cell r="A9" t="str">
            <v>A</v>
          </cell>
        </row>
      </sheetData>
      <sheetData sheetId="18398"/>
      <sheetData sheetId="18399">
        <row r="9">
          <cell r="A9" t="str">
            <v>A</v>
          </cell>
        </row>
      </sheetData>
      <sheetData sheetId="18400" refreshError="1"/>
      <sheetData sheetId="18401">
        <row r="9">
          <cell r="A9" t="str">
            <v>A</v>
          </cell>
        </row>
      </sheetData>
      <sheetData sheetId="18402"/>
      <sheetData sheetId="18403"/>
      <sheetData sheetId="18404">
        <row r="9">
          <cell r="A9" t="str">
            <v>A</v>
          </cell>
        </row>
      </sheetData>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refreshError="1"/>
      <sheetData sheetId="18429" refreshError="1"/>
      <sheetData sheetId="18430"/>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sheetData sheetId="18451"/>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efreshError="1"/>
      <sheetData sheetId="18464" refreshError="1"/>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sheetData sheetId="18698"/>
      <sheetData sheetId="18699"/>
      <sheetData sheetId="18700"/>
      <sheetData sheetId="18701"/>
      <sheetData sheetId="18702"/>
      <sheetData sheetId="18703"/>
      <sheetData sheetId="18704"/>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sheetData sheetId="18744"/>
      <sheetData sheetId="18745"/>
      <sheetData sheetId="18746"/>
      <sheetData sheetId="18747"/>
      <sheetData sheetId="18748">
        <row r="9">
          <cell r="A9" t="str">
            <v>A</v>
          </cell>
        </row>
      </sheetData>
      <sheetData sheetId="18749">
        <row r="9">
          <cell r="A9" t="str">
            <v>A</v>
          </cell>
        </row>
      </sheetData>
      <sheetData sheetId="18750">
        <row r="9">
          <cell r="A9" t="str">
            <v>A</v>
          </cell>
        </row>
      </sheetData>
      <sheetData sheetId="1875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ow r="9">
          <cell r="A9" t="str">
            <v>A</v>
          </cell>
        </row>
      </sheetData>
      <sheetData sheetId="18762">
        <row r="9">
          <cell r="A9" t="str">
            <v>A</v>
          </cell>
        </row>
      </sheetData>
      <sheetData sheetId="18763">
        <row r="9">
          <cell r="A9" t="str">
            <v>A</v>
          </cell>
        </row>
      </sheetData>
      <sheetData sheetId="18764" refreshError="1"/>
      <sheetData sheetId="18765" refreshError="1"/>
      <sheetData sheetId="18766" refreshError="1"/>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ow r="9">
          <cell r="A9" t="str">
            <v>A</v>
          </cell>
        </row>
      </sheetData>
      <sheetData sheetId="19103"/>
      <sheetData sheetId="19104"/>
      <sheetData sheetId="19105"/>
      <sheetData sheetId="19106"/>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sheetData sheetId="19116"/>
      <sheetData sheetId="19117"/>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sheetData sheetId="19129"/>
      <sheetData sheetId="19130"/>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efreshError="1"/>
      <sheetData sheetId="19142" refreshError="1"/>
      <sheetData sheetId="19143" refreshError="1"/>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sheetData sheetId="19900"/>
      <sheetData sheetId="1990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sheetData sheetId="19912"/>
      <sheetData sheetId="19913"/>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sheetData sheetId="19925"/>
      <sheetData sheetId="19926"/>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sheetData sheetId="20033"/>
      <sheetData sheetId="20034"/>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sheetData sheetId="20045"/>
      <sheetData sheetId="20046"/>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sheetData sheetId="20058"/>
      <sheetData sheetId="20059"/>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efreshError="1"/>
      <sheetData sheetId="20071" refreshError="1"/>
      <sheetData sheetId="20072" refreshError="1"/>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sheetData sheetId="21095">
        <row r="9">
          <cell r="A9" t="str">
            <v>A</v>
          </cell>
        </row>
      </sheetData>
      <sheetData sheetId="21096">
        <row r="9">
          <cell r="A9" t="str">
            <v>A</v>
          </cell>
        </row>
      </sheetData>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refreshError="1"/>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sheetData sheetId="22992"/>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sheetData sheetId="23003" refreshError="1"/>
      <sheetData sheetId="23004" refreshError="1"/>
      <sheetData sheetId="23005" refreshError="1"/>
      <sheetData sheetId="23006"/>
      <sheetData sheetId="23007" refreshError="1"/>
      <sheetData sheetId="23008" refreshError="1"/>
      <sheetData sheetId="23009" refreshError="1"/>
      <sheetData sheetId="23010" refreshError="1"/>
      <sheetData sheetId="23011" refreshError="1"/>
      <sheetData sheetId="23012"/>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sheetData sheetId="23037" refreshError="1"/>
      <sheetData sheetId="23038" refreshError="1"/>
      <sheetData sheetId="23039" refreshError="1"/>
      <sheetData sheetId="23040" refreshError="1"/>
      <sheetData sheetId="23041" refreshError="1"/>
      <sheetData sheetId="23042" refreshError="1"/>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sheetData sheetId="23155"/>
      <sheetData sheetId="23156"/>
      <sheetData sheetId="23157"/>
      <sheetData sheetId="23158"/>
      <sheetData sheetId="23159"/>
      <sheetData sheetId="23160"/>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sheetData sheetId="23201"/>
      <sheetData sheetId="23202"/>
      <sheetData sheetId="23203"/>
      <sheetData sheetId="23204"/>
      <sheetData sheetId="23205"/>
      <sheetData sheetId="23206"/>
      <sheetData sheetId="23207"/>
      <sheetData sheetId="23208"/>
      <sheetData sheetId="23209"/>
      <sheetData sheetId="23210"/>
      <sheetData sheetId="23211"/>
      <sheetData sheetId="23212"/>
      <sheetData sheetId="23213"/>
      <sheetData sheetId="23214"/>
      <sheetData sheetId="23215"/>
      <sheetData sheetId="23216"/>
      <sheetData sheetId="23217" refreshError="1"/>
      <sheetData sheetId="23218"/>
      <sheetData sheetId="23219"/>
      <sheetData sheetId="23220"/>
      <sheetData sheetId="23221"/>
      <sheetData sheetId="23222"/>
      <sheetData sheetId="23223"/>
      <sheetData sheetId="23224" refreshError="1"/>
      <sheetData sheetId="23225"/>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sheetData sheetId="23275"/>
      <sheetData sheetId="23276"/>
      <sheetData sheetId="23277"/>
      <sheetData sheetId="23278"/>
      <sheetData sheetId="23279"/>
      <sheetData sheetId="23280">
        <row r="9">
          <cell r="A9" t="str">
            <v>A</v>
          </cell>
        </row>
      </sheetData>
      <sheetData sheetId="23281">
        <row r="9">
          <cell r="A9" t="str">
            <v>A</v>
          </cell>
        </row>
      </sheetData>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sheetData sheetId="23302"/>
      <sheetData sheetId="23303"/>
      <sheetData sheetId="23304"/>
      <sheetData sheetId="23305"/>
      <sheetData sheetId="23306"/>
      <sheetData sheetId="23307"/>
      <sheetData sheetId="23308"/>
      <sheetData sheetId="23309"/>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efreshError="1"/>
      <sheetData sheetId="23316" refreshError="1"/>
      <sheetData sheetId="23317" refreshError="1"/>
      <sheetData sheetId="23318" refreshError="1"/>
      <sheetData sheetId="23319" refreshError="1"/>
      <sheetData sheetId="23320" refreshError="1"/>
      <sheetData sheetId="23321"/>
      <sheetData sheetId="23322"/>
      <sheetData sheetId="23323"/>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efreshError="1"/>
      <sheetData sheetId="23333" refreshError="1"/>
      <sheetData sheetId="23334" refreshError="1"/>
      <sheetData sheetId="23335" refreshError="1"/>
      <sheetData sheetId="23336" refreshError="1"/>
      <sheetData sheetId="23337" refreshError="1"/>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ow r="9">
          <cell r="A9" t="str">
            <v>A</v>
          </cell>
        </row>
      </sheetData>
      <sheetData sheetId="23344">
        <row r="9">
          <cell r="A9" t="str">
            <v>A</v>
          </cell>
        </row>
      </sheetData>
      <sheetData sheetId="23345">
        <row r="9">
          <cell r="A9" t="str">
            <v>A</v>
          </cell>
        </row>
      </sheetData>
      <sheetData sheetId="23346">
        <row r="9">
          <cell r="A9" t="str">
            <v>A</v>
          </cell>
        </row>
      </sheetData>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refreshError="1"/>
      <sheetData sheetId="23387"/>
      <sheetData sheetId="23388" refreshError="1"/>
      <sheetData sheetId="23389"/>
      <sheetData sheetId="23390" refreshError="1"/>
      <sheetData sheetId="23391"/>
      <sheetData sheetId="23392"/>
      <sheetData sheetId="23393" refreshError="1"/>
      <sheetData sheetId="23394" refreshError="1"/>
      <sheetData sheetId="23395"/>
      <sheetData sheetId="23396" refreshError="1"/>
      <sheetData sheetId="23397"/>
      <sheetData sheetId="23398" refreshError="1"/>
      <sheetData sheetId="23399" refreshError="1"/>
      <sheetData sheetId="23400"/>
      <sheetData sheetId="23401"/>
      <sheetData sheetId="23402"/>
      <sheetData sheetId="23403" refreshError="1"/>
      <sheetData sheetId="23404" refreshError="1"/>
      <sheetData sheetId="23405" refreshError="1"/>
      <sheetData sheetId="23406"/>
      <sheetData sheetId="23407" refreshError="1"/>
      <sheetData sheetId="23408"/>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sheetData sheetId="23426"/>
      <sheetData sheetId="23427" refreshError="1"/>
      <sheetData sheetId="23428" refreshError="1"/>
      <sheetData sheetId="23429"/>
      <sheetData sheetId="23430" refreshError="1"/>
      <sheetData sheetId="23431"/>
      <sheetData sheetId="23432" refreshError="1"/>
      <sheetData sheetId="23433" refreshError="1"/>
      <sheetData sheetId="23434"/>
      <sheetData sheetId="23435"/>
      <sheetData sheetId="23436"/>
      <sheetData sheetId="23437"/>
      <sheetData sheetId="23438" refreshError="1"/>
      <sheetData sheetId="23439" refreshError="1"/>
      <sheetData sheetId="23440"/>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sheetData sheetId="23460" refreshError="1"/>
      <sheetData sheetId="23461" refreshError="1"/>
      <sheetData sheetId="23462" refreshError="1"/>
      <sheetData sheetId="23463" refreshError="1"/>
      <sheetData sheetId="23464" refreshError="1"/>
      <sheetData sheetId="23465"/>
      <sheetData sheetId="23466"/>
      <sheetData sheetId="23467" refreshError="1"/>
      <sheetData sheetId="23468"/>
      <sheetData sheetId="23469"/>
      <sheetData sheetId="23470"/>
      <sheetData sheetId="23471"/>
      <sheetData sheetId="23472" refreshError="1"/>
      <sheetData sheetId="23473" refreshError="1"/>
      <sheetData sheetId="23474"/>
      <sheetData sheetId="23475"/>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ow r="9">
          <cell r="A9" t="str">
            <v>A</v>
          </cell>
        </row>
      </sheetData>
      <sheetData sheetId="23492">
        <row r="9">
          <cell r="A9" t="str">
            <v>A</v>
          </cell>
        </row>
      </sheetData>
      <sheetData sheetId="23493" refreshError="1"/>
      <sheetData sheetId="23494" refreshError="1"/>
      <sheetData sheetId="23495" refreshError="1"/>
      <sheetData sheetId="23496" refreshError="1"/>
      <sheetData sheetId="23497">
        <row r="9">
          <cell r="A9" t="str">
            <v>A</v>
          </cell>
        </row>
      </sheetData>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ow r="9">
          <cell r="A9" t="str">
            <v>A</v>
          </cell>
        </row>
      </sheetData>
      <sheetData sheetId="23518">
        <row r="9">
          <cell r="A9" t="str">
            <v>A</v>
          </cell>
        </row>
      </sheetData>
      <sheetData sheetId="23519" refreshError="1"/>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sheetData sheetId="23544"/>
      <sheetData sheetId="23545"/>
      <sheetData sheetId="23546">
        <row r="9">
          <cell r="A9" t="str">
            <v>A</v>
          </cell>
        </row>
      </sheetData>
      <sheetData sheetId="23547" refreshError="1"/>
      <sheetData sheetId="23548" refreshError="1"/>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sheetData sheetId="23554">
        <row r="9">
          <cell r="A9" t="str">
            <v>A</v>
          </cell>
        </row>
      </sheetData>
      <sheetData sheetId="23555"/>
      <sheetData sheetId="23556"/>
      <sheetData sheetId="23557"/>
      <sheetData sheetId="23558"/>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sheetData sheetId="23573">
        <row r="9">
          <cell r="A9" t="str">
            <v>A</v>
          </cell>
        </row>
      </sheetData>
      <sheetData sheetId="23574">
        <row r="9">
          <cell r="A9" t="str">
            <v>A</v>
          </cell>
        </row>
      </sheetData>
      <sheetData sheetId="23575"/>
      <sheetData sheetId="23576">
        <row r="9">
          <cell r="A9" t="str">
            <v>A</v>
          </cell>
        </row>
      </sheetData>
      <sheetData sheetId="23577"/>
      <sheetData sheetId="23578"/>
      <sheetData sheetId="23579"/>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sheetData sheetId="23588">
        <row r="9">
          <cell r="A9" t="str">
            <v>A</v>
          </cell>
        </row>
      </sheetData>
      <sheetData sheetId="23589"/>
      <sheetData sheetId="23590"/>
      <sheetData sheetId="23591"/>
      <sheetData sheetId="23592"/>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sheetData sheetId="23607">
        <row r="9">
          <cell r="A9" t="str">
            <v>A</v>
          </cell>
        </row>
      </sheetData>
      <sheetData sheetId="23608">
        <row r="9">
          <cell r="A9" t="str">
            <v>A</v>
          </cell>
        </row>
      </sheetData>
      <sheetData sheetId="23609"/>
      <sheetData sheetId="23610">
        <row r="9">
          <cell r="A9" t="str">
            <v>A</v>
          </cell>
        </row>
      </sheetData>
      <sheetData sheetId="23611"/>
      <sheetData sheetId="23612"/>
      <sheetData sheetId="23613"/>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efreshError="1"/>
      <sheetData sheetId="23622">
        <row r="9">
          <cell r="A9" t="str">
            <v>A</v>
          </cell>
        </row>
      </sheetData>
      <sheetData sheetId="23623"/>
      <sheetData sheetId="23624"/>
      <sheetData sheetId="23625"/>
      <sheetData sheetId="23626"/>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efreshError="1"/>
      <sheetData sheetId="23641">
        <row r="9">
          <cell r="A9" t="str">
            <v>A</v>
          </cell>
        </row>
      </sheetData>
      <sheetData sheetId="23642">
        <row r="9">
          <cell r="A9" t="str">
            <v>A</v>
          </cell>
        </row>
      </sheetData>
      <sheetData sheetId="23643"/>
      <sheetData sheetId="23644">
        <row r="9">
          <cell r="A9" t="str">
            <v>A</v>
          </cell>
        </row>
      </sheetData>
      <sheetData sheetId="23645" refreshError="1"/>
      <sheetData sheetId="23646" refreshError="1"/>
      <sheetData sheetId="23647" refreshError="1"/>
      <sheetData sheetId="23648"/>
      <sheetData sheetId="23649">
        <row r="9">
          <cell r="A9" t="str">
            <v>A</v>
          </cell>
        </row>
      </sheetData>
      <sheetData sheetId="23650"/>
      <sheetData sheetId="23651"/>
      <sheetData sheetId="23652"/>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efreshError="1"/>
      <sheetData sheetId="23658" refreshError="1"/>
      <sheetData sheetId="23659" refreshError="1"/>
      <sheetData sheetId="23660" refreshError="1"/>
      <sheetData sheetId="23661"/>
      <sheetData sheetId="23662"/>
      <sheetData sheetId="23663"/>
      <sheetData sheetId="23664"/>
      <sheetData sheetId="23665"/>
      <sheetData sheetId="23666"/>
      <sheetData sheetId="23667"/>
      <sheetData sheetId="23668"/>
      <sheetData sheetId="23669"/>
      <sheetData sheetId="23670"/>
      <sheetData sheetId="23671"/>
      <sheetData sheetId="23672"/>
      <sheetData sheetId="23673"/>
      <sheetData sheetId="23674"/>
      <sheetData sheetId="23675"/>
      <sheetData sheetId="23676"/>
      <sheetData sheetId="23677" refreshError="1"/>
      <sheetData sheetId="23678"/>
      <sheetData sheetId="23679"/>
      <sheetData sheetId="23680"/>
      <sheetData sheetId="23681"/>
      <sheetData sheetId="23682"/>
      <sheetData sheetId="23683"/>
      <sheetData sheetId="23684"/>
      <sheetData sheetId="23685"/>
      <sheetData sheetId="23686"/>
      <sheetData sheetId="23687"/>
      <sheetData sheetId="23688"/>
      <sheetData sheetId="23689"/>
      <sheetData sheetId="23690"/>
      <sheetData sheetId="23691"/>
      <sheetData sheetId="23692"/>
      <sheetData sheetId="23693"/>
      <sheetData sheetId="23694"/>
      <sheetData sheetId="23695"/>
      <sheetData sheetId="23696"/>
      <sheetData sheetId="23697"/>
      <sheetData sheetId="23698"/>
      <sheetData sheetId="23699"/>
      <sheetData sheetId="23700"/>
      <sheetData sheetId="23701"/>
      <sheetData sheetId="23702"/>
      <sheetData sheetId="23703"/>
      <sheetData sheetId="23704"/>
      <sheetData sheetId="23705"/>
      <sheetData sheetId="23706"/>
      <sheetData sheetId="23707"/>
      <sheetData sheetId="23708"/>
      <sheetData sheetId="23709"/>
      <sheetData sheetId="23710"/>
      <sheetData sheetId="23711"/>
      <sheetData sheetId="23712"/>
      <sheetData sheetId="23713"/>
      <sheetData sheetId="23714"/>
      <sheetData sheetId="23715"/>
      <sheetData sheetId="23716"/>
      <sheetData sheetId="23717"/>
      <sheetData sheetId="23718"/>
      <sheetData sheetId="23719"/>
      <sheetData sheetId="23720"/>
      <sheetData sheetId="23721"/>
      <sheetData sheetId="23722"/>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sheetData sheetId="23737"/>
      <sheetData sheetId="23738"/>
      <sheetData sheetId="23739"/>
      <sheetData sheetId="23740"/>
      <sheetData sheetId="23741"/>
      <sheetData sheetId="23742"/>
      <sheetData sheetId="23743"/>
      <sheetData sheetId="23744"/>
      <sheetData sheetId="23745"/>
      <sheetData sheetId="23746"/>
      <sheetData sheetId="23747"/>
      <sheetData sheetId="23748"/>
      <sheetData sheetId="23749" refreshError="1"/>
      <sheetData sheetId="23750" refreshError="1"/>
      <sheetData sheetId="23751"/>
      <sheetData sheetId="23752" refreshError="1"/>
      <sheetData sheetId="23753" refreshError="1"/>
      <sheetData sheetId="23754" refreshError="1"/>
      <sheetData sheetId="23755"/>
      <sheetData sheetId="23756"/>
      <sheetData sheetId="23757"/>
      <sheetData sheetId="23758"/>
      <sheetData sheetId="23759"/>
      <sheetData sheetId="23760"/>
      <sheetData sheetId="2376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sheetData sheetId="23834" refreshError="1"/>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refreshError="1"/>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refreshError="1"/>
      <sheetData sheetId="23918"/>
      <sheetData sheetId="23919" refreshError="1"/>
      <sheetData sheetId="23920"/>
      <sheetData sheetId="23921"/>
      <sheetData sheetId="23922"/>
      <sheetData sheetId="23923"/>
      <sheetData sheetId="23924"/>
      <sheetData sheetId="23925"/>
      <sheetData sheetId="23926"/>
      <sheetData sheetId="23927"/>
      <sheetData sheetId="23928"/>
      <sheetData sheetId="23929"/>
      <sheetData sheetId="23930"/>
      <sheetData sheetId="23931" refreshError="1"/>
      <sheetData sheetId="23932"/>
      <sheetData sheetId="23933"/>
      <sheetData sheetId="23934"/>
      <sheetData sheetId="23935"/>
      <sheetData sheetId="23936" refreshError="1"/>
      <sheetData sheetId="23937"/>
      <sheetData sheetId="23938"/>
      <sheetData sheetId="23939"/>
      <sheetData sheetId="23940"/>
      <sheetData sheetId="23941"/>
      <sheetData sheetId="23942"/>
      <sheetData sheetId="23943"/>
      <sheetData sheetId="23944"/>
      <sheetData sheetId="23945"/>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sheetData sheetId="23954"/>
      <sheetData sheetId="23955"/>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sheetData sheetId="24030" refreshError="1"/>
      <sheetData sheetId="24031" refreshError="1"/>
      <sheetData sheetId="24032"/>
      <sheetData sheetId="24033"/>
      <sheetData sheetId="24034"/>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sheetData sheetId="24046" refreshError="1"/>
      <sheetData sheetId="24047" refreshError="1"/>
      <sheetData sheetId="24048" refreshError="1"/>
      <sheetData sheetId="24049"/>
      <sheetData sheetId="24050"/>
      <sheetData sheetId="24051" refreshError="1"/>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efreshError="1"/>
      <sheetData sheetId="24057">
        <row r="9">
          <cell r="A9" t="str">
            <v>A</v>
          </cell>
        </row>
      </sheetData>
      <sheetData sheetId="24058"/>
      <sheetData sheetId="24059"/>
      <sheetData sheetId="24060"/>
      <sheetData sheetId="24061"/>
      <sheetData sheetId="24062"/>
      <sheetData sheetId="24063" refreshError="1"/>
      <sheetData sheetId="24064">
        <row r="9">
          <cell r="A9" t="str">
            <v>A</v>
          </cell>
        </row>
      </sheetData>
      <sheetData sheetId="24065">
        <row r="9">
          <cell r="A9" t="str">
            <v>A</v>
          </cell>
        </row>
      </sheetData>
      <sheetData sheetId="24066" refreshError="1"/>
      <sheetData sheetId="24067" refreshError="1"/>
      <sheetData sheetId="24068" refreshError="1"/>
      <sheetData sheetId="24069">
        <row r="9">
          <cell r="A9" t="str">
            <v>A</v>
          </cell>
        </row>
      </sheetData>
      <sheetData sheetId="24070">
        <row r="9">
          <cell r="A9" t="str">
            <v>A</v>
          </cell>
        </row>
      </sheetData>
      <sheetData sheetId="24071">
        <row r="9">
          <cell r="A9" t="str">
            <v>A</v>
          </cell>
        </row>
      </sheetData>
      <sheetData sheetId="24072"/>
      <sheetData sheetId="24073">
        <row r="9">
          <cell r="A9" t="str">
            <v>A</v>
          </cell>
        </row>
      </sheetData>
      <sheetData sheetId="24074">
        <row r="9">
          <cell r="A9" t="str">
            <v>A</v>
          </cell>
        </row>
      </sheetData>
      <sheetData sheetId="24075"/>
      <sheetData sheetId="24076">
        <row r="9">
          <cell r="A9" t="str">
            <v>A</v>
          </cell>
        </row>
      </sheetData>
      <sheetData sheetId="24077"/>
      <sheetData sheetId="24078">
        <row r="9">
          <cell r="A9" t="str">
            <v>A</v>
          </cell>
        </row>
      </sheetData>
      <sheetData sheetId="24079" refreshError="1"/>
      <sheetData sheetId="24080">
        <row r="9">
          <cell r="A9" t="str">
            <v>A</v>
          </cell>
        </row>
      </sheetData>
      <sheetData sheetId="24081">
        <row r="9">
          <cell r="A9" t="str">
            <v>A</v>
          </cell>
        </row>
      </sheetData>
      <sheetData sheetId="24082"/>
      <sheetData sheetId="24083"/>
      <sheetData sheetId="24084"/>
      <sheetData sheetId="24085"/>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efreshError="1"/>
      <sheetData sheetId="24093" refreshError="1"/>
      <sheetData sheetId="24094" refreshError="1"/>
      <sheetData sheetId="24095" refreshError="1"/>
      <sheetData sheetId="24096" refreshError="1"/>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sheetData sheetId="24107"/>
      <sheetData sheetId="24108">
        <row r="9">
          <cell r="A9" t="str">
            <v>A</v>
          </cell>
        </row>
      </sheetData>
      <sheetData sheetId="24109"/>
      <sheetData sheetId="24110">
        <row r="9">
          <cell r="A9" t="str">
            <v>A</v>
          </cell>
        </row>
      </sheetData>
      <sheetData sheetId="24111"/>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sheetData sheetId="24117"/>
      <sheetData sheetId="24118"/>
      <sheetData sheetId="24119"/>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sheetData sheetId="24141"/>
      <sheetData sheetId="24142">
        <row r="9">
          <cell r="A9" t="str">
            <v>A</v>
          </cell>
        </row>
      </sheetData>
      <sheetData sheetId="24143"/>
      <sheetData sheetId="24144">
        <row r="9">
          <cell r="A9" t="str">
            <v>A</v>
          </cell>
        </row>
      </sheetData>
      <sheetData sheetId="24145"/>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efreshError="1"/>
      <sheetData sheetId="24151" refreshError="1"/>
      <sheetData sheetId="24152" refreshError="1"/>
      <sheetData sheetId="24153" refreshError="1"/>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efreshError="1"/>
      <sheetData sheetId="24175"/>
      <sheetData sheetId="24176">
        <row r="9">
          <cell r="A9" t="str">
            <v>A</v>
          </cell>
        </row>
      </sheetData>
      <sheetData sheetId="24177" refreshError="1"/>
      <sheetData sheetId="24178">
        <row r="9">
          <cell r="A9" t="str">
            <v>A</v>
          </cell>
        </row>
      </sheetData>
      <sheetData sheetId="24179" refreshError="1"/>
      <sheetData sheetId="24180"/>
      <sheetData sheetId="24181">
        <row r="9">
          <cell r="A9" t="str">
            <v>A</v>
          </cell>
        </row>
      </sheetData>
      <sheetData sheetId="24182">
        <row r="9">
          <cell r="A9" t="str">
            <v>A</v>
          </cell>
        </row>
      </sheetData>
      <sheetData sheetId="24183">
        <row r="9">
          <cell r="A9" t="str">
            <v>A</v>
          </cell>
        </row>
      </sheetData>
      <sheetData sheetId="24184"/>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sheetData sheetId="24205"/>
      <sheetData sheetId="24206"/>
      <sheetData sheetId="24207"/>
      <sheetData sheetId="24208"/>
      <sheetData sheetId="24209" refreshError="1"/>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sheetData sheetId="24260"/>
      <sheetData sheetId="24261"/>
      <sheetData sheetId="24262"/>
      <sheetData sheetId="24263"/>
      <sheetData sheetId="24264"/>
      <sheetData sheetId="24265"/>
      <sheetData sheetId="24266"/>
      <sheetData sheetId="24267"/>
      <sheetData sheetId="24268"/>
      <sheetData sheetId="24269"/>
      <sheetData sheetId="24270"/>
      <sheetData sheetId="24271"/>
      <sheetData sheetId="24272"/>
      <sheetData sheetId="24273"/>
      <sheetData sheetId="24274"/>
      <sheetData sheetId="24275"/>
      <sheetData sheetId="24276"/>
      <sheetData sheetId="24277"/>
      <sheetData sheetId="24278"/>
      <sheetData sheetId="24279"/>
      <sheetData sheetId="24280"/>
      <sheetData sheetId="24281" refreshError="1"/>
      <sheetData sheetId="24282" refreshError="1"/>
      <sheetData sheetId="24283"/>
      <sheetData sheetId="24284"/>
      <sheetData sheetId="24285"/>
      <sheetData sheetId="24286" refreshError="1"/>
      <sheetData sheetId="24287"/>
      <sheetData sheetId="24288"/>
      <sheetData sheetId="24289"/>
      <sheetData sheetId="24290"/>
      <sheetData sheetId="24291"/>
      <sheetData sheetId="24292"/>
      <sheetData sheetId="24293"/>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sheetData sheetId="24366"/>
      <sheetData sheetId="24367"/>
      <sheetData sheetId="24368"/>
      <sheetData sheetId="24369"/>
      <sheetData sheetId="24370"/>
      <sheetData sheetId="24371"/>
      <sheetData sheetId="24372"/>
      <sheetData sheetId="24373"/>
      <sheetData sheetId="24374"/>
      <sheetData sheetId="24375"/>
      <sheetData sheetId="24376"/>
      <sheetData sheetId="24377">
        <row r="9">
          <cell r="A9" t="str">
            <v>A</v>
          </cell>
        </row>
      </sheetData>
      <sheetData sheetId="24378">
        <row r="9">
          <cell r="A9" t="str">
            <v>A</v>
          </cell>
        </row>
      </sheetData>
      <sheetData sheetId="24379"/>
      <sheetData sheetId="24380"/>
      <sheetData sheetId="24381"/>
      <sheetData sheetId="24382"/>
      <sheetData sheetId="24383"/>
      <sheetData sheetId="24384"/>
      <sheetData sheetId="24385"/>
      <sheetData sheetId="24386"/>
      <sheetData sheetId="24387"/>
      <sheetData sheetId="24388"/>
      <sheetData sheetId="24389"/>
      <sheetData sheetId="24390"/>
      <sheetData sheetId="24391"/>
      <sheetData sheetId="24392"/>
      <sheetData sheetId="24393"/>
      <sheetData sheetId="24394" refreshError="1"/>
      <sheetData sheetId="24395" refreshError="1"/>
      <sheetData sheetId="24396"/>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sheetData sheetId="24412">
        <row r="9">
          <cell r="A9" t="str">
            <v>A</v>
          </cell>
        </row>
      </sheetData>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sheetData sheetId="24434"/>
      <sheetData sheetId="24435"/>
      <sheetData sheetId="24436" refreshError="1"/>
      <sheetData sheetId="24437" refreshError="1"/>
      <sheetData sheetId="24438"/>
      <sheetData sheetId="24439"/>
      <sheetData sheetId="24440"/>
      <sheetData sheetId="24441"/>
      <sheetData sheetId="24442"/>
      <sheetData sheetId="24443"/>
      <sheetData sheetId="24444"/>
      <sheetData sheetId="24445"/>
      <sheetData sheetId="24446">
        <row r="9">
          <cell r="A9" t="str">
            <v>A</v>
          </cell>
        </row>
      </sheetData>
      <sheetData sheetId="24447"/>
      <sheetData sheetId="24448"/>
      <sheetData sheetId="24449"/>
      <sheetData sheetId="24450"/>
      <sheetData sheetId="2445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sheetData sheetId="24479"/>
      <sheetData sheetId="24480">
        <row r="9">
          <cell r="A9" t="str">
            <v>A</v>
          </cell>
        </row>
      </sheetData>
      <sheetData sheetId="24481" refreshError="1"/>
      <sheetData sheetId="24482" refreshError="1"/>
      <sheetData sheetId="24483" refreshError="1"/>
      <sheetData sheetId="24484" refreshError="1"/>
      <sheetData sheetId="24485" refreshError="1"/>
      <sheetData sheetId="24486"/>
      <sheetData sheetId="24487">
        <row r="9">
          <cell r="A9" t="str">
            <v>A</v>
          </cell>
        </row>
      </sheetData>
      <sheetData sheetId="24488">
        <row r="9">
          <cell r="A9" t="str">
            <v>A</v>
          </cell>
        </row>
      </sheetData>
      <sheetData sheetId="24489" refreshError="1"/>
      <sheetData sheetId="24490" refreshError="1"/>
      <sheetData sheetId="24491">
        <row r="9">
          <cell r="A9" t="str">
            <v>A</v>
          </cell>
        </row>
      </sheetData>
      <sheetData sheetId="24492" refreshError="1"/>
      <sheetData sheetId="24493">
        <row r="9">
          <cell r="A9" t="str">
            <v>A</v>
          </cell>
        </row>
      </sheetData>
      <sheetData sheetId="24494">
        <row r="9">
          <cell r="A9" t="str">
            <v>A</v>
          </cell>
        </row>
      </sheetData>
      <sheetData sheetId="24495" refreshError="1"/>
      <sheetData sheetId="24496" refreshError="1"/>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efreshError="1"/>
      <sheetData sheetId="24512" refreshError="1"/>
      <sheetData sheetId="24513" refreshError="1"/>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sheetData sheetId="24532"/>
      <sheetData sheetId="24533"/>
      <sheetData sheetId="24534"/>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sheetData sheetId="24546"/>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sheetData sheetId="24552">
        <row r="9">
          <cell r="A9" t="str">
            <v>A</v>
          </cell>
        </row>
      </sheetData>
      <sheetData sheetId="24553">
        <row r="9">
          <cell r="A9" t="str">
            <v>A</v>
          </cell>
        </row>
      </sheetData>
      <sheetData sheetId="24554"/>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sheetData sheetId="24566"/>
      <sheetData sheetId="24567"/>
      <sheetData sheetId="24568"/>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sheetData sheetId="24580"/>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sheetData sheetId="24586">
        <row r="9">
          <cell r="A9" t="str">
            <v>A</v>
          </cell>
        </row>
      </sheetData>
      <sheetData sheetId="24587">
        <row r="9">
          <cell r="A9" t="str">
            <v>A</v>
          </cell>
        </row>
      </sheetData>
      <sheetData sheetId="24588"/>
      <sheetData sheetId="24589"/>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sheetData sheetId="24600"/>
      <sheetData sheetId="24601"/>
      <sheetData sheetId="24602"/>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efreshError="1"/>
      <sheetData sheetId="24614" refreshError="1"/>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sheetData sheetId="24620">
        <row r="9">
          <cell r="A9" t="str">
            <v>A</v>
          </cell>
        </row>
      </sheetData>
      <sheetData sheetId="24621">
        <row r="9">
          <cell r="A9" t="str">
            <v>A</v>
          </cell>
        </row>
      </sheetData>
      <sheetData sheetId="24622" refreshError="1"/>
      <sheetData sheetId="24623" refreshError="1"/>
      <sheetData sheetId="24624"/>
      <sheetData sheetId="24625">
        <row r="9">
          <cell r="A9" t="str">
            <v>A</v>
          </cell>
        </row>
      </sheetData>
      <sheetData sheetId="24626">
        <row r="9">
          <cell r="A9" t="str">
            <v>A</v>
          </cell>
        </row>
      </sheetData>
      <sheetData sheetId="24627">
        <row r="9">
          <cell r="A9" t="str">
            <v>A</v>
          </cell>
        </row>
      </sheetData>
      <sheetData sheetId="24628">
        <row r="9">
          <cell r="A9" t="str">
            <v>A</v>
          </cell>
        </row>
      </sheetData>
      <sheetData sheetId="24629"/>
      <sheetData sheetId="24630"/>
      <sheetData sheetId="24631"/>
      <sheetData sheetId="24632"/>
      <sheetData sheetId="24633" refreshError="1"/>
      <sheetData sheetId="24634" refreshError="1"/>
      <sheetData sheetId="24635" refreshError="1"/>
      <sheetData sheetId="24636" refreshError="1"/>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refreshError="1"/>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refreshError="1"/>
      <sheetData sheetId="24726" refreshError="1"/>
      <sheetData sheetId="24727"/>
      <sheetData sheetId="24728"/>
      <sheetData sheetId="24729"/>
      <sheetData sheetId="24730"/>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sheetData sheetId="24804"/>
      <sheetData sheetId="24805"/>
      <sheetData sheetId="24806"/>
      <sheetData sheetId="24807"/>
      <sheetData sheetId="24808"/>
      <sheetData sheetId="24809"/>
      <sheetData sheetId="24810"/>
      <sheetData sheetId="24811"/>
      <sheetData sheetId="24812"/>
      <sheetData sheetId="24813"/>
      <sheetData sheetId="24814" refreshError="1"/>
      <sheetData sheetId="24815" refreshError="1"/>
      <sheetData sheetId="24816" refreshError="1"/>
      <sheetData sheetId="24817" refreshError="1"/>
      <sheetData sheetId="24818"/>
      <sheetData sheetId="24819"/>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sheetData sheetId="24829"/>
      <sheetData sheetId="24830"/>
      <sheetData sheetId="24831" refreshError="1"/>
      <sheetData sheetId="24832"/>
      <sheetData sheetId="24833"/>
      <sheetData sheetId="24834"/>
      <sheetData sheetId="24835"/>
      <sheetData sheetId="24836"/>
      <sheetData sheetId="24837"/>
      <sheetData sheetId="24838"/>
      <sheetData sheetId="24839" refreshError="1"/>
      <sheetData sheetId="24840" refreshError="1"/>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row r="9">
          <cell r="A9" t="str">
            <v>A</v>
          </cell>
        </row>
      </sheetData>
      <sheetData sheetId="24890">
        <row r="9">
          <cell r="A9" t="str">
            <v>A</v>
          </cell>
        </row>
      </sheetData>
      <sheetData sheetId="24891">
        <row r="9">
          <cell r="A9" t="str">
            <v>A</v>
          </cell>
        </row>
      </sheetData>
      <sheetData sheetId="24892"/>
      <sheetData sheetId="24893"/>
      <sheetData sheetId="24894"/>
      <sheetData sheetId="24895"/>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sheetData sheetId="24925"/>
      <sheetData sheetId="24926"/>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sheetData sheetId="24935"/>
      <sheetData sheetId="24936"/>
      <sheetData sheetId="24937"/>
      <sheetData sheetId="24938"/>
      <sheetData sheetId="24939" refreshError="1"/>
      <sheetData sheetId="24940"/>
      <sheetData sheetId="24941" refreshError="1"/>
      <sheetData sheetId="24942" refreshError="1"/>
      <sheetData sheetId="24943" refreshError="1"/>
      <sheetData sheetId="24944"/>
      <sheetData sheetId="24945"/>
      <sheetData sheetId="24946"/>
      <sheetData sheetId="24947"/>
      <sheetData sheetId="24948" refreshError="1"/>
      <sheetData sheetId="24949" refreshError="1"/>
      <sheetData sheetId="24950"/>
      <sheetData sheetId="24951" refreshError="1"/>
      <sheetData sheetId="24952" refreshError="1"/>
      <sheetData sheetId="24953" refreshError="1"/>
      <sheetData sheetId="24954">
        <row r="9">
          <cell r="A9" t="str">
            <v>A</v>
          </cell>
        </row>
      </sheetData>
      <sheetData sheetId="24955" refreshError="1"/>
      <sheetData sheetId="24956"/>
      <sheetData sheetId="24957">
        <row r="9">
          <cell r="A9" t="str">
            <v>A</v>
          </cell>
        </row>
      </sheetData>
      <sheetData sheetId="24958" refreshError="1"/>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refreshError="1"/>
      <sheetData sheetId="24975">
        <row r="9">
          <cell r="A9" t="str">
            <v>A</v>
          </cell>
        </row>
      </sheetData>
      <sheetData sheetId="24976" refreshError="1"/>
      <sheetData sheetId="24977" refreshError="1"/>
      <sheetData sheetId="24978" refreshError="1"/>
      <sheetData sheetId="24979"/>
      <sheetData sheetId="24980"/>
      <sheetData sheetId="24981"/>
      <sheetData sheetId="24982"/>
      <sheetData sheetId="24983" refreshError="1"/>
      <sheetData sheetId="24984" refreshError="1"/>
      <sheetData sheetId="24985"/>
      <sheetData sheetId="24986" refreshError="1"/>
      <sheetData sheetId="24987" refreshError="1"/>
      <sheetData sheetId="24988" refreshError="1"/>
      <sheetData sheetId="24989"/>
      <sheetData sheetId="24990" refreshError="1"/>
      <sheetData sheetId="24991"/>
      <sheetData sheetId="24992"/>
      <sheetData sheetId="24993" refreshError="1"/>
      <sheetData sheetId="24994"/>
      <sheetData sheetId="24995"/>
      <sheetData sheetId="24996"/>
      <sheetData sheetId="24997"/>
      <sheetData sheetId="24998"/>
      <sheetData sheetId="24999"/>
      <sheetData sheetId="25000"/>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ow r="9">
          <cell r="A9" t="str">
            <v>A</v>
          </cell>
        </row>
      </sheetData>
      <sheetData sheetId="25011" refreshError="1"/>
      <sheetData sheetId="25012" refreshError="1"/>
      <sheetData sheetId="25013" refreshError="1"/>
      <sheetData sheetId="25014"/>
      <sheetData sheetId="25015"/>
      <sheetData sheetId="25016" refreshError="1"/>
      <sheetData sheetId="25017" refreshError="1"/>
      <sheetData sheetId="25018" refreshError="1"/>
      <sheetData sheetId="25019" refreshError="1"/>
      <sheetData sheetId="25020"/>
      <sheetData sheetId="25021" refreshError="1"/>
      <sheetData sheetId="25022" refreshError="1"/>
      <sheetData sheetId="25023" refreshError="1"/>
      <sheetData sheetId="25024"/>
      <sheetData sheetId="25025" refreshError="1"/>
      <sheetData sheetId="25026"/>
      <sheetData sheetId="25027"/>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sheetData sheetId="25070"/>
      <sheetData sheetId="25071"/>
      <sheetData sheetId="25072"/>
      <sheetData sheetId="25073"/>
      <sheetData sheetId="25074"/>
      <sheetData sheetId="25075"/>
      <sheetData sheetId="25076"/>
      <sheetData sheetId="25077"/>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sheetData sheetId="25085"/>
      <sheetData sheetId="25086"/>
      <sheetData sheetId="25087"/>
      <sheetData sheetId="25088"/>
      <sheetData sheetId="25089"/>
      <sheetData sheetId="25090"/>
      <sheetData sheetId="25091"/>
      <sheetData sheetId="25092"/>
      <sheetData sheetId="25093"/>
      <sheetData sheetId="25094"/>
      <sheetData sheetId="25095"/>
      <sheetData sheetId="25096"/>
      <sheetData sheetId="25097">
        <row r="9">
          <cell r="A9" t="str">
            <v>A</v>
          </cell>
        </row>
      </sheetData>
      <sheetData sheetId="25098">
        <row r="9">
          <cell r="A9" t="str">
            <v>A</v>
          </cell>
        </row>
      </sheetData>
      <sheetData sheetId="25099">
        <row r="9">
          <cell r="A9" t="str">
            <v>A</v>
          </cell>
        </row>
      </sheetData>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sheetData sheetId="25115"/>
      <sheetData sheetId="25116"/>
      <sheetData sheetId="25117"/>
      <sheetData sheetId="25118"/>
      <sheetData sheetId="25119"/>
      <sheetData sheetId="25120"/>
      <sheetData sheetId="25121"/>
      <sheetData sheetId="25122"/>
      <sheetData sheetId="25123"/>
      <sheetData sheetId="25124"/>
      <sheetData sheetId="25125"/>
      <sheetData sheetId="25126"/>
      <sheetData sheetId="25127"/>
      <sheetData sheetId="25128"/>
      <sheetData sheetId="25129"/>
      <sheetData sheetId="25130"/>
      <sheetData sheetId="25131"/>
      <sheetData sheetId="25132"/>
      <sheetData sheetId="25133"/>
      <sheetData sheetId="25134"/>
      <sheetData sheetId="25135"/>
      <sheetData sheetId="25136"/>
      <sheetData sheetId="25137"/>
      <sheetData sheetId="25138"/>
      <sheetData sheetId="25139"/>
      <sheetData sheetId="25140"/>
      <sheetData sheetId="25141"/>
      <sheetData sheetId="25142"/>
      <sheetData sheetId="25143"/>
      <sheetData sheetId="25144"/>
      <sheetData sheetId="25145"/>
      <sheetData sheetId="25146"/>
      <sheetData sheetId="25147"/>
      <sheetData sheetId="25148"/>
      <sheetData sheetId="25149"/>
      <sheetData sheetId="25150"/>
      <sheetData sheetId="25151"/>
      <sheetData sheetId="25152"/>
      <sheetData sheetId="25153"/>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sheetData sheetId="25168"/>
      <sheetData sheetId="25169"/>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sheetData sheetId="25184"/>
      <sheetData sheetId="25185"/>
      <sheetData sheetId="25186"/>
      <sheetData sheetId="25187"/>
      <sheetData sheetId="25188"/>
      <sheetData sheetId="25189"/>
      <sheetData sheetId="25190"/>
      <sheetData sheetId="25191"/>
      <sheetData sheetId="25192"/>
      <sheetData sheetId="25193"/>
      <sheetData sheetId="25194"/>
      <sheetData sheetId="25195"/>
      <sheetData sheetId="25196"/>
      <sheetData sheetId="25197"/>
      <sheetData sheetId="25198"/>
      <sheetData sheetId="25199"/>
      <sheetData sheetId="25200"/>
      <sheetData sheetId="25201"/>
      <sheetData sheetId="25202"/>
      <sheetData sheetId="25203"/>
      <sheetData sheetId="25204"/>
      <sheetData sheetId="25205"/>
      <sheetData sheetId="25206"/>
      <sheetData sheetId="25207"/>
      <sheetData sheetId="25208"/>
      <sheetData sheetId="25209"/>
      <sheetData sheetId="25210"/>
      <sheetData sheetId="25211"/>
      <sheetData sheetId="25212"/>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sheetData sheetId="25414"/>
      <sheetData sheetId="25415"/>
      <sheetData sheetId="25416"/>
      <sheetData sheetId="25417"/>
      <sheetData sheetId="25418"/>
      <sheetData sheetId="25419"/>
      <sheetData sheetId="25420"/>
      <sheetData sheetId="25421"/>
      <sheetData sheetId="25422"/>
      <sheetData sheetId="25423"/>
      <sheetData sheetId="25424"/>
      <sheetData sheetId="25425"/>
      <sheetData sheetId="25426"/>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efreshError="1"/>
      <sheetData sheetId="27019" refreshError="1"/>
      <sheetData sheetId="27020">
        <row r="9">
          <cell r="A9" t="str">
            <v>A</v>
          </cell>
        </row>
      </sheetData>
      <sheetData sheetId="27021"/>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efreshError="1"/>
      <sheetData sheetId="27036" refreshError="1"/>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efreshError="1"/>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sheetData sheetId="27146"/>
      <sheetData sheetId="27147"/>
      <sheetData sheetId="27148"/>
      <sheetData sheetId="27149"/>
      <sheetData sheetId="27150"/>
      <sheetData sheetId="27151"/>
      <sheetData sheetId="27152"/>
      <sheetData sheetId="27153"/>
      <sheetData sheetId="27154"/>
      <sheetData sheetId="27155"/>
      <sheetData sheetId="27156"/>
      <sheetData sheetId="27157"/>
      <sheetData sheetId="27158"/>
      <sheetData sheetId="27159"/>
      <sheetData sheetId="27160"/>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refreshError="1"/>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sheetData sheetId="27239"/>
      <sheetData sheetId="27240"/>
      <sheetData sheetId="27241"/>
      <sheetData sheetId="27242"/>
      <sheetData sheetId="27243"/>
      <sheetData sheetId="27244"/>
      <sheetData sheetId="27245"/>
      <sheetData sheetId="27246"/>
      <sheetData sheetId="27247"/>
      <sheetData sheetId="27248"/>
      <sheetData sheetId="27249"/>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sheetData sheetId="27345"/>
      <sheetData sheetId="27346"/>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sheetData sheetId="27388"/>
      <sheetData sheetId="27389"/>
      <sheetData sheetId="27390"/>
      <sheetData sheetId="27391"/>
      <sheetData sheetId="27392">
        <row r="9">
          <cell r="A9" t="str">
            <v>A</v>
          </cell>
        </row>
      </sheetData>
      <sheetData sheetId="27393"/>
      <sheetData sheetId="27394">
        <row r="9">
          <cell r="A9" t="str">
            <v>A</v>
          </cell>
        </row>
      </sheetData>
      <sheetData sheetId="27395">
        <row r="9">
          <cell r="A9" t="str">
            <v>A</v>
          </cell>
        </row>
      </sheetData>
      <sheetData sheetId="27396"/>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sheetData sheetId="27420"/>
      <sheetData sheetId="27421"/>
      <sheetData sheetId="27422"/>
      <sheetData sheetId="27423"/>
      <sheetData sheetId="27424"/>
      <sheetData sheetId="27425"/>
      <sheetData sheetId="27426"/>
      <sheetData sheetId="27427">
        <row r="9">
          <cell r="A9" t="str">
            <v>A</v>
          </cell>
        </row>
      </sheetData>
      <sheetData sheetId="27428"/>
      <sheetData sheetId="27429">
        <row r="9">
          <cell r="A9" t="str">
            <v>A</v>
          </cell>
        </row>
      </sheetData>
      <sheetData sheetId="27430">
        <row r="9">
          <cell r="A9" t="str">
            <v>A</v>
          </cell>
        </row>
      </sheetData>
      <sheetData sheetId="27431"/>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efreshError="1"/>
      <sheetData sheetId="27455"/>
      <sheetData sheetId="27456" refreshError="1"/>
      <sheetData sheetId="27457" refreshError="1"/>
      <sheetData sheetId="27458" refreshError="1"/>
      <sheetData sheetId="27459" refreshError="1"/>
      <sheetData sheetId="27460" refreshError="1"/>
      <sheetData sheetId="27461" refreshError="1"/>
      <sheetData sheetId="27462">
        <row r="9">
          <cell r="A9" t="str">
            <v>A</v>
          </cell>
        </row>
      </sheetData>
      <sheetData sheetId="27463" refreshError="1"/>
      <sheetData sheetId="27464">
        <row r="9">
          <cell r="A9" t="str">
            <v>A</v>
          </cell>
        </row>
      </sheetData>
      <sheetData sheetId="27465">
        <row r="9">
          <cell r="A9" t="str">
            <v>A</v>
          </cell>
        </row>
      </sheetData>
      <sheetData sheetId="27466" refreshError="1"/>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sheetData sheetId="27483"/>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efreshError="1"/>
      <sheetData sheetId="27491" refreshError="1"/>
      <sheetData sheetId="27492">
        <row r="9">
          <cell r="A9" t="str">
            <v>A</v>
          </cell>
        </row>
      </sheetData>
      <sheetData sheetId="27493">
        <row r="9">
          <cell r="A9" t="str">
            <v>A</v>
          </cell>
        </row>
      </sheetData>
      <sheetData sheetId="27494"/>
      <sheetData sheetId="27495">
        <row r="9">
          <cell r="A9" t="str">
            <v>A</v>
          </cell>
        </row>
      </sheetData>
      <sheetData sheetId="27496"/>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sheetData sheetId="27518"/>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ow r="9">
          <cell r="A9" t="str">
            <v>A</v>
          </cell>
        </row>
      </sheetData>
      <sheetData sheetId="27526"/>
      <sheetData sheetId="27527"/>
      <sheetData sheetId="27528"/>
      <sheetData sheetId="27529"/>
      <sheetData sheetId="27530"/>
      <sheetData sheetId="27531"/>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sheetData sheetId="27553"/>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sheetData sheetId="27562"/>
      <sheetData sheetId="27563"/>
      <sheetData sheetId="27564"/>
      <sheetData sheetId="27565"/>
      <sheetData sheetId="27566"/>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efreshError="1"/>
      <sheetData sheetId="27588" refreshError="1"/>
      <sheetData sheetId="27589">
        <row r="9">
          <cell r="A9" t="str">
            <v>A</v>
          </cell>
        </row>
      </sheetData>
      <sheetData sheetId="27590">
        <row r="9">
          <cell r="A9" t="str">
            <v>A</v>
          </cell>
        </row>
      </sheetData>
      <sheetData sheetId="27591">
        <row r="9">
          <cell r="A9" t="str">
            <v>A</v>
          </cell>
        </row>
      </sheetData>
      <sheetData sheetId="27592"/>
      <sheetData sheetId="27593"/>
      <sheetData sheetId="27594">
        <row r="9">
          <cell r="A9" t="str">
            <v>A</v>
          </cell>
        </row>
      </sheetData>
      <sheetData sheetId="27595">
        <row r="9">
          <cell r="A9" t="str">
            <v>A</v>
          </cell>
        </row>
      </sheetData>
      <sheetData sheetId="27596"/>
      <sheetData sheetId="27597"/>
      <sheetData sheetId="27598"/>
      <sheetData sheetId="27599" refreshError="1"/>
      <sheetData sheetId="27600"/>
      <sheetData sheetId="27601" refreshError="1"/>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sheetData sheetId="27617">
        <row r="9">
          <cell r="A9" t="str">
            <v>A</v>
          </cell>
        </row>
      </sheetData>
      <sheetData sheetId="27618">
        <row r="9">
          <cell r="A9" t="str">
            <v>A</v>
          </cell>
        </row>
      </sheetData>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refreshError="1"/>
      <sheetData sheetId="27632" refreshError="1"/>
      <sheetData sheetId="27633" refreshError="1"/>
      <sheetData sheetId="27634" refreshError="1"/>
      <sheetData sheetId="27635" refreshError="1"/>
      <sheetData sheetId="27636" refreshError="1"/>
      <sheetData sheetId="27637"/>
      <sheetData sheetId="27638"/>
      <sheetData sheetId="27639"/>
      <sheetData sheetId="27640"/>
      <sheetData sheetId="27641"/>
      <sheetData sheetId="27642"/>
      <sheetData sheetId="27643"/>
      <sheetData sheetId="27644"/>
      <sheetData sheetId="27645"/>
      <sheetData sheetId="27646"/>
      <sheetData sheetId="27647"/>
      <sheetData sheetId="27648"/>
      <sheetData sheetId="27649"/>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sheetData sheetId="27682"/>
      <sheetData sheetId="27683"/>
      <sheetData sheetId="27684"/>
      <sheetData sheetId="27685"/>
      <sheetData sheetId="27686" refreshError="1"/>
      <sheetData sheetId="27687"/>
      <sheetData sheetId="27688"/>
      <sheetData sheetId="27689"/>
      <sheetData sheetId="27690"/>
      <sheetData sheetId="27691"/>
      <sheetData sheetId="27692"/>
      <sheetData sheetId="27693"/>
      <sheetData sheetId="27694"/>
      <sheetData sheetId="27695"/>
      <sheetData sheetId="27696"/>
      <sheetData sheetId="27697" refreshError="1"/>
      <sheetData sheetId="27698" refreshError="1"/>
      <sheetData sheetId="27699"/>
      <sheetData sheetId="27700"/>
      <sheetData sheetId="27701"/>
      <sheetData sheetId="27702" refreshError="1"/>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sheetData sheetId="27798" refreshError="1"/>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sheetData sheetId="27860">
        <row r="9">
          <cell r="A9" t="str">
            <v>A</v>
          </cell>
        </row>
      </sheetData>
      <sheetData sheetId="27861" refreshError="1"/>
      <sheetData sheetId="27862" refreshError="1"/>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sheetData sheetId="27887"/>
      <sheetData sheetId="27888"/>
      <sheetData sheetId="27889"/>
      <sheetData sheetId="27890"/>
      <sheetData sheetId="27891"/>
      <sheetData sheetId="27892"/>
      <sheetData sheetId="27893"/>
      <sheetData sheetId="27894" refreshError="1"/>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refreshError="1"/>
      <sheetData sheetId="27913" refreshError="1"/>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refreshError="1"/>
      <sheetData sheetId="27987"/>
      <sheetData sheetId="27988"/>
      <sheetData sheetId="27989"/>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ow r="9">
          <cell r="A9" t="str">
            <v>A</v>
          </cell>
        </row>
      </sheetData>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row r="9">
          <cell r="A9" t="str">
            <v>A</v>
          </cell>
        </row>
      </sheetData>
      <sheetData sheetId="28094">
        <row r="9">
          <cell r="A9" t="str">
            <v>A</v>
          </cell>
        </row>
      </sheetData>
      <sheetData sheetId="28095">
        <row r="9">
          <cell r="A9" t="str">
            <v>A</v>
          </cell>
        </row>
      </sheetData>
      <sheetData sheetId="28096">
        <row r="9">
          <cell r="A9" t="str">
            <v>A</v>
          </cell>
        </row>
      </sheetData>
      <sheetData sheetId="28097"/>
      <sheetData sheetId="28098">
        <row r="9">
          <cell r="A9" t="str">
            <v>A</v>
          </cell>
        </row>
      </sheetData>
      <sheetData sheetId="28099">
        <row r="9">
          <cell r="A9" t="str">
            <v>A</v>
          </cell>
        </row>
      </sheetData>
      <sheetData sheetId="28100"/>
      <sheetData sheetId="28101">
        <row r="9">
          <cell r="A9" t="str">
            <v>A</v>
          </cell>
        </row>
      </sheetData>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sheetData sheetId="28122"/>
      <sheetData sheetId="28123"/>
      <sheetData sheetId="28124"/>
      <sheetData sheetId="28125"/>
      <sheetData sheetId="28126"/>
      <sheetData sheetId="28127"/>
      <sheetData sheetId="28128"/>
      <sheetData sheetId="28129"/>
      <sheetData sheetId="28130"/>
      <sheetData sheetId="28131"/>
      <sheetData sheetId="28132"/>
      <sheetData sheetId="28133"/>
      <sheetData sheetId="28134">
        <row r="9">
          <cell r="A9" t="str">
            <v>A</v>
          </cell>
        </row>
      </sheetData>
      <sheetData sheetId="28135"/>
      <sheetData sheetId="28136">
        <row r="9">
          <cell r="A9" t="str">
            <v>A</v>
          </cell>
        </row>
      </sheetData>
      <sheetData sheetId="28137">
        <row r="9">
          <cell r="A9" t="str">
            <v>A</v>
          </cell>
        </row>
      </sheetData>
      <sheetData sheetId="28138"/>
      <sheetData sheetId="28139"/>
      <sheetData sheetId="28140"/>
      <sheetData sheetId="28141"/>
      <sheetData sheetId="28142"/>
      <sheetData sheetId="28143"/>
      <sheetData sheetId="28144"/>
      <sheetData sheetId="28145"/>
      <sheetData sheetId="28146"/>
      <sheetData sheetId="28147"/>
      <sheetData sheetId="28148"/>
      <sheetData sheetId="28149"/>
      <sheetData sheetId="28150"/>
      <sheetData sheetId="28151"/>
      <sheetData sheetId="28152"/>
      <sheetData sheetId="28153"/>
      <sheetData sheetId="28154"/>
      <sheetData sheetId="28155"/>
      <sheetData sheetId="28156"/>
      <sheetData sheetId="28157"/>
      <sheetData sheetId="28158"/>
      <sheetData sheetId="28159"/>
      <sheetData sheetId="28160"/>
      <sheetData sheetId="28161"/>
      <sheetData sheetId="28162"/>
      <sheetData sheetId="28163"/>
      <sheetData sheetId="28164">
        <row r="9">
          <cell r="A9" t="str">
            <v>A</v>
          </cell>
        </row>
      </sheetData>
      <sheetData sheetId="28165"/>
      <sheetData sheetId="28166"/>
      <sheetData sheetId="28167"/>
      <sheetData sheetId="28168"/>
      <sheetData sheetId="28169">
        <row r="9">
          <cell r="A9" t="str">
            <v>A</v>
          </cell>
        </row>
      </sheetData>
      <sheetData sheetId="28170"/>
      <sheetData sheetId="28171">
        <row r="9">
          <cell r="A9" t="str">
            <v>A</v>
          </cell>
        </row>
      </sheetData>
      <sheetData sheetId="28172">
        <row r="9">
          <cell r="A9" t="str">
            <v>A</v>
          </cell>
        </row>
      </sheetData>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ow r="9">
          <cell r="A9" t="str">
            <v>A</v>
          </cell>
        </row>
      </sheetData>
      <sheetData sheetId="28200" refreshError="1"/>
      <sheetData sheetId="28201" refreshError="1"/>
      <sheetData sheetId="28202" refreshError="1"/>
      <sheetData sheetId="28203" refreshError="1"/>
      <sheetData sheetId="28204">
        <row r="9">
          <cell r="A9" t="str">
            <v>A</v>
          </cell>
        </row>
      </sheetData>
      <sheetData sheetId="28205" refreshError="1"/>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sheetData sheetId="28211"/>
      <sheetData sheetId="28212">
        <row r="9">
          <cell r="A9" t="str">
            <v>A</v>
          </cell>
        </row>
      </sheetData>
      <sheetData sheetId="28213">
        <row r="9">
          <cell r="A9" t="str">
            <v>A</v>
          </cell>
        </row>
      </sheetData>
      <sheetData sheetId="28214"/>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sheetData sheetId="28220">
        <row r="9">
          <cell r="A9" t="str">
            <v>A</v>
          </cell>
        </row>
      </sheetData>
      <sheetData sheetId="28221">
        <row r="9">
          <cell r="A9" t="str">
            <v>A</v>
          </cell>
        </row>
      </sheetData>
      <sheetData sheetId="28222" refreshError="1"/>
      <sheetData sheetId="28223" refreshError="1"/>
      <sheetData sheetId="28224">
        <row r="9">
          <cell r="A9" t="str">
            <v>A</v>
          </cell>
        </row>
      </sheetData>
      <sheetData sheetId="28225">
        <row r="9">
          <cell r="A9" t="str">
            <v>A</v>
          </cell>
        </row>
      </sheetData>
      <sheetData sheetId="28226"/>
      <sheetData sheetId="28227"/>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efreshError="1"/>
      <sheetData sheetId="28246" refreshError="1"/>
      <sheetData sheetId="28247">
        <row r="9">
          <cell r="A9" t="str">
            <v>A</v>
          </cell>
        </row>
      </sheetData>
      <sheetData sheetId="28248">
        <row r="9">
          <cell r="A9" t="str">
            <v>A</v>
          </cell>
        </row>
      </sheetData>
      <sheetData sheetId="28249" refreshError="1"/>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sheetData sheetId="28267"/>
      <sheetData sheetId="28268"/>
      <sheetData sheetId="28269"/>
      <sheetData sheetId="28270"/>
      <sheetData sheetId="28271"/>
      <sheetData sheetId="28272"/>
      <sheetData sheetId="28273"/>
      <sheetData sheetId="28274"/>
      <sheetData sheetId="28275"/>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sheetData sheetId="28302"/>
      <sheetData sheetId="28303"/>
      <sheetData sheetId="28304"/>
      <sheetData sheetId="28305"/>
      <sheetData sheetId="28306"/>
      <sheetData sheetId="28307"/>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efreshError="1"/>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refreshError="1"/>
      <sheetData sheetId="28419" refreshError="1"/>
      <sheetData sheetId="28420" refreshError="1"/>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sheetData sheetId="28508"/>
      <sheetData sheetId="28509"/>
      <sheetData sheetId="28510"/>
      <sheetData sheetId="28511"/>
      <sheetData sheetId="28512"/>
      <sheetData sheetId="28513"/>
      <sheetData sheetId="28514"/>
      <sheetData sheetId="28515"/>
      <sheetData sheetId="28516"/>
      <sheetData sheetId="28517"/>
      <sheetData sheetId="28518"/>
      <sheetData sheetId="28519"/>
      <sheetData sheetId="28520"/>
      <sheetData sheetId="28521"/>
      <sheetData sheetId="28522"/>
      <sheetData sheetId="28523"/>
      <sheetData sheetId="28524"/>
      <sheetData sheetId="28525"/>
      <sheetData sheetId="28526"/>
      <sheetData sheetId="28527"/>
      <sheetData sheetId="28528"/>
      <sheetData sheetId="28529"/>
      <sheetData sheetId="28530"/>
      <sheetData sheetId="28531"/>
      <sheetData sheetId="28532"/>
      <sheetData sheetId="28533"/>
      <sheetData sheetId="28534"/>
      <sheetData sheetId="28535"/>
      <sheetData sheetId="28536"/>
      <sheetData sheetId="28537"/>
      <sheetData sheetId="28538"/>
      <sheetData sheetId="28539" refreshError="1"/>
      <sheetData sheetId="28540"/>
      <sheetData sheetId="28541"/>
      <sheetData sheetId="28542">
        <row r="9">
          <cell r="A9" t="str">
            <v>A</v>
          </cell>
        </row>
      </sheetData>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sheetData sheetId="28585"/>
      <sheetData sheetId="28586"/>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ow r="9">
          <cell r="A9" t="str">
            <v>A</v>
          </cell>
        </row>
      </sheetData>
      <sheetData sheetId="28613"/>
      <sheetData sheetId="28614"/>
      <sheetData sheetId="28615"/>
      <sheetData sheetId="28616"/>
      <sheetData sheetId="28617"/>
      <sheetData sheetId="28618"/>
      <sheetData sheetId="28619"/>
      <sheetData sheetId="28620"/>
      <sheetData sheetId="28621"/>
      <sheetData sheetId="28622"/>
      <sheetData sheetId="28623"/>
      <sheetData sheetId="28624" refreshError="1"/>
      <sheetData sheetId="28625"/>
      <sheetData sheetId="28626"/>
      <sheetData sheetId="28627"/>
      <sheetData sheetId="28628"/>
      <sheetData sheetId="28629"/>
      <sheetData sheetId="28630"/>
      <sheetData sheetId="28631"/>
      <sheetData sheetId="28632"/>
      <sheetData sheetId="28633" refreshError="1"/>
      <sheetData sheetId="28634" refreshError="1"/>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sheetData sheetId="28696"/>
      <sheetData sheetId="28697"/>
      <sheetData sheetId="28698"/>
      <sheetData sheetId="28699"/>
      <sheetData sheetId="28700"/>
      <sheetData sheetId="28701"/>
      <sheetData sheetId="28702"/>
      <sheetData sheetId="28703"/>
      <sheetData sheetId="28704"/>
      <sheetData sheetId="28705" refreshError="1"/>
      <sheetData sheetId="28706"/>
      <sheetData sheetId="28707"/>
      <sheetData sheetId="28708"/>
      <sheetData sheetId="28709"/>
      <sheetData sheetId="28710"/>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sheetData sheetId="28767"/>
      <sheetData sheetId="28768"/>
      <sheetData sheetId="28769" refreshError="1"/>
      <sheetData sheetId="28770"/>
      <sheetData sheetId="28771" refreshError="1"/>
      <sheetData sheetId="28772" refreshError="1"/>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row r="9">
          <cell r="A9" t="str">
            <v>A</v>
          </cell>
        </row>
      </sheetData>
      <sheetData sheetId="28807"/>
      <sheetData sheetId="28808"/>
      <sheetData sheetId="28809"/>
      <sheetData sheetId="28810" refreshError="1"/>
      <sheetData sheetId="28811" refreshError="1"/>
      <sheetData sheetId="28812"/>
      <sheetData sheetId="28813" refreshError="1"/>
      <sheetData sheetId="28814"/>
      <sheetData sheetId="28815" refreshError="1"/>
      <sheetData sheetId="28816" refreshError="1"/>
      <sheetData sheetId="28817" refreshError="1"/>
      <sheetData sheetId="28818"/>
      <sheetData sheetId="28819" refreshError="1"/>
      <sheetData sheetId="28820"/>
      <sheetData sheetId="28821" refreshError="1"/>
      <sheetData sheetId="28822"/>
      <sheetData sheetId="28823"/>
      <sheetData sheetId="28824"/>
      <sheetData sheetId="28825"/>
      <sheetData sheetId="28826"/>
      <sheetData sheetId="28827" refreshError="1"/>
      <sheetData sheetId="28828" refreshError="1"/>
      <sheetData sheetId="28829" refreshError="1"/>
      <sheetData sheetId="28830" refreshError="1"/>
      <sheetData sheetId="28831"/>
      <sheetData sheetId="28832"/>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sheetData sheetId="28880"/>
      <sheetData sheetId="28881"/>
      <sheetData sheetId="28882"/>
      <sheetData sheetId="28883"/>
      <sheetData sheetId="28884"/>
      <sheetData sheetId="28885"/>
      <sheetData sheetId="28886"/>
      <sheetData sheetId="28887"/>
      <sheetData sheetId="28888"/>
      <sheetData sheetId="28889" refreshError="1"/>
      <sheetData sheetId="28890" refreshError="1"/>
      <sheetData sheetId="28891" refreshError="1"/>
      <sheetData sheetId="28892" refreshError="1"/>
      <sheetData sheetId="28893" refreshError="1"/>
      <sheetData sheetId="28894" refreshError="1"/>
      <sheetData sheetId="28895"/>
      <sheetData sheetId="28896"/>
      <sheetData sheetId="28897"/>
      <sheetData sheetId="28898"/>
      <sheetData sheetId="28899"/>
      <sheetData sheetId="28900"/>
      <sheetData sheetId="28901"/>
      <sheetData sheetId="28902" refreshError="1"/>
      <sheetData sheetId="28903" refreshError="1"/>
      <sheetData sheetId="28904"/>
      <sheetData sheetId="28905" refreshError="1"/>
      <sheetData sheetId="28906"/>
      <sheetData sheetId="28907" refreshError="1"/>
      <sheetData sheetId="28908" refreshError="1"/>
      <sheetData sheetId="28909" refreshError="1"/>
      <sheetData sheetId="28910"/>
      <sheetData sheetId="28911" refreshError="1"/>
      <sheetData sheetId="28912"/>
      <sheetData sheetId="28913" refreshError="1"/>
      <sheetData sheetId="28914"/>
      <sheetData sheetId="28915"/>
      <sheetData sheetId="28916"/>
      <sheetData sheetId="28917"/>
      <sheetData sheetId="28918"/>
      <sheetData sheetId="28919" refreshError="1"/>
      <sheetData sheetId="28920" refreshError="1"/>
      <sheetData sheetId="28921" refreshError="1"/>
      <sheetData sheetId="28922" refreshError="1"/>
      <sheetData sheetId="28923" refreshError="1"/>
      <sheetData sheetId="28924" refreshError="1"/>
      <sheetData sheetId="28925"/>
      <sheetData sheetId="28926"/>
      <sheetData sheetId="28927"/>
      <sheetData sheetId="28928"/>
      <sheetData sheetId="28929"/>
      <sheetData sheetId="28930"/>
      <sheetData sheetId="28931"/>
      <sheetData sheetId="28932"/>
      <sheetData sheetId="28933"/>
      <sheetData sheetId="28934"/>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sheetData sheetId="2901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refreshError="1"/>
      <sheetData sheetId="29072"/>
      <sheetData sheetId="29073"/>
      <sheetData sheetId="29074"/>
      <sheetData sheetId="29075"/>
      <sheetData sheetId="29076"/>
      <sheetData sheetId="29077"/>
      <sheetData sheetId="29078"/>
      <sheetData sheetId="29079"/>
      <sheetData sheetId="29080"/>
      <sheetData sheetId="29081"/>
      <sheetData sheetId="29082"/>
      <sheetData sheetId="29083"/>
      <sheetData sheetId="29084"/>
      <sheetData sheetId="29085"/>
      <sheetData sheetId="29086"/>
      <sheetData sheetId="29087"/>
      <sheetData sheetId="29088"/>
      <sheetData sheetId="29089"/>
      <sheetData sheetId="29090"/>
      <sheetData sheetId="29091"/>
      <sheetData sheetId="29092"/>
      <sheetData sheetId="29093"/>
      <sheetData sheetId="29094"/>
      <sheetData sheetId="29095"/>
      <sheetData sheetId="29096"/>
      <sheetData sheetId="29097"/>
      <sheetData sheetId="29098"/>
      <sheetData sheetId="29099"/>
      <sheetData sheetId="29100"/>
      <sheetData sheetId="29101"/>
      <sheetData sheetId="29102"/>
      <sheetData sheetId="29103"/>
      <sheetData sheetId="29104"/>
      <sheetData sheetId="29105"/>
      <sheetData sheetId="29106"/>
      <sheetData sheetId="29107"/>
      <sheetData sheetId="29108"/>
      <sheetData sheetId="29109" refreshError="1"/>
      <sheetData sheetId="29110" refreshError="1"/>
      <sheetData sheetId="29111" refreshError="1"/>
      <sheetData sheetId="29112"/>
      <sheetData sheetId="29113"/>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sheetData sheetId="29175"/>
      <sheetData sheetId="29176"/>
      <sheetData sheetId="29177"/>
      <sheetData sheetId="29178"/>
      <sheetData sheetId="29179"/>
      <sheetData sheetId="29180"/>
      <sheetData sheetId="29181"/>
      <sheetData sheetId="29182"/>
      <sheetData sheetId="29183"/>
      <sheetData sheetId="29184"/>
      <sheetData sheetId="29185"/>
      <sheetData sheetId="29186"/>
      <sheetData sheetId="29187"/>
      <sheetData sheetId="29188"/>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refreshError="1"/>
      <sheetData sheetId="29215"/>
      <sheetData sheetId="29216"/>
      <sheetData sheetId="29217"/>
      <sheetData sheetId="29218"/>
      <sheetData sheetId="29219" refreshError="1"/>
      <sheetData sheetId="29220" refreshError="1"/>
      <sheetData sheetId="29221"/>
      <sheetData sheetId="29222" refreshError="1"/>
      <sheetData sheetId="29223"/>
      <sheetData sheetId="29224"/>
      <sheetData sheetId="29225"/>
      <sheetData sheetId="29226"/>
      <sheetData sheetId="29227"/>
      <sheetData sheetId="29228"/>
      <sheetData sheetId="29229"/>
      <sheetData sheetId="29230"/>
      <sheetData sheetId="29231"/>
      <sheetData sheetId="29232"/>
      <sheetData sheetId="29233"/>
      <sheetData sheetId="29234"/>
      <sheetData sheetId="29235"/>
      <sheetData sheetId="29236"/>
      <sheetData sheetId="29237"/>
      <sheetData sheetId="29238"/>
      <sheetData sheetId="29239"/>
      <sheetData sheetId="29240"/>
      <sheetData sheetId="29241"/>
      <sheetData sheetId="29242" refreshError="1"/>
      <sheetData sheetId="29243"/>
      <sheetData sheetId="29244"/>
      <sheetData sheetId="29245"/>
      <sheetData sheetId="29246"/>
      <sheetData sheetId="29247"/>
      <sheetData sheetId="29248" refreshError="1"/>
      <sheetData sheetId="29249" refreshError="1"/>
      <sheetData sheetId="29250"/>
      <sheetData sheetId="29251"/>
      <sheetData sheetId="29252"/>
      <sheetData sheetId="29253" refreshError="1"/>
      <sheetData sheetId="29254" refreshError="1"/>
      <sheetData sheetId="29255" refreshError="1"/>
      <sheetData sheetId="29256"/>
      <sheetData sheetId="29257"/>
      <sheetData sheetId="29258"/>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sheetData sheetId="29331" refreshError="1"/>
      <sheetData sheetId="29332" refreshError="1"/>
      <sheetData sheetId="29333" refreshError="1"/>
      <sheetData sheetId="29334"/>
      <sheetData sheetId="29335"/>
      <sheetData sheetId="29336"/>
      <sheetData sheetId="29337"/>
      <sheetData sheetId="29338"/>
      <sheetData sheetId="29339"/>
      <sheetData sheetId="29340"/>
      <sheetData sheetId="29341"/>
      <sheetData sheetId="29342"/>
      <sheetData sheetId="29343"/>
      <sheetData sheetId="29344"/>
      <sheetData sheetId="29345"/>
      <sheetData sheetId="29346"/>
      <sheetData sheetId="29347"/>
      <sheetData sheetId="29348"/>
      <sheetData sheetId="29349"/>
      <sheetData sheetId="29350"/>
      <sheetData sheetId="2935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sheetData sheetId="29418"/>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sheetData sheetId="29442"/>
      <sheetData sheetId="29443">
        <row r="9">
          <cell r="A9" t="str">
            <v>A</v>
          </cell>
        </row>
      </sheetData>
      <sheetData sheetId="29444"/>
      <sheetData sheetId="29445"/>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sheetData sheetId="29463"/>
      <sheetData sheetId="29464"/>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efreshError="1"/>
      <sheetData sheetId="29488" refreshError="1"/>
      <sheetData sheetId="29489">
        <row r="9">
          <cell r="A9" t="str">
            <v>A</v>
          </cell>
        </row>
      </sheetData>
      <sheetData sheetId="29490" refreshError="1"/>
      <sheetData sheetId="29491" refreshError="1"/>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sheetData sheetId="29509" refreshError="1"/>
      <sheetData sheetId="29510" refreshError="1"/>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sheetData sheetId="29551">
        <row r="9">
          <cell r="A9" t="str">
            <v>A</v>
          </cell>
        </row>
      </sheetData>
      <sheetData sheetId="29552">
        <row r="9">
          <cell r="A9" t="str">
            <v>A</v>
          </cell>
        </row>
      </sheetData>
      <sheetData sheetId="29553">
        <row r="9">
          <cell r="A9" t="str">
            <v>A</v>
          </cell>
        </row>
      </sheetData>
      <sheetData sheetId="29554"/>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sheetData sheetId="29588"/>
      <sheetData sheetId="29589"/>
      <sheetData sheetId="29590"/>
      <sheetData sheetId="29591"/>
      <sheetData sheetId="29592"/>
      <sheetData sheetId="29593"/>
      <sheetData sheetId="29594"/>
      <sheetData sheetId="29595"/>
      <sheetData sheetId="29596"/>
      <sheetData sheetId="29597"/>
      <sheetData sheetId="29598"/>
      <sheetData sheetId="29599"/>
      <sheetData sheetId="29600" refreshError="1"/>
      <sheetData sheetId="29601"/>
      <sheetData sheetId="29602"/>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sheetData sheetId="29634"/>
      <sheetData sheetId="29635"/>
      <sheetData sheetId="29636"/>
      <sheetData sheetId="29637"/>
      <sheetData sheetId="29638"/>
      <sheetData sheetId="29639"/>
      <sheetData sheetId="29640"/>
      <sheetData sheetId="29641"/>
      <sheetData sheetId="29642"/>
      <sheetData sheetId="29643"/>
      <sheetData sheetId="29644"/>
      <sheetData sheetId="29645"/>
      <sheetData sheetId="29646"/>
      <sheetData sheetId="29647"/>
      <sheetData sheetId="29648"/>
      <sheetData sheetId="29649"/>
      <sheetData sheetId="29650"/>
      <sheetData sheetId="29651"/>
      <sheetData sheetId="29652"/>
      <sheetData sheetId="29653"/>
      <sheetData sheetId="29654"/>
      <sheetData sheetId="29655"/>
      <sheetData sheetId="29656"/>
      <sheetData sheetId="29657"/>
      <sheetData sheetId="29658"/>
      <sheetData sheetId="29659"/>
      <sheetData sheetId="29660"/>
      <sheetData sheetId="29661"/>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sheetData sheetId="29680"/>
      <sheetData sheetId="29681"/>
      <sheetData sheetId="29682"/>
      <sheetData sheetId="29683"/>
      <sheetData sheetId="29684"/>
      <sheetData sheetId="29685"/>
      <sheetData sheetId="29686"/>
      <sheetData sheetId="29687"/>
      <sheetData sheetId="29688" refreshError="1"/>
      <sheetData sheetId="29689"/>
      <sheetData sheetId="29690"/>
      <sheetData sheetId="29691"/>
      <sheetData sheetId="29692"/>
      <sheetData sheetId="29693"/>
      <sheetData sheetId="29694"/>
      <sheetData sheetId="29695"/>
      <sheetData sheetId="29696"/>
      <sheetData sheetId="29697"/>
      <sheetData sheetId="29698"/>
      <sheetData sheetId="29699"/>
      <sheetData sheetId="29700"/>
      <sheetData sheetId="29701"/>
      <sheetData sheetId="29702"/>
      <sheetData sheetId="29703"/>
      <sheetData sheetId="29704"/>
      <sheetData sheetId="29705"/>
      <sheetData sheetId="29706"/>
      <sheetData sheetId="29707"/>
      <sheetData sheetId="29708"/>
      <sheetData sheetId="29709"/>
      <sheetData sheetId="29710"/>
      <sheetData sheetId="29711"/>
      <sheetData sheetId="29712" refreshError="1"/>
      <sheetData sheetId="29713"/>
      <sheetData sheetId="29714"/>
      <sheetData sheetId="29715"/>
      <sheetData sheetId="29716"/>
      <sheetData sheetId="29717"/>
      <sheetData sheetId="29718"/>
      <sheetData sheetId="29719"/>
      <sheetData sheetId="29720"/>
      <sheetData sheetId="29721"/>
      <sheetData sheetId="29722"/>
      <sheetData sheetId="29723"/>
      <sheetData sheetId="29724"/>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sheetData sheetId="29742"/>
      <sheetData sheetId="29743"/>
      <sheetData sheetId="29744"/>
      <sheetData sheetId="29745"/>
      <sheetData sheetId="29746"/>
      <sheetData sheetId="29747"/>
      <sheetData sheetId="29748"/>
      <sheetData sheetId="29749"/>
      <sheetData sheetId="29750"/>
      <sheetData sheetId="29751"/>
      <sheetData sheetId="29752"/>
      <sheetData sheetId="29753"/>
      <sheetData sheetId="29754"/>
      <sheetData sheetId="29755"/>
      <sheetData sheetId="29756"/>
      <sheetData sheetId="29757"/>
      <sheetData sheetId="29758"/>
      <sheetData sheetId="29759"/>
      <sheetData sheetId="29760"/>
      <sheetData sheetId="29761"/>
      <sheetData sheetId="29762"/>
      <sheetData sheetId="29763"/>
      <sheetData sheetId="29764"/>
      <sheetData sheetId="29765"/>
      <sheetData sheetId="29766"/>
      <sheetData sheetId="29767"/>
      <sheetData sheetId="29768"/>
      <sheetData sheetId="29769"/>
      <sheetData sheetId="29770"/>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sheetData sheetId="29801"/>
      <sheetData sheetId="29802"/>
      <sheetData sheetId="29803"/>
      <sheetData sheetId="29804"/>
      <sheetData sheetId="29805"/>
      <sheetData sheetId="29806"/>
      <sheetData sheetId="29807"/>
      <sheetData sheetId="29808"/>
      <sheetData sheetId="29809"/>
      <sheetData sheetId="29810"/>
      <sheetData sheetId="29811"/>
      <sheetData sheetId="29812"/>
      <sheetData sheetId="29813"/>
      <sheetData sheetId="29814"/>
      <sheetData sheetId="29815"/>
      <sheetData sheetId="29816"/>
      <sheetData sheetId="29817"/>
      <sheetData sheetId="29818">
        <row r="9">
          <cell r="A9" t="str">
            <v>A</v>
          </cell>
        </row>
      </sheetData>
      <sheetData sheetId="29819">
        <row r="9">
          <cell r="A9" t="str">
            <v>A</v>
          </cell>
        </row>
      </sheetData>
      <sheetData sheetId="29820">
        <row r="9">
          <cell r="A9" t="str">
            <v>A</v>
          </cell>
        </row>
      </sheetData>
      <sheetData sheetId="29821"/>
      <sheetData sheetId="29822"/>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sheetData sheetId="29864"/>
      <sheetData sheetId="29865"/>
      <sheetData sheetId="29866"/>
      <sheetData sheetId="29867"/>
      <sheetData sheetId="29868"/>
      <sheetData sheetId="29869"/>
      <sheetData sheetId="29870"/>
      <sheetData sheetId="29871"/>
      <sheetData sheetId="29872"/>
      <sheetData sheetId="29873"/>
      <sheetData sheetId="29874"/>
      <sheetData sheetId="29875"/>
      <sheetData sheetId="29876"/>
      <sheetData sheetId="29877"/>
      <sheetData sheetId="29878"/>
      <sheetData sheetId="29879"/>
      <sheetData sheetId="29880"/>
      <sheetData sheetId="29881"/>
      <sheetData sheetId="29882"/>
      <sheetData sheetId="29883"/>
      <sheetData sheetId="29884"/>
      <sheetData sheetId="29885"/>
      <sheetData sheetId="29886"/>
      <sheetData sheetId="29887"/>
      <sheetData sheetId="29888"/>
      <sheetData sheetId="29889"/>
      <sheetData sheetId="29890"/>
      <sheetData sheetId="29891"/>
      <sheetData sheetId="29892"/>
      <sheetData sheetId="29893"/>
      <sheetData sheetId="29894"/>
      <sheetData sheetId="29895"/>
      <sheetData sheetId="29896"/>
      <sheetData sheetId="29897"/>
      <sheetData sheetId="29898"/>
      <sheetData sheetId="29899"/>
      <sheetData sheetId="29900"/>
      <sheetData sheetId="29901"/>
      <sheetData sheetId="29902"/>
      <sheetData sheetId="29903"/>
      <sheetData sheetId="29904"/>
      <sheetData sheetId="29905"/>
      <sheetData sheetId="29906"/>
      <sheetData sheetId="29907"/>
      <sheetData sheetId="29908"/>
      <sheetData sheetId="29909"/>
      <sheetData sheetId="29910"/>
      <sheetData sheetId="29911"/>
      <sheetData sheetId="29912"/>
      <sheetData sheetId="29913"/>
      <sheetData sheetId="29914"/>
      <sheetData sheetId="29915"/>
      <sheetData sheetId="29916"/>
      <sheetData sheetId="29917"/>
      <sheetData sheetId="29918"/>
      <sheetData sheetId="29919"/>
      <sheetData sheetId="29920"/>
      <sheetData sheetId="29921"/>
      <sheetData sheetId="29922"/>
      <sheetData sheetId="29923"/>
      <sheetData sheetId="29924"/>
      <sheetData sheetId="29925"/>
      <sheetData sheetId="29926"/>
      <sheetData sheetId="29927" refreshError="1"/>
      <sheetData sheetId="29928"/>
      <sheetData sheetId="29929"/>
      <sheetData sheetId="29930"/>
      <sheetData sheetId="29931"/>
      <sheetData sheetId="29932"/>
      <sheetData sheetId="29933" refreshError="1"/>
      <sheetData sheetId="29934"/>
      <sheetData sheetId="29935"/>
      <sheetData sheetId="29936"/>
      <sheetData sheetId="29937"/>
      <sheetData sheetId="29938"/>
      <sheetData sheetId="29939"/>
      <sheetData sheetId="29940"/>
      <sheetData sheetId="29941"/>
      <sheetData sheetId="29942"/>
      <sheetData sheetId="29943"/>
      <sheetData sheetId="29944"/>
      <sheetData sheetId="29945"/>
      <sheetData sheetId="29946"/>
      <sheetData sheetId="29947"/>
      <sheetData sheetId="29948"/>
      <sheetData sheetId="29949"/>
      <sheetData sheetId="29950"/>
      <sheetData sheetId="29951"/>
      <sheetData sheetId="29952"/>
      <sheetData sheetId="29953"/>
      <sheetData sheetId="29954"/>
      <sheetData sheetId="29955" refreshError="1"/>
      <sheetData sheetId="29956"/>
      <sheetData sheetId="29957"/>
      <sheetData sheetId="29958"/>
      <sheetData sheetId="29959" refreshError="1"/>
      <sheetData sheetId="29960" refreshError="1"/>
      <sheetData sheetId="29961" refreshError="1"/>
      <sheetData sheetId="29962" refreshError="1"/>
      <sheetData sheetId="29963"/>
      <sheetData sheetId="29964"/>
      <sheetData sheetId="29965"/>
      <sheetData sheetId="29966" refreshError="1"/>
      <sheetData sheetId="29967" refreshError="1"/>
      <sheetData sheetId="29968" refreshError="1"/>
      <sheetData sheetId="29969"/>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ow r="9">
          <cell r="A9" t="str">
            <v>A</v>
          </cell>
        </row>
      </sheetData>
      <sheetData sheetId="30044" refreshError="1"/>
      <sheetData sheetId="30045" refreshError="1"/>
      <sheetData sheetId="30046" refreshError="1"/>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sheetData sheetId="30063"/>
      <sheetData sheetId="30064"/>
      <sheetData sheetId="30065"/>
      <sheetData sheetId="30066"/>
      <sheetData sheetId="30067"/>
      <sheetData sheetId="30068">
        <row r="9">
          <cell r="A9" t="str">
            <v>A</v>
          </cell>
        </row>
      </sheetData>
      <sheetData sheetId="30069"/>
      <sheetData sheetId="30070"/>
      <sheetData sheetId="30071">
        <row r="9">
          <cell r="A9" t="str">
            <v>A</v>
          </cell>
        </row>
      </sheetData>
      <sheetData sheetId="30072">
        <row r="9">
          <cell r="A9" t="str">
            <v>A</v>
          </cell>
        </row>
      </sheetData>
      <sheetData sheetId="30073"/>
      <sheetData sheetId="30074"/>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sheetData sheetId="30089"/>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sheetData sheetId="30109"/>
      <sheetData sheetId="30110"/>
      <sheetData sheetId="30111"/>
      <sheetData sheetId="30112"/>
      <sheetData sheetId="30113"/>
      <sheetData sheetId="30114">
        <row r="9">
          <cell r="A9" t="str">
            <v>A</v>
          </cell>
        </row>
      </sheetData>
      <sheetData sheetId="30115"/>
      <sheetData sheetId="30116"/>
      <sheetData sheetId="30117">
        <row r="9">
          <cell r="A9" t="str">
            <v>A</v>
          </cell>
        </row>
      </sheetData>
      <sheetData sheetId="30118">
        <row r="9">
          <cell r="A9" t="str">
            <v>A</v>
          </cell>
        </row>
      </sheetData>
      <sheetData sheetId="30119" refreshError="1"/>
      <sheetData sheetId="30120" refreshError="1"/>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sheetData sheetId="30135"/>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sheetData sheetId="30155"/>
      <sheetData sheetId="30156"/>
      <sheetData sheetId="30157"/>
      <sheetData sheetId="30158"/>
      <sheetData sheetId="30159"/>
      <sheetData sheetId="30160">
        <row r="9">
          <cell r="A9" t="str">
            <v>A</v>
          </cell>
        </row>
      </sheetData>
      <sheetData sheetId="30161"/>
      <sheetData sheetId="30162"/>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sheetData sheetId="30180"/>
      <sheetData sheetId="30181"/>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efreshError="1"/>
      <sheetData sheetId="30201" refreshError="1"/>
      <sheetData sheetId="30202" refreshError="1"/>
      <sheetData sheetId="30203" refreshError="1"/>
      <sheetData sheetId="30204" refreshError="1"/>
      <sheetData sheetId="30205" refreshError="1"/>
      <sheetData sheetId="30206">
        <row r="9">
          <cell r="A9" t="str">
            <v>A</v>
          </cell>
        </row>
      </sheetData>
      <sheetData sheetId="30207" refreshError="1"/>
      <sheetData sheetId="30208" refreshError="1"/>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sheetData sheetId="30226" refreshError="1"/>
      <sheetData sheetId="30227" refreshError="1"/>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sheetData sheetId="30269">
        <row r="9">
          <cell r="A9" t="str">
            <v>A</v>
          </cell>
        </row>
      </sheetData>
      <sheetData sheetId="30270">
        <row r="9">
          <cell r="A9" t="str">
            <v>A</v>
          </cell>
        </row>
      </sheetData>
      <sheetData sheetId="30271"/>
      <sheetData sheetId="30272">
        <row r="9">
          <cell r="A9" t="str">
            <v>A</v>
          </cell>
        </row>
      </sheetData>
      <sheetData sheetId="30273"/>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sheetData sheetId="30306"/>
      <sheetData sheetId="30307"/>
      <sheetData sheetId="30308"/>
      <sheetData sheetId="30309"/>
      <sheetData sheetId="30310"/>
      <sheetData sheetId="30311"/>
      <sheetData sheetId="30312"/>
      <sheetData sheetId="30313"/>
      <sheetData sheetId="30314"/>
      <sheetData sheetId="30315"/>
      <sheetData sheetId="30316"/>
      <sheetData sheetId="30317" refreshError="1"/>
      <sheetData sheetId="30318"/>
      <sheetData sheetId="30319" refreshError="1"/>
      <sheetData sheetId="30320"/>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sheetData sheetId="30352"/>
      <sheetData sheetId="30353"/>
      <sheetData sheetId="30354"/>
      <sheetData sheetId="30355"/>
      <sheetData sheetId="30356"/>
      <sheetData sheetId="30357"/>
      <sheetData sheetId="30358"/>
      <sheetData sheetId="30359"/>
      <sheetData sheetId="30360"/>
      <sheetData sheetId="30361"/>
      <sheetData sheetId="30362"/>
      <sheetData sheetId="30363"/>
      <sheetData sheetId="30364"/>
      <sheetData sheetId="30365"/>
      <sheetData sheetId="30366"/>
      <sheetData sheetId="30367"/>
      <sheetData sheetId="30368"/>
      <sheetData sheetId="30369"/>
      <sheetData sheetId="30370"/>
      <sheetData sheetId="30371"/>
      <sheetData sheetId="30372"/>
      <sheetData sheetId="30373"/>
      <sheetData sheetId="30374"/>
      <sheetData sheetId="30375"/>
      <sheetData sheetId="30376"/>
      <sheetData sheetId="30377"/>
      <sheetData sheetId="30378"/>
      <sheetData sheetId="30379"/>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sheetData sheetId="30398"/>
      <sheetData sheetId="30399"/>
      <sheetData sheetId="30400"/>
      <sheetData sheetId="30401"/>
      <sheetData sheetId="30402"/>
      <sheetData sheetId="30403"/>
      <sheetData sheetId="30404"/>
      <sheetData sheetId="30405"/>
      <sheetData sheetId="30406" refreshError="1"/>
      <sheetData sheetId="30407"/>
      <sheetData sheetId="30408"/>
      <sheetData sheetId="30409"/>
      <sheetData sheetId="30410"/>
      <sheetData sheetId="30411"/>
      <sheetData sheetId="30412"/>
      <sheetData sheetId="30413"/>
      <sheetData sheetId="30414"/>
      <sheetData sheetId="30415"/>
      <sheetData sheetId="30416"/>
      <sheetData sheetId="30417"/>
      <sheetData sheetId="30418"/>
      <sheetData sheetId="30419"/>
      <sheetData sheetId="30420"/>
      <sheetData sheetId="30421"/>
      <sheetData sheetId="30422"/>
      <sheetData sheetId="30423"/>
      <sheetData sheetId="30424"/>
      <sheetData sheetId="30425"/>
      <sheetData sheetId="30426"/>
      <sheetData sheetId="30427"/>
      <sheetData sheetId="30428"/>
      <sheetData sheetId="30429"/>
      <sheetData sheetId="30430" refreshError="1"/>
      <sheetData sheetId="30431"/>
      <sheetData sheetId="30432"/>
      <sheetData sheetId="30433"/>
      <sheetData sheetId="30434"/>
      <sheetData sheetId="30435"/>
      <sheetData sheetId="30436"/>
      <sheetData sheetId="30437"/>
      <sheetData sheetId="30438"/>
      <sheetData sheetId="30439"/>
      <sheetData sheetId="30440"/>
      <sheetData sheetId="30441"/>
      <sheetData sheetId="30442"/>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sheetData sheetId="30460"/>
      <sheetData sheetId="30461"/>
      <sheetData sheetId="30462"/>
      <sheetData sheetId="30463"/>
      <sheetData sheetId="30464"/>
      <sheetData sheetId="30465"/>
      <sheetData sheetId="30466"/>
      <sheetData sheetId="30467"/>
      <sheetData sheetId="30468"/>
      <sheetData sheetId="30469"/>
      <sheetData sheetId="30470"/>
      <sheetData sheetId="30471"/>
      <sheetData sheetId="30472"/>
      <sheetData sheetId="30473"/>
      <sheetData sheetId="30474"/>
      <sheetData sheetId="30475"/>
      <sheetData sheetId="30476"/>
      <sheetData sheetId="30477"/>
      <sheetData sheetId="30478"/>
      <sheetData sheetId="30479"/>
      <sheetData sheetId="30480"/>
      <sheetData sheetId="30481"/>
      <sheetData sheetId="30482"/>
      <sheetData sheetId="30483"/>
      <sheetData sheetId="30484"/>
      <sheetData sheetId="30485"/>
      <sheetData sheetId="30486"/>
      <sheetData sheetId="30487"/>
      <sheetData sheetId="30488"/>
      <sheetData sheetId="30489"/>
      <sheetData sheetId="30490">
        <row r="9">
          <cell r="A9" t="str">
            <v>A</v>
          </cell>
        </row>
      </sheetData>
      <sheetData sheetId="30491">
        <row r="9">
          <cell r="A9" t="str">
            <v>A</v>
          </cell>
        </row>
      </sheetData>
      <sheetData sheetId="30492">
        <row r="9">
          <cell r="A9" t="str">
            <v>A</v>
          </cell>
        </row>
      </sheetData>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sheetData sheetId="30519"/>
      <sheetData sheetId="30520"/>
      <sheetData sheetId="30521"/>
      <sheetData sheetId="30522"/>
      <sheetData sheetId="30523"/>
      <sheetData sheetId="30524"/>
      <sheetData sheetId="30525"/>
      <sheetData sheetId="30526"/>
      <sheetData sheetId="30527"/>
      <sheetData sheetId="30528"/>
      <sheetData sheetId="30529"/>
      <sheetData sheetId="30530"/>
      <sheetData sheetId="30531"/>
      <sheetData sheetId="30532"/>
      <sheetData sheetId="30533"/>
      <sheetData sheetId="30534"/>
      <sheetData sheetId="30535"/>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sheetData sheetId="30592"/>
      <sheetData sheetId="30593"/>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sheetData sheetId="30603"/>
      <sheetData sheetId="30604"/>
      <sheetData sheetId="30605"/>
      <sheetData sheetId="30606"/>
      <sheetData sheetId="30607"/>
      <sheetData sheetId="30608">
        <row r="9">
          <cell r="A9" t="str">
            <v>A</v>
          </cell>
        </row>
      </sheetData>
      <sheetData sheetId="30609"/>
      <sheetData sheetId="30610"/>
      <sheetData sheetId="30611">
        <row r="9">
          <cell r="A9" t="str">
            <v>A</v>
          </cell>
        </row>
      </sheetData>
      <sheetData sheetId="30612">
        <row r="9">
          <cell r="A9" t="str">
            <v>A</v>
          </cell>
        </row>
      </sheetData>
      <sheetData sheetId="30613"/>
      <sheetData sheetId="30614">
        <row r="9">
          <cell r="A9" t="str">
            <v>A</v>
          </cell>
        </row>
      </sheetData>
      <sheetData sheetId="30615">
        <row r="9">
          <cell r="A9" t="str">
            <v>A</v>
          </cell>
        </row>
      </sheetData>
      <sheetData sheetId="30616"/>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sheetData sheetId="30638"/>
      <sheetData sheetId="30639"/>
      <sheetData sheetId="30640"/>
      <sheetData sheetId="30641">
        <row r="9">
          <cell r="A9" t="str">
            <v>A</v>
          </cell>
        </row>
      </sheetData>
      <sheetData sheetId="30642">
        <row r="9">
          <cell r="A9" t="str">
            <v>A</v>
          </cell>
        </row>
      </sheetData>
      <sheetData sheetId="30643">
        <row r="9">
          <cell r="A9" t="str">
            <v>A</v>
          </cell>
        </row>
      </sheetData>
      <sheetData sheetId="30644"/>
      <sheetData sheetId="30645"/>
      <sheetData sheetId="30646">
        <row r="9">
          <cell r="A9" t="str">
            <v>A</v>
          </cell>
        </row>
      </sheetData>
      <sheetData sheetId="30647">
        <row r="9">
          <cell r="A9" t="str">
            <v>A</v>
          </cell>
        </row>
      </sheetData>
      <sheetData sheetId="30648" refreshError="1"/>
      <sheetData sheetId="30649" refreshError="1"/>
      <sheetData sheetId="30650" refreshError="1"/>
      <sheetData sheetId="30651" refreshError="1"/>
      <sheetData sheetId="30652" refreshError="1"/>
      <sheetData sheetId="30653" refreshError="1"/>
      <sheetData sheetId="30654">
        <row r="9">
          <cell r="A9" t="str">
            <v>A</v>
          </cell>
        </row>
      </sheetData>
      <sheetData sheetId="30655" refreshError="1"/>
      <sheetData sheetId="30656" refreshError="1"/>
      <sheetData sheetId="30657">
        <row r="9">
          <cell r="A9" t="str">
            <v>A</v>
          </cell>
        </row>
      </sheetData>
      <sheetData sheetId="30658"/>
      <sheetData sheetId="30659" refreshError="1"/>
      <sheetData sheetId="30660"/>
      <sheetData sheetId="30661"/>
      <sheetData sheetId="30662" refreshError="1"/>
      <sheetData sheetId="30663"/>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efreshError="1"/>
      <sheetData sheetId="30684" refreshError="1"/>
      <sheetData sheetId="30685" refreshError="1"/>
      <sheetData sheetId="30686"/>
      <sheetData sheetId="30687">
        <row r="9">
          <cell r="A9" t="str">
            <v>A</v>
          </cell>
        </row>
      </sheetData>
      <sheetData sheetId="30688">
        <row r="9">
          <cell r="A9" t="str">
            <v>A</v>
          </cell>
        </row>
      </sheetData>
      <sheetData sheetId="30689">
        <row r="9">
          <cell r="A9" t="str">
            <v>A</v>
          </cell>
        </row>
      </sheetData>
      <sheetData sheetId="30690"/>
      <sheetData sheetId="30691"/>
      <sheetData sheetId="30692">
        <row r="9">
          <cell r="A9" t="str">
            <v>A</v>
          </cell>
        </row>
      </sheetData>
      <sheetData sheetId="30693">
        <row r="9">
          <cell r="A9" t="str">
            <v>A</v>
          </cell>
        </row>
      </sheetData>
      <sheetData sheetId="30694">
        <row r="9">
          <cell r="A9" t="str">
            <v>A</v>
          </cell>
        </row>
      </sheetData>
      <sheetData sheetId="30695"/>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sheetData sheetId="30705"/>
      <sheetData sheetId="30706"/>
      <sheetData sheetId="30707"/>
      <sheetData sheetId="30708"/>
      <sheetData sheetId="30709"/>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sheetData sheetId="30733">
        <row r="9">
          <cell r="A9" t="str">
            <v>A</v>
          </cell>
        </row>
      </sheetData>
      <sheetData sheetId="30734">
        <row r="9">
          <cell r="A9" t="str">
            <v>A</v>
          </cell>
        </row>
      </sheetData>
      <sheetData sheetId="30735">
        <row r="9">
          <cell r="A9" t="str">
            <v>A</v>
          </cell>
        </row>
      </sheetData>
      <sheetData sheetId="30736"/>
      <sheetData sheetId="30737"/>
      <sheetData sheetId="30738">
        <row r="9">
          <cell r="A9" t="str">
            <v>A</v>
          </cell>
        </row>
      </sheetData>
      <sheetData sheetId="30739">
        <row r="9">
          <cell r="A9" t="str">
            <v>A</v>
          </cell>
        </row>
      </sheetData>
      <sheetData sheetId="30740">
        <row r="9">
          <cell r="A9" t="str">
            <v>A</v>
          </cell>
        </row>
      </sheetData>
      <sheetData sheetId="30741"/>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sheetData sheetId="30751"/>
      <sheetData sheetId="30752"/>
      <sheetData sheetId="30753"/>
      <sheetData sheetId="30754"/>
      <sheetData sheetId="30755"/>
      <sheetData sheetId="30756"/>
      <sheetData sheetId="30757"/>
      <sheetData sheetId="30758"/>
      <sheetData sheetId="30759"/>
      <sheetData sheetId="30760"/>
      <sheetData sheetId="30761"/>
      <sheetData sheetId="30762"/>
      <sheetData sheetId="30763"/>
      <sheetData sheetId="30764"/>
      <sheetData sheetId="30765"/>
      <sheetData sheetId="30766"/>
      <sheetData sheetId="30767"/>
      <sheetData sheetId="30768"/>
      <sheetData sheetId="30769"/>
      <sheetData sheetId="30770"/>
      <sheetData sheetId="30771"/>
      <sheetData sheetId="30772"/>
      <sheetData sheetId="30773"/>
      <sheetData sheetId="30774"/>
      <sheetData sheetId="30775"/>
      <sheetData sheetId="30776"/>
      <sheetData sheetId="30777"/>
      <sheetData sheetId="30778" refreshError="1"/>
      <sheetData sheetId="30779"/>
      <sheetData sheetId="30780"/>
      <sheetData sheetId="30781"/>
      <sheetData sheetId="30782" refreshError="1"/>
      <sheetData sheetId="30783" refreshError="1"/>
      <sheetData sheetId="30784"/>
      <sheetData sheetId="30785"/>
      <sheetData sheetId="30786"/>
      <sheetData sheetId="30787" refreshError="1"/>
      <sheetData sheetId="30788"/>
      <sheetData sheetId="30789"/>
      <sheetData sheetId="30790"/>
      <sheetData sheetId="30791"/>
      <sheetData sheetId="30792"/>
      <sheetData sheetId="30793"/>
      <sheetData sheetId="30794"/>
      <sheetData sheetId="30795"/>
      <sheetData sheetId="30796" refreshError="1"/>
      <sheetData sheetId="30797" refreshError="1"/>
      <sheetData sheetId="30798" refreshError="1"/>
      <sheetData sheetId="30799" refreshError="1"/>
      <sheetData sheetId="30800" refreshError="1"/>
      <sheetData sheetId="30801" refreshError="1"/>
      <sheetData sheetId="30802"/>
      <sheetData sheetId="30803"/>
      <sheetData sheetId="30804"/>
      <sheetData sheetId="30805"/>
      <sheetData sheetId="30806"/>
      <sheetData sheetId="30807"/>
      <sheetData sheetId="30808"/>
      <sheetData sheetId="30809"/>
      <sheetData sheetId="30810"/>
      <sheetData sheetId="30811"/>
      <sheetData sheetId="30812"/>
      <sheetData sheetId="30813"/>
      <sheetData sheetId="30814"/>
      <sheetData sheetId="30815"/>
      <sheetData sheetId="30816"/>
      <sheetData sheetId="30817"/>
      <sheetData sheetId="30818"/>
      <sheetData sheetId="30819"/>
      <sheetData sheetId="30820"/>
      <sheetData sheetId="30821"/>
      <sheetData sheetId="30822"/>
      <sheetData sheetId="30823"/>
      <sheetData sheetId="30824"/>
      <sheetData sheetId="30825"/>
      <sheetData sheetId="30826"/>
      <sheetData sheetId="30827"/>
      <sheetData sheetId="30828"/>
      <sheetData sheetId="30829"/>
      <sheetData sheetId="30830"/>
      <sheetData sheetId="30831"/>
      <sheetData sheetId="30832"/>
      <sheetData sheetId="30833"/>
      <sheetData sheetId="30834"/>
      <sheetData sheetId="30835"/>
      <sheetData sheetId="30836"/>
      <sheetData sheetId="30837"/>
      <sheetData sheetId="30838"/>
      <sheetData sheetId="30839"/>
      <sheetData sheetId="30840"/>
      <sheetData sheetId="30841"/>
      <sheetData sheetId="30842"/>
      <sheetData sheetId="30843"/>
      <sheetData sheetId="30844"/>
      <sheetData sheetId="30845"/>
      <sheetData sheetId="30846"/>
      <sheetData sheetId="30847"/>
      <sheetData sheetId="30848"/>
      <sheetData sheetId="30849"/>
      <sheetData sheetId="30850"/>
      <sheetData sheetId="30851"/>
      <sheetData sheetId="30852"/>
      <sheetData sheetId="30853"/>
      <sheetData sheetId="30854"/>
      <sheetData sheetId="30855"/>
      <sheetData sheetId="30856"/>
      <sheetData sheetId="30857"/>
      <sheetData sheetId="30858"/>
      <sheetData sheetId="30859"/>
      <sheetData sheetId="30860"/>
      <sheetData sheetId="30861"/>
      <sheetData sheetId="30862"/>
      <sheetData sheetId="30863"/>
      <sheetData sheetId="30864"/>
      <sheetData sheetId="30865"/>
      <sheetData sheetId="30866"/>
      <sheetData sheetId="30867"/>
      <sheetData sheetId="30868"/>
      <sheetData sheetId="30869"/>
      <sheetData sheetId="30870"/>
      <sheetData sheetId="30871"/>
      <sheetData sheetId="30872"/>
      <sheetData sheetId="30873"/>
      <sheetData sheetId="30874"/>
      <sheetData sheetId="30875"/>
      <sheetData sheetId="30876"/>
      <sheetData sheetId="30877"/>
      <sheetData sheetId="30878"/>
      <sheetData sheetId="30879"/>
      <sheetData sheetId="30880"/>
      <sheetData sheetId="30881"/>
      <sheetData sheetId="30882"/>
      <sheetData sheetId="30883"/>
      <sheetData sheetId="30884"/>
      <sheetData sheetId="30885"/>
      <sheetData sheetId="30886"/>
      <sheetData sheetId="30887"/>
      <sheetData sheetId="30888"/>
      <sheetData sheetId="30889" refreshError="1"/>
      <sheetData sheetId="30890" refreshError="1"/>
      <sheetData sheetId="30891"/>
      <sheetData sheetId="30892"/>
      <sheetData sheetId="30893"/>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sheetData sheetId="30966" refreshError="1"/>
      <sheetData sheetId="30967"/>
      <sheetData sheetId="30968"/>
      <sheetData sheetId="30969"/>
      <sheetData sheetId="30970"/>
      <sheetData sheetId="30971"/>
      <sheetData sheetId="30972"/>
      <sheetData sheetId="30973"/>
      <sheetData sheetId="30974"/>
      <sheetData sheetId="30975"/>
      <sheetData sheetId="30976"/>
      <sheetData sheetId="30977"/>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sheetData sheetId="30995">
        <row r="9">
          <cell r="A9" t="str">
            <v>A</v>
          </cell>
        </row>
      </sheetData>
      <sheetData sheetId="30996">
        <row r="9">
          <cell r="A9" t="str">
            <v>A</v>
          </cell>
        </row>
      </sheetData>
      <sheetData sheetId="30997" refreshError="1"/>
      <sheetData sheetId="30998" refreshError="1"/>
      <sheetData sheetId="30999"/>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sheetData sheetId="31015"/>
      <sheetData sheetId="31016"/>
      <sheetData sheetId="31017"/>
      <sheetData sheetId="31018"/>
      <sheetData sheetId="31019"/>
      <sheetData sheetId="31020"/>
      <sheetData sheetId="31021"/>
      <sheetData sheetId="31022"/>
      <sheetData sheetId="31023"/>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sheetData sheetId="31035"/>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efreshError="1"/>
      <sheetData sheetId="31041">
        <row r="9">
          <cell r="A9" t="str">
            <v>A</v>
          </cell>
        </row>
      </sheetData>
      <sheetData sheetId="31042">
        <row r="9">
          <cell r="A9" t="str">
            <v>A</v>
          </cell>
        </row>
      </sheetData>
      <sheetData sheetId="31043">
        <row r="9">
          <cell r="A9" t="str">
            <v>A</v>
          </cell>
        </row>
      </sheetData>
      <sheetData sheetId="31044" refreshError="1"/>
      <sheetData sheetId="31045" refreshError="1"/>
      <sheetData sheetId="31046" refreshError="1"/>
      <sheetData sheetId="31047">
        <row r="9">
          <cell r="A9" t="str">
            <v>A</v>
          </cell>
        </row>
      </sheetData>
      <sheetData sheetId="31048">
        <row r="9">
          <cell r="A9" t="str">
            <v>A</v>
          </cell>
        </row>
      </sheetData>
      <sheetData sheetId="31049"/>
      <sheetData sheetId="31050"/>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sheetData sheetId="31081"/>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efreshError="1"/>
      <sheetData sheetId="31096" refreshError="1"/>
      <sheetData sheetId="31097" refreshError="1"/>
      <sheetData sheetId="31098" refreshError="1"/>
      <sheetData sheetId="31099" refreshError="1"/>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sheetData sheetId="31118"/>
      <sheetData sheetId="31119">
        <row r="9">
          <cell r="A9" t="str">
            <v>A</v>
          </cell>
        </row>
      </sheetData>
      <sheetData sheetId="31120"/>
      <sheetData sheetId="31121">
        <row r="9">
          <cell r="A9" t="str">
            <v>A</v>
          </cell>
        </row>
      </sheetData>
      <sheetData sheetId="31122"/>
      <sheetData sheetId="31123"/>
      <sheetData sheetId="31124"/>
      <sheetData sheetId="31125">
        <row r="9">
          <cell r="A9" t="str">
            <v>A</v>
          </cell>
        </row>
      </sheetData>
      <sheetData sheetId="31126"/>
      <sheetData sheetId="31127"/>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sheetData sheetId="31136"/>
      <sheetData sheetId="31137"/>
      <sheetData sheetId="31138"/>
      <sheetData sheetId="31139"/>
      <sheetData sheetId="31140"/>
      <sheetData sheetId="31141"/>
      <sheetData sheetId="31142"/>
      <sheetData sheetId="31143"/>
      <sheetData sheetId="31144"/>
      <sheetData sheetId="31145"/>
      <sheetData sheetId="31146"/>
      <sheetData sheetId="31147"/>
      <sheetData sheetId="31148"/>
      <sheetData sheetId="31149"/>
      <sheetData sheetId="31150"/>
      <sheetData sheetId="31151"/>
      <sheetData sheetId="31152"/>
      <sheetData sheetId="31153"/>
      <sheetData sheetId="31154"/>
      <sheetData sheetId="31155"/>
      <sheetData sheetId="31156"/>
      <sheetData sheetId="31157"/>
      <sheetData sheetId="31158"/>
      <sheetData sheetId="31159"/>
      <sheetData sheetId="31160"/>
      <sheetData sheetId="31161"/>
      <sheetData sheetId="31162"/>
      <sheetData sheetId="31163"/>
      <sheetData sheetId="31164"/>
      <sheetData sheetId="31165"/>
      <sheetData sheetId="31166"/>
      <sheetData sheetId="31167"/>
      <sheetData sheetId="31168"/>
      <sheetData sheetId="31169"/>
      <sheetData sheetId="31170"/>
      <sheetData sheetId="31171"/>
      <sheetData sheetId="31172" refreshError="1"/>
      <sheetData sheetId="31173" refreshError="1"/>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sheetData sheetId="31182"/>
      <sheetData sheetId="31183"/>
      <sheetData sheetId="31184"/>
      <sheetData sheetId="31185"/>
      <sheetData sheetId="31186"/>
      <sheetData sheetId="31187"/>
      <sheetData sheetId="31188"/>
      <sheetData sheetId="31189"/>
      <sheetData sheetId="31190"/>
      <sheetData sheetId="31191"/>
      <sheetData sheetId="31192"/>
      <sheetData sheetId="31193"/>
      <sheetData sheetId="31194"/>
      <sheetData sheetId="31195"/>
      <sheetData sheetId="31196"/>
      <sheetData sheetId="31197"/>
      <sheetData sheetId="31198"/>
      <sheetData sheetId="31199"/>
      <sheetData sheetId="31200"/>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refreshError="1"/>
      <sheetData sheetId="31256" refreshError="1"/>
      <sheetData sheetId="31257"/>
      <sheetData sheetId="31258" refreshError="1"/>
      <sheetData sheetId="31259"/>
      <sheetData sheetId="31260" refreshError="1"/>
      <sheetData sheetId="31261" refreshError="1"/>
      <sheetData sheetId="31262" refreshError="1"/>
      <sheetData sheetId="31263"/>
      <sheetData sheetId="31264"/>
      <sheetData sheetId="31265"/>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sheetData sheetId="31331">
        <row r="9">
          <cell r="A9" t="str">
            <v>A</v>
          </cell>
        </row>
      </sheetData>
      <sheetData sheetId="31332">
        <row r="9">
          <cell r="A9" t="str">
            <v>A</v>
          </cell>
        </row>
      </sheetData>
      <sheetData sheetId="31333"/>
      <sheetData sheetId="31334"/>
      <sheetData sheetId="31335"/>
      <sheetData sheetId="31336"/>
      <sheetData sheetId="31337"/>
      <sheetData sheetId="31338"/>
      <sheetData sheetId="31339"/>
      <sheetData sheetId="31340"/>
      <sheetData sheetId="31341"/>
      <sheetData sheetId="31342"/>
      <sheetData sheetId="31343"/>
      <sheetData sheetId="31344"/>
      <sheetData sheetId="31345"/>
      <sheetData sheetId="31346"/>
      <sheetData sheetId="31347"/>
      <sheetData sheetId="31348"/>
      <sheetData sheetId="31349">
        <row r="9">
          <cell r="A9" t="str">
            <v>A</v>
          </cell>
        </row>
      </sheetData>
      <sheetData sheetId="31350"/>
      <sheetData sheetId="31351"/>
      <sheetData sheetId="31352"/>
      <sheetData sheetId="31353"/>
      <sheetData sheetId="31354"/>
      <sheetData sheetId="31355"/>
      <sheetData sheetId="31356"/>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sheetData sheetId="31373">
        <row r="9">
          <cell r="A9" t="str">
            <v>A</v>
          </cell>
        </row>
      </sheetData>
      <sheetData sheetId="31374">
        <row r="9">
          <cell r="A9" t="str">
            <v>A</v>
          </cell>
        </row>
      </sheetData>
      <sheetData sheetId="31375">
        <row r="9">
          <cell r="A9" t="str">
            <v>A</v>
          </cell>
        </row>
      </sheetData>
      <sheetData sheetId="31376" refreshError="1"/>
      <sheetData sheetId="31377">
        <row r="9">
          <cell r="A9" t="str">
            <v>A</v>
          </cell>
        </row>
      </sheetData>
      <sheetData sheetId="31378">
        <row r="9">
          <cell r="A9" t="str">
            <v>A</v>
          </cell>
        </row>
      </sheetData>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sheetData sheetId="31390"/>
      <sheetData sheetId="31391"/>
      <sheetData sheetId="31392" refreshError="1"/>
      <sheetData sheetId="31393"/>
      <sheetData sheetId="31394"/>
      <sheetData sheetId="31395">
        <row r="9">
          <cell r="A9" t="str">
            <v>A</v>
          </cell>
        </row>
      </sheetData>
      <sheetData sheetId="31396" refreshError="1"/>
      <sheetData sheetId="31397" refreshError="1"/>
      <sheetData sheetId="31398" refreshError="1"/>
      <sheetData sheetId="31399" refreshError="1"/>
      <sheetData sheetId="31400" refreshError="1"/>
      <sheetData sheetId="31401" refreshError="1"/>
      <sheetData sheetId="31402"/>
      <sheetData sheetId="31403"/>
      <sheetData sheetId="31404"/>
      <sheetData sheetId="31405">
        <row r="9">
          <cell r="A9" t="str">
            <v>A</v>
          </cell>
        </row>
      </sheetData>
      <sheetData sheetId="31406"/>
      <sheetData sheetId="31407">
        <row r="9">
          <cell r="A9" t="str">
            <v>A</v>
          </cell>
        </row>
      </sheetData>
      <sheetData sheetId="31408">
        <row r="9">
          <cell r="A9" t="str">
            <v>A</v>
          </cell>
        </row>
      </sheetData>
      <sheetData sheetId="31409"/>
      <sheetData sheetId="31410">
        <row r="9">
          <cell r="A9" t="str">
            <v>A</v>
          </cell>
        </row>
      </sheetData>
      <sheetData sheetId="31411">
        <row r="9">
          <cell r="A9" t="str">
            <v>A</v>
          </cell>
        </row>
      </sheetData>
      <sheetData sheetId="31412"/>
      <sheetData sheetId="31413"/>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sheetData sheetId="31419">
        <row r="9">
          <cell r="A9" t="str">
            <v>A</v>
          </cell>
        </row>
      </sheetData>
      <sheetData sheetId="31420">
        <row r="9">
          <cell r="A9" t="str">
            <v>A</v>
          </cell>
        </row>
      </sheetData>
      <sheetData sheetId="31421">
        <row r="9">
          <cell r="A9" t="str">
            <v>A</v>
          </cell>
        </row>
      </sheetData>
      <sheetData sheetId="31422"/>
      <sheetData sheetId="31423"/>
      <sheetData sheetId="31424"/>
      <sheetData sheetId="31425"/>
      <sheetData sheetId="31426"/>
      <sheetData sheetId="31427"/>
      <sheetData sheetId="31428" refreshError="1"/>
      <sheetData sheetId="31429" refreshError="1"/>
      <sheetData sheetId="31430" refreshError="1"/>
      <sheetData sheetId="31431">
        <row r="9">
          <cell r="A9" t="str">
            <v>A</v>
          </cell>
        </row>
      </sheetData>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ow r="9">
          <cell r="A9" t="str">
            <v>A</v>
          </cell>
        </row>
      </sheetData>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sheetData sheetId="31450"/>
      <sheetData sheetId="31451">
        <row r="9">
          <cell r="A9" t="str">
            <v>A</v>
          </cell>
        </row>
      </sheetData>
      <sheetData sheetId="31452"/>
      <sheetData sheetId="31453">
        <row r="9">
          <cell r="A9" t="str">
            <v>A</v>
          </cell>
        </row>
      </sheetData>
      <sheetData sheetId="31454">
        <row r="9">
          <cell r="A9" t="str">
            <v>A</v>
          </cell>
        </row>
      </sheetData>
      <sheetData sheetId="31455"/>
      <sheetData sheetId="31456">
        <row r="9">
          <cell r="A9" t="str">
            <v>A</v>
          </cell>
        </row>
      </sheetData>
      <sheetData sheetId="31457">
        <row r="9">
          <cell r="A9" t="str">
            <v>A</v>
          </cell>
        </row>
      </sheetData>
      <sheetData sheetId="31458"/>
      <sheetData sheetId="31459"/>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sheetData sheetId="31465">
        <row r="9">
          <cell r="A9" t="str">
            <v>A</v>
          </cell>
        </row>
      </sheetData>
      <sheetData sheetId="31466">
        <row r="9">
          <cell r="A9" t="str">
            <v>A</v>
          </cell>
        </row>
      </sheetData>
      <sheetData sheetId="31467">
        <row r="9">
          <cell r="A9" t="str">
            <v>A</v>
          </cell>
        </row>
      </sheetData>
      <sheetData sheetId="31468"/>
      <sheetData sheetId="31469"/>
      <sheetData sheetId="31470"/>
      <sheetData sheetId="31471"/>
      <sheetData sheetId="31472"/>
      <sheetData sheetId="31473"/>
      <sheetData sheetId="31474"/>
      <sheetData sheetId="31475"/>
      <sheetData sheetId="31476"/>
      <sheetData sheetId="31477"/>
      <sheetData sheetId="31478"/>
      <sheetData sheetId="31479"/>
      <sheetData sheetId="31480"/>
      <sheetData sheetId="31481"/>
      <sheetData sheetId="31482"/>
      <sheetData sheetId="31483"/>
      <sheetData sheetId="31484"/>
      <sheetData sheetId="31485"/>
      <sheetData sheetId="31486"/>
      <sheetData sheetId="31487"/>
      <sheetData sheetId="31488"/>
      <sheetData sheetId="31489"/>
      <sheetData sheetId="31490"/>
      <sheetData sheetId="31491"/>
      <sheetData sheetId="31492"/>
      <sheetData sheetId="31493"/>
      <sheetData sheetId="31494"/>
      <sheetData sheetId="31495"/>
      <sheetData sheetId="31496"/>
      <sheetData sheetId="31497"/>
      <sheetData sheetId="31498"/>
      <sheetData sheetId="31499"/>
      <sheetData sheetId="31500"/>
      <sheetData sheetId="31501"/>
      <sheetData sheetId="31502"/>
      <sheetData sheetId="31503"/>
      <sheetData sheetId="31504"/>
      <sheetData sheetId="31505"/>
      <sheetData sheetId="31506"/>
      <sheetData sheetId="31507"/>
      <sheetData sheetId="31508"/>
      <sheetData sheetId="31509"/>
      <sheetData sheetId="31510" refreshError="1"/>
      <sheetData sheetId="31511"/>
      <sheetData sheetId="31512"/>
      <sheetData sheetId="31513"/>
      <sheetData sheetId="31514"/>
      <sheetData sheetId="31515"/>
      <sheetData sheetId="31516"/>
      <sheetData sheetId="31517"/>
      <sheetData sheetId="31518"/>
      <sheetData sheetId="31519"/>
      <sheetData sheetId="31520"/>
      <sheetData sheetId="31521"/>
      <sheetData sheetId="31522"/>
      <sheetData sheetId="31523"/>
      <sheetData sheetId="31524"/>
      <sheetData sheetId="31525"/>
      <sheetData sheetId="31526"/>
      <sheetData sheetId="31527"/>
      <sheetData sheetId="31528"/>
      <sheetData sheetId="31529"/>
      <sheetData sheetId="31530"/>
      <sheetData sheetId="31531" refreshError="1"/>
      <sheetData sheetId="31532"/>
      <sheetData sheetId="31533"/>
      <sheetData sheetId="31534"/>
      <sheetData sheetId="31535"/>
      <sheetData sheetId="31536" refreshError="1"/>
      <sheetData sheetId="31537"/>
      <sheetData sheetId="31538"/>
      <sheetData sheetId="31539" refreshError="1"/>
      <sheetData sheetId="31540" refreshError="1"/>
      <sheetData sheetId="31541" refreshError="1"/>
      <sheetData sheetId="31542" refreshError="1"/>
      <sheetData sheetId="31543"/>
      <sheetData sheetId="31544" refreshError="1"/>
      <sheetData sheetId="31545"/>
      <sheetData sheetId="31546"/>
      <sheetData sheetId="31547" refreshError="1"/>
      <sheetData sheetId="31548"/>
      <sheetData sheetId="31549"/>
      <sheetData sheetId="31550" refreshError="1"/>
      <sheetData sheetId="31551" refreshError="1"/>
      <sheetData sheetId="31552"/>
      <sheetData sheetId="31553"/>
      <sheetData sheetId="31554"/>
      <sheetData sheetId="31555"/>
      <sheetData sheetId="31556"/>
      <sheetData sheetId="31557"/>
      <sheetData sheetId="31558"/>
      <sheetData sheetId="31559"/>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sheetData sheetId="31570"/>
      <sheetData sheetId="31571"/>
      <sheetData sheetId="31572"/>
      <sheetData sheetId="31573"/>
      <sheetData sheetId="31574"/>
      <sheetData sheetId="31575"/>
      <sheetData sheetId="31576"/>
      <sheetData sheetId="31577"/>
      <sheetData sheetId="31578"/>
      <sheetData sheetId="31579"/>
      <sheetData sheetId="31580"/>
      <sheetData sheetId="31581"/>
      <sheetData sheetId="31582"/>
      <sheetData sheetId="31583"/>
      <sheetData sheetId="31584"/>
      <sheetData sheetId="31585"/>
      <sheetData sheetId="31586"/>
      <sheetData sheetId="31587"/>
      <sheetData sheetId="31588"/>
      <sheetData sheetId="31589"/>
      <sheetData sheetId="31590"/>
      <sheetData sheetId="31591"/>
      <sheetData sheetId="31592"/>
      <sheetData sheetId="31593"/>
      <sheetData sheetId="31594"/>
      <sheetData sheetId="31595"/>
      <sheetData sheetId="31596"/>
      <sheetData sheetId="31597"/>
      <sheetData sheetId="31598"/>
      <sheetData sheetId="31599"/>
      <sheetData sheetId="31600"/>
      <sheetData sheetId="31601"/>
      <sheetData sheetId="31602"/>
      <sheetData sheetId="31603"/>
      <sheetData sheetId="31604"/>
      <sheetData sheetId="31605"/>
      <sheetData sheetId="31606"/>
      <sheetData sheetId="31607"/>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sheetData sheetId="31680"/>
      <sheetData sheetId="31681"/>
      <sheetData sheetId="31682"/>
      <sheetData sheetId="31683"/>
      <sheetData sheetId="31684"/>
      <sheetData sheetId="31685"/>
      <sheetData sheetId="31686"/>
      <sheetData sheetId="31687"/>
      <sheetData sheetId="31688"/>
      <sheetData sheetId="31689"/>
      <sheetData sheetId="31690"/>
      <sheetData sheetId="31691"/>
      <sheetData sheetId="31692"/>
      <sheetData sheetId="31693"/>
      <sheetData sheetId="31694"/>
      <sheetData sheetId="31695"/>
      <sheetData sheetId="31696"/>
      <sheetData sheetId="31697"/>
      <sheetData sheetId="31698"/>
      <sheetData sheetId="31699"/>
      <sheetData sheetId="31700"/>
      <sheetData sheetId="31701"/>
      <sheetData sheetId="31702"/>
      <sheetData sheetId="31703"/>
      <sheetData sheetId="31704"/>
      <sheetData sheetId="31705"/>
      <sheetData sheetId="31706"/>
      <sheetData sheetId="31707"/>
      <sheetData sheetId="31708"/>
      <sheetData sheetId="31709"/>
      <sheetData sheetId="31710"/>
      <sheetData sheetId="31711"/>
      <sheetData sheetId="31712"/>
      <sheetData sheetId="31713"/>
      <sheetData sheetId="31714"/>
      <sheetData sheetId="31715"/>
      <sheetData sheetId="31716"/>
      <sheetData sheetId="31717"/>
      <sheetData sheetId="31718"/>
      <sheetData sheetId="31719"/>
      <sheetData sheetId="31720"/>
      <sheetData sheetId="31721"/>
      <sheetData sheetId="31722"/>
      <sheetData sheetId="31723"/>
      <sheetData sheetId="31724"/>
      <sheetData sheetId="31725"/>
      <sheetData sheetId="31726"/>
      <sheetData sheetId="31727"/>
      <sheetData sheetId="31728"/>
      <sheetData sheetId="31729"/>
      <sheetData sheetId="31730"/>
      <sheetData sheetId="31731"/>
      <sheetData sheetId="31732"/>
      <sheetData sheetId="31733" refreshError="1"/>
      <sheetData sheetId="31734" refreshError="1"/>
      <sheetData sheetId="31735"/>
      <sheetData sheetId="31736"/>
      <sheetData sheetId="31737"/>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ow r="9">
          <cell r="A9" t="str">
            <v>A</v>
          </cell>
        </row>
      </sheetData>
      <sheetData sheetId="31810" refreshError="1"/>
      <sheetData sheetId="31811" refreshError="1"/>
      <sheetData sheetId="31812" refreshError="1"/>
      <sheetData sheetId="31813" refreshError="1"/>
      <sheetData sheetId="31814">
        <row r="9">
          <cell r="A9" t="str">
            <v>A</v>
          </cell>
        </row>
      </sheetData>
      <sheetData sheetId="31815"/>
      <sheetData sheetId="31816"/>
      <sheetData sheetId="31817"/>
      <sheetData sheetId="31818"/>
      <sheetData sheetId="31819"/>
      <sheetData sheetId="31820"/>
      <sheetData sheetId="31821"/>
      <sheetData sheetId="31822"/>
      <sheetData sheetId="31823"/>
      <sheetData sheetId="31824"/>
      <sheetData sheetId="31825"/>
      <sheetData sheetId="31826"/>
      <sheetData sheetId="31827"/>
      <sheetData sheetId="31828"/>
      <sheetData sheetId="31829"/>
      <sheetData sheetId="31830"/>
      <sheetData sheetId="31831"/>
      <sheetData sheetId="31832"/>
      <sheetData sheetId="31833"/>
      <sheetData sheetId="31834"/>
      <sheetData sheetId="31835"/>
      <sheetData sheetId="31836"/>
      <sheetData sheetId="31837"/>
      <sheetData sheetId="31838"/>
      <sheetData sheetId="31839"/>
      <sheetData sheetId="31840"/>
      <sheetData sheetId="31841"/>
      <sheetData sheetId="31842"/>
      <sheetData sheetId="31843"/>
      <sheetData sheetId="31844"/>
      <sheetData sheetId="31845"/>
      <sheetData sheetId="31846"/>
      <sheetData sheetId="31847"/>
      <sheetData sheetId="31848"/>
      <sheetData sheetId="31849"/>
      <sheetData sheetId="31850"/>
      <sheetData sheetId="3185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sheetData sheetId="31857">
        <row r="9">
          <cell r="A9" t="str">
            <v>A</v>
          </cell>
        </row>
      </sheetData>
      <sheetData sheetId="31858" refreshError="1"/>
      <sheetData sheetId="31859" refreshError="1"/>
      <sheetData sheetId="31860">
        <row r="9">
          <cell r="A9" t="str">
            <v>A</v>
          </cell>
        </row>
      </sheetData>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sheetData sheetId="31876"/>
      <sheetData sheetId="31877"/>
      <sheetData sheetId="31878"/>
      <sheetData sheetId="31879"/>
      <sheetData sheetId="31880"/>
      <sheetData sheetId="31881"/>
      <sheetData sheetId="31882"/>
      <sheetData sheetId="31883"/>
      <sheetData sheetId="31884"/>
      <sheetData sheetId="31885"/>
      <sheetData sheetId="31886"/>
      <sheetData sheetId="31887"/>
      <sheetData sheetId="31888"/>
      <sheetData sheetId="31889"/>
      <sheetData sheetId="31890"/>
      <sheetData sheetId="31891"/>
      <sheetData sheetId="31892"/>
      <sheetData sheetId="31893"/>
      <sheetData sheetId="31894"/>
      <sheetData sheetId="31895"/>
      <sheetData sheetId="31896"/>
      <sheetData sheetId="31897"/>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efreshError="1"/>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sheetData sheetId="31918">
        <row r="9">
          <cell r="A9" t="str">
            <v>A</v>
          </cell>
        </row>
      </sheetData>
      <sheetData sheetId="31919"/>
      <sheetData sheetId="31920"/>
      <sheetData sheetId="31921"/>
      <sheetData sheetId="31922"/>
      <sheetData sheetId="31923"/>
      <sheetData sheetId="31924"/>
      <sheetData sheetId="31925"/>
      <sheetData sheetId="31926"/>
      <sheetData sheetId="31927"/>
      <sheetData sheetId="31928"/>
      <sheetData sheetId="31929"/>
      <sheetData sheetId="31930"/>
      <sheetData sheetId="31931"/>
      <sheetData sheetId="31932"/>
      <sheetData sheetId="31933"/>
      <sheetData sheetId="31934"/>
      <sheetData sheetId="31935"/>
      <sheetData sheetId="31936"/>
      <sheetData sheetId="31937"/>
      <sheetData sheetId="31938"/>
      <sheetData sheetId="31939"/>
      <sheetData sheetId="31940"/>
      <sheetData sheetId="31941"/>
      <sheetData sheetId="31942"/>
      <sheetData sheetId="31943"/>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sheetData sheetId="31959"/>
      <sheetData sheetId="31960">
        <row r="9">
          <cell r="A9" t="str">
            <v>A</v>
          </cell>
        </row>
      </sheetData>
      <sheetData sheetId="31961">
        <row r="9">
          <cell r="A9" t="str">
            <v>A</v>
          </cell>
        </row>
      </sheetData>
      <sheetData sheetId="31962">
        <row r="9">
          <cell r="A9" t="str">
            <v>A</v>
          </cell>
        </row>
      </sheetData>
      <sheetData sheetId="31963" refreshError="1"/>
      <sheetData sheetId="31964">
        <row r="9">
          <cell r="A9" t="str">
            <v>A</v>
          </cell>
        </row>
      </sheetData>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sheetData sheetId="32005"/>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efreshError="1"/>
      <sheetData sheetId="32020" refreshError="1"/>
      <sheetData sheetId="32021" refreshError="1"/>
      <sheetData sheetId="32022" refreshError="1"/>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ow r="9">
          <cell r="A9" t="str">
            <v>A</v>
          </cell>
        </row>
      </sheetData>
      <sheetData sheetId="32045"/>
      <sheetData sheetId="32046"/>
      <sheetData sheetId="32047"/>
      <sheetData sheetId="32048"/>
      <sheetData sheetId="32049"/>
      <sheetData sheetId="32050"/>
      <sheetData sheetId="32051"/>
      <sheetData sheetId="32052">
        <row r="9">
          <cell r="A9" t="str">
            <v>A</v>
          </cell>
        </row>
      </sheetData>
      <sheetData sheetId="32053"/>
      <sheetData sheetId="32054"/>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sheetData sheetId="32066"/>
      <sheetData sheetId="32067"/>
      <sheetData sheetId="32068"/>
      <sheetData sheetId="32069"/>
      <sheetData sheetId="32070"/>
      <sheetData sheetId="32071"/>
      <sheetData sheetId="32072"/>
      <sheetData sheetId="32073"/>
      <sheetData sheetId="32074"/>
      <sheetData sheetId="32075"/>
      <sheetData sheetId="32076"/>
      <sheetData sheetId="32077"/>
      <sheetData sheetId="32078"/>
      <sheetData sheetId="32079"/>
      <sheetData sheetId="32080"/>
      <sheetData sheetId="32081"/>
      <sheetData sheetId="32082"/>
      <sheetData sheetId="32083"/>
      <sheetData sheetId="32084"/>
      <sheetData sheetId="32085"/>
      <sheetData sheetId="32086"/>
      <sheetData sheetId="32087"/>
      <sheetData sheetId="32088"/>
      <sheetData sheetId="32089"/>
      <sheetData sheetId="32090"/>
      <sheetData sheetId="32091"/>
      <sheetData sheetId="32092"/>
      <sheetData sheetId="32093"/>
      <sheetData sheetId="32094"/>
      <sheetData sheetId="32095"/>
      <sheetData sheetId="32096" refreshError="1"/>
      <sheetData sheetId="32097" refreshError="1"/>
      <sheetData sheetId="32098"/>
      <sheetData sheetId="32099"/>
      <sheetData sheetId="32100"/>
      <sheetData sheetId="32101"/>
      <sheetData sheetId="32102"/>
      <sheetData sheetId="32103"/>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sheetData sheetId="32126"/>
      <sheetData sheetId="32127"/>
      <sheetData sheetId="32128"/>
      <sheetData sheetId="32129"/>
      <sheetData sheetId="32130"/>
      <sheetData sheetId="32131"/>
      <sheetData sheetId="32132"/>
      <sheetData sheetId="32133"/>
      <sheetData sheetId="32134"/>
      <sheetData sheetId="32135"/>
      <sheetData sheetId="32136"/>
      <sheetData sheetId="32137"/>
      <sheetData sheetId="32138"/>
      <sheetData sheetId="32139"/>
      <sheetData sheetId="32140"/>
      <sheetData sheetId="32141"/>
      <sheetData sheetId="32142"/>
      <sheetData sheetId="32143"/>
      <sheetData sheetId="32144"/>
      <sheetData sheetId="32145"/>
      <sheetData sheetId="32146"/>
      <sheetData sheetId="32147"/>
      <sheetData sheetId="32148"/>
      <sheetData sheetId="32149"/>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sheetData sheetId="32158"/>
      <sheetData sheetId="32159"/>
      <sheetData sheetId="32160"/>
      <sheetData sheetId="32161"/>
      <sheetData sheetId="32162"/>
      <sheetData sheetId="32163"/>
      <sheetData sheetId="32164"/>
      <sheetData sheetId="32165"/>
      <sheetData sheetId="32166"/>
      <sheetData sheetId="32167"/>
      <sheetData sheetId="32168"/>
      <sheetData sheetId="32169"/>
      <sheetData sheetId="32170"/>
      <sheetData sheetId="32171"/>
      <sheetData sheetId="32172"/>
      <sheetData sheetId="32173"/>
      <sheetData sheetId="32174"/>
      <sheetData sheetId="32175"/>
      <sheetData sheetId="32176"/>
      <sheetData sheetId="32177"/>
      <sheetData sheetId="32178"/>
      <sheetData sheetId="32179"/>
      <sheetData sheetId="32180"/>
      <sheetData sheetId="32181"/>
      <sheetData sheetId="32182"/>
      <sheetData sheetId="32183" refreshError="1"/>
      <sheetData sheetId="32184" refreshError="1"/>
      <sheetData sheetId="32185" refreshError="1"/>
      <sheetData sheetId="32186" refreshError="1"/>
      <sheetData sheetId="32187" refreshError="1"/>
      <sheetData sheetId="32188"/>
      <sheetData sheetId="32189" refreshError="1"/>
      <sheetData sheetId="32190"/>
      <sheetData sheetId="32191" refreshError="1"/>
      <sheetData sheetId="32192" refreshError="1"/>
      <sheetData sheetId="32193"/>
      <sheetData sheetId="32194"/>
      <sheetData sheetId="32195"/>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ow r="9">
          <cell r="A9" t="str">
            <v>A</v>
          </cell>
        </row>
      </sheetData>
      <sheetData sheetId="32243"/>
      <sheetData sheetId="32244"/>
      <sheetData sheetId="32245">
        <row r="9">
          <cell r="A9" t="str">
            <v>A</v>
          </cell>
        </row>
      </sheetData>
      <sheetData sheetId="32246">
        <row r="9">
          <cell r="A9" t="str">
            <v>A</v>
          </cell>
        </row>
      </sheetData>
      <sheetData sheetId="32247"/>
      <sheetData sheetId="32248"/>
      <sheetData sheetId="32249"/>
      <sheetData sheetId="32250">
        <row r="9">
          <cell r="A9" t="str">
            <v>A</v>
          </cell>
        </row>
      </sheetData>
      <sheetData sheetId="32251">
        <row r="9">
          <cell r="A9" t="str">
            <v>A</v>
          </cell>
        </row>
      </sheetData>
      <sheetData sheetId="32252">
        <row r="9">
          <cell r="A9" t="str">
            <v>A</v>
          </cell>
        </row>
      </sheetData>
      <sheetData sheetId="32253"/>
      <sheetData sheetId="32254">
        <row r="9">
          <cell r="A9" t="str">
            <v>A</v>
          </cell>
        </row>
      </sheetData>
      <sheetData sheetId="32255">
        <row r="9">
          <cell r="A9" t="str">
            <v>A</v>
          </cell>
        </row>
      </sheetData>
      <sheetData sheetId="32256"/>
      <sheetData sheetId="32257"/>
      <sheetData sheetId="32258"/>
      <sheetData sheetId="32259"/>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sheetData sheetId="32276"/>
      <sheetData sheetId="32277"/>
      <sheetData sheetId="32278"/>
      <sheetData sheetId="32279"/>
      <sheetData sheetId="32280"/>
      <sheetData sheetId="32281"/>
      <sheetData sheetId="32282"/>
      <sheetData sheetId="32283"/>
      <sheetData sheetId="32284"/>
      <sheetData sheetId="32285"/>
      <sheetData sheetId="32286"/>
      <sheetData sheetId="32287"/>
      <sheetData sheetId="32288"/>
      <sheetData sheetId="32289"/>
      <sheetData sheetId="32290"/>
      <sheetData sheetId="32291"/>
      <sheetData sheetId="32292"/>
      <sheetData sheetId="32293"/>
      <sheetData sheetId="32294"/>
      <sheetData sheetId="32295"/>
      <sheetData sheetId="32296">
        <row r="9">
          <cell r="A9" t="str">
            <v>A</v>
          </cell>
        </row>
      </sheetData>
      <sheetData sheetId="32297">
        <row r="9">
          <cell r="A9" t="str">
            <v>A</v>
          </cell>
        </row>
      </sheetData>
      <sheetData sheetId="32298">
        <row r="9">
          <cell r="A9" t="str">
            <v>A</v>
          </cell>
        </row>
      </sheetData>
      <sheetData sheetId="32299"/>
      <sheetData sheetId="32300">
        <row r="9">
          <cell r="A9" t="str">
            <v>A</v>
          </cell>
        </row>
      </sheetData>
      <sheetData sheetId="32301">
        <row r="9">
          <cell r="A9" t="str">
            <v>A</v>
          </cell>
        </row>
      </sheetData>
      <sheetData sheetId="32302"/>
      <sheetData sheetId="32303"/>
      <sheetData sheetId="32304"/>
      <sheetData sheetId="32305"/>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sheetData sheetId="32322"/>
      <sheetData sheetId="32323"/>
      <sheetData sheetId="32324"/>
      <sheetData sheetId="32325"/>
      <sheetData sheetId="32326"/>
      <sheetData sheetId="32327"/>
      <sheetData sheetId="32328"/>
      <sheetData sheetId="32329"/>
      <sheetData sheetId="32330"/>
      <sheetData sheetId="32331"/>
      <sheetData sheetId="32332"/>
      <sheetData sheetId="32333"/>
      <sheetData sheetId="32334"/>
      <sheetData sheetId="32335"/>
      <sheetData sheetId="32336"/>
      <sheetData sheetId="32337"/>
      <sheetData sheetId="32338"/>
      <sheetData sheetId="32339"/>
      <sheetData sheetId="32340"/>
      <sheetData sheetId="32341"/>
      <sheetData sheetId="32342">
        <row r="9">
          <cell r="A9" t="str">
            <v>A</v>
          </cell>
        </row>
      </sheetData>
      <sheetData sheetId="32343">
        <row r="9">
          <cell r="A9" t="str">
            <v>A</v>
          </cell>
        </row>
      </sheetData>
      <sheetData sheetId="32344">
        <row r="9">
          <cell r="A9" t="str">
            <v>A</v>
          </cell>
        </row>
      </sheetData>
      <sheetData sheetId="32345"/>
      <sheetData sheetId="32346">
        <row r="9">
          <cell r="A9" t="str">
            <v>A</v>
          </cell>
        </row>
      </sheetData>
      <sheetData sheetId="32347">
        <row r="9">
          <cell r="A9" t="str">
            <v>A</v>
          </cell>
        </row>
      </sheetData>
      <sheetData sheetId="32348"/>
      <sheetData sheetId="32349"/>
      <sheetData sheetId="32350"/>
      <sheetData sheetId="32351"/>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sheetData sheetId="32367"/>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refreshError="1"/>
      <sheetData sheetId="32382" refreshError="1"/>
      <sheetData sheetId="32383"/>
      <sheetData sheetId="32384"/>
      <sheetData sheetId="32385" refreshError="1"/>
      <sheetData sheetId="32386" refreshError="1"/>
      <sheetData sheetId="32387" refreshError="1"/>
      <sheetData sheetId="32388">
        <row r="9">
          <cell r="A9" t="str">
            <v>A</v>
          </cell>
        </row>
      </sheetData>
      <sheetData sheetId="32389">
        <row r="9">
          <cell r="A9" t="str">
            <v>A</v>
          </cell>
        </row>
      </sheetData>
      <sheetData sheetId="32390">
        <row r="9">
          <cell r="A9" t="str">
            <v>A</v>
          </cell>
        </row>
      </sheetData>
      <sheetData sheetId="32391" refreshError="1"/>
      <sheetData sheetId="32392">
        <row r="9">
          <cell r="A9" t="str">
            <v>A</v>
          </cell>
        </row>
      </sheetData>
      <sheetData sheetId="32393">
        <row r="9">
          <cell r="A9" t="str">
            <v>A</v>
          </cell>
        </row>
      </sheetData>
      <sheetData sheetId="32394" refreshError="1"/>
      <sheetData sheetId="32395" refreshError="1"/>
      <sheetData sheetId="32396" refreshError="1"/>
      <sheetData sheetId="32397" refreshError="1"/>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sheetData sheetId="32457">
        <row r="9">
          <cell r="A9" t="str">
            <v>A</v>
          </cell>
        </row>
      </sheetData>
      <sheetData sheetId="32458"/>
      <sheetData sheetId="32459">
        <row r="9">
          <cell r="A9" t="str">
            <v>A</v>
          </cell>
        </row>
      </sheetData>
      <sheetData sheetId="32460"/>
      <sheetData sheetId="32461">
        <row r="9">
          <cell r="A9" t="str">
            <v>A</v>
          </cell>
        </row>
      </sheetData>
      <sheetData sheetId="32462"/>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sheetData sheetId="32488"/>
      <sheetData sheetId="32489">
        <row r="9">
          <cell r="A9" t="str">
            <v>A</v>
          </cell>
        </row>
      </sheetData>
      <sheetData sheetId="32490"/>
      <sheetData sheetId="32491"/>
      <sheetData sheetId="32492"/>
      <sheetData sheetId="32493"/>
      <sheetData sheetId="32494"/>
      <sheetData sheetId="32495"/>
      <sheetData sheetId="32496"/>
      <sheetData sheetId="32497"/>
      <sheetData sheetId="32498"/>
      <sheetData sheetId="32499"/>
      <sheetData sheetId="32500"/>
      <sheetData sheetId="32501"/>
      <sheetData sheetId="32502"/>
      <sheetData sheetId="32503"/>
      <sheetData sheetId="32504" refreshError="1"/>
      <sheetData sheetId="32505">
        <row r="9">
          <cell r="A9" t="str">
            <v>A</v>
          </cell>
        </row>
      </sheetData>
      <sheetData sheetId="32506" refreshError="1"/>
      <sheetData sheetId="32507">
        <row r="9">
          <cell r="A9" t="str">
            <v>A</v>
          </cell>
        </row>
      </sheetData>
      <sheetData sheetId="32508" refreshError="1"/>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sheetData sheetId="32532">
        <row r="9">
          <cell r="A9" t="str">
            <v>A</v>
          </cell>
        </row>
      </sheetData>
      <sheetData sheetId="32533"/>
      <sheetData sheetId="32534"/>
      <sheetData sheetId="32535"/>
      <sheetData sheetId="32536"/>
      <sheetData sheetId="32537"/>
      <sheetData sheetId="32538"/>
      <sheetData sheetId="32539"/>
      <sheetData sheetId="32540"/>
      <sheetData sheetId="32541"/>
      <sheetData sheetId="32542"/>
      <sheetData sheetId="32543"/>
      <sheetData sheetId="32544"/>
      <sheetData sheetId="32545"/>
      <sheetData sheetId="32546"/>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sheetData sheetId="32571">
        <row r="9">
          <cell r="A9" t="str">
            <v>A</v>
          </cell>
        </row>
      </sheetData>
      <sheetData sheetId="32572"/>
      <sheetData sheetId="32573">
        <row r="9">
          <cell r="A9" t="str">
            <v>A</v>
          </cell>
        </row>
      </sheetData>
      <sheetData sheetId="32574">
        <row r="9">
          <cell r="A9" t="str">
            <v>A</v>
          </cell>
        </row>
      </sheetData>
      <sheetData sheetId="32575"/>
      <sheetData sheetId="32576">
        <row r="9">
          <cell r="A9" t="str">
            <v>A</v>
          </cell>
        </row>
      </sheetData>
      <sheetData sheetId="32577"/>
      <sheetData sheetId="32578">
        <row r="9">
          <cell r="A9" t="str">
            <v>A</v>
          </cell>
        </row>
      </sheetData>
      <sheetData sheetId="32579"/>
      <sheetData sheetId="32580"/>
      <sheetData sheetId="32581"/>
      <sheetData sheetId="32582"/>
      <sheetData sheetId="32583"/>
      <sheetData sheetId="32584"/>
      <sheetData sheetId="32585"/>
      <sheetData sheetId="32586"/>
      <sheetData sheetId="32587"/>
      <sheetData sheetId="32588"/>
      <sheetData sheetId="32589"/>
      <sheetData sheetId="32590"/>
      <sheetData sheetId="32591"/>
      <sheetData sheetId="32592"/>
      <sheetData sheetId="32593"/>
      <sheetData sheetId="32594" refreshError="1"/>
      <sheetData sheetId="32595"/>
      <sheetData sheetId="32596"/>
      <sheetData sheetId="32597"/>
      <sheetData sheetId="32598"/>
      <sheetData sheetId="32599"/>
      <sheetData sheetId="32600"/>
      <sheetData sheetId="32601"/>
      <sheetData sheetId="32602"/>
      <sheetData sheetId="32603"/>
      <sheetData sheetId="32604"/>
      <sheetData sheetId="32605"/>
      <sheetData sheetId="32606"/>
      <sheetData sheetId="32607"/>
      <sheetData sheetId="32608"/>
      <sheetData sheetId="32609"/>
      <sheetData sheetId="32610"/>
      <sheetData sheetId="32611"/>
      <sheetData sheetId="32612"/>
      <sheetData sheetId="32613"/>
      <sheetData sheetId="32614"/>
      <sheetData sheetId="32615"/>
      <sheetData sheetId="32616"/>
      <sheetData sheetId="32617"/>
      <sheetData sheetId="32618"/>
      <sheetData sheetId="32619"/>
      <sheetData sheetId="32620"/>
      <sheetData sheetId="32621"/>
      <sheetData sheetId="32622"/>
      <sheetData sheetId="32623"/>
      <sheetData sheetId="32624"/>
      <sheetData sheetId="32625" refreshError="1"/>
      <sheetData sheetId="32626" refreshError="1"/>
      <sheetData sheetId="32627"/>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sheetData sheetId="32643"/>
      <sheetData sheetId="32644"/>
      <sheetData sheetId="32645"/>
      <sheetData sheetId="32646"/>
      <sheetData sheetId="32647"/>
      <sheetData sheetId="32648"/>
      <sheetData sheetId="32649"/>
      <sheetData sheetId="32650"/>
      <sheetData sheetId="32651"/>
      <sheetData sheetId="32652"/>
      <sheetData sheetId="32653"/>
      <sheetData sheetId="32654"/>
      <sheetData sheetId="32655"/>
      <sheetData sheetId="32656"/>
      <sheetData sheetId="32657"/>
      <sheetData sheetId="32658"/>
      <sheetData sheetId="32659"/>
      <sheetData sheetId="32660"/>
      <sheetData sheetId="32661"/>
      <sheetData sheetId="32662"/>
      <sheetData sheetId="32663"/>
      <sheetData sheetId="32664"/>
      <sheetData sheetId="32665"/>
      <sheetData sheetId="32666"/>
      <sheetData sheetId="32667"/>
      <sheetData sheetId="32668"/>
      <sheetData sheetId="32669" refreshError="1"/>
      <sheetData sheetId="32670"/>
      <sheetData sheetId="3267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sheetData sheetId="32698"/>
      <sheetData sheetId="32699"/>
      <sheetData sheetId="32700"/>
      <sheetData sheetId="32701"/>
      <sheetData sheetId="32702"/>
      <sheetData sheetId="32703"/>
      <sheetData sheetId="32704"/>
      <sheetData sheetId="32705"/>
      <sheetData sheetId="32706"/>
      <sheetData sheetId="32707"/>
      <sheetData sheetId="32708" refreshError="1"/>
      <sheetData sheetId="32709"/>
      <sheetData sheetId="32710" refreshError="1"/>
      <sheetData sheetId="32711"/>
      <sheetData sheetId="32712"/>
      <sheetData sheetId="32713" refreshError="1"/>
      <sheetData sheetId="32714"/>
      <sheetData sheetId="32715"/>
      <sheetData sheetId="32716"/>
      <sheetData sheetId="32717" refreshError="1"/>
      <sheetData sheetId="32718"/>
      <sheetData sheetId="32719"/>
      <sheetData sheetId="32720"/>
      <sheetData sheetId="32721" refreshError="1"/>
      <sheetData sheetId="32722" refreshError="1"/>
      <sheetData sheetId="32723"/>
      <sheetData sheetId="32724" refreshError="1"/>
      <sheetData sheetId="32725"/>
      <sheetData sheetId="32726"/>
      <sheetData sheetId="32727"/>
      <sheetData sheetId="32728"/>
      <sheetData sheetId="32729"/>
      <sheetData sheetId="32730"/>
      <sheetData sheetId="32731">
        <row r="9">
          <cell r="A9" t="str">
            <v>A</v>
          </cell>
        </row>
      </sheetData>
      <sheetData sheetId="32732"/>
      <sheetData sheetId="32733"/>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sheetData sheetId="32771" refreshError="1"/>
      <sheetData sheetId="32772" refreshError="1"/>
      <sheetData sheetId="32773" refreshError="1"/>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row r="9">
          <cell r="A9" t="str">
            <v>A</v>
          </cell>
        </row>
      </sheetData>
      <sheetData sheetId="32788"/>
      <sheetData sheetId="32789">
        <row r="9">
          <cell r="A9" t="str">
            <v>A</v>
          </cell>
        </row>
      </sheetData>
      <sheetData sheetId="32790">
        <row r="9">
          <cell r="A9" t="str">
            <v>A</v>
          </cell>
        </row>
      </sheetData>
      <sheetData sheetId="32791"/>
      <sheetData sheetId="32792">
        <row r="9">
          <cell r="A9" t="str">
            <v>A</v>
          </cell>
        </row>
      </sheetData>
      <sheetData sheetId="32793"/>
      <sheetData sheetId="32794">
        <row r="9">
          <cell r="A9" t="str">
            <v>A</v>
          </cell>
        </row>
      </sheetData>
      <sheetData sheetId="32795"/>
      <sheetData sheetId="32796">
        <row r="9">
          <cell r="A9" t="str">
            <v>A</v>
          </cell>
        </row>
      </sheetData>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efreshError="1"/>
      <sheetData sheetId="32838">
        <row r="9">
          <cell r="A9" t="str">
            <v>A</v>
          </cell>
        </row>
      </sheetData>
      <sheetData sheetId="32839" refreshError="1"/>
      <sheetData sheetId="32840">
        <row r="9">
          <cell r="A9" t="str">
            <v>A</v>
          </cell>
        </row>
      </sheetData>
      <sheetData sheetId="32841" refreshError="1"/>
      <sheetData sheetId="32842">
        <row r="9">
          <cell r="A9" t="str">
            <v>A</v>
          </cell>
        </row>
      </sheetData>
      <sheetData sheetId="32843" refreshError="1"/>
      <sheetData sheetId="32844" refreshError="1"/>
      <sheetData sheetId="32845" refreshError="1"/>
      <sheetData sheetId="32846" refreshError="1"/>
      <sheetData sheetId="32847" refreshError="1"/>
      <sheetData sheetId="32848" refreshError="1"/>
      <sheetData sheetId="32849">
        <row r="9">
          <cell r="A9" t="str">
            <v>A</v>
          </cell>
        </row>
      </sheetData>
      <sheetData sheetId="32850">
        <row r="9">
          <cell r="A9" t="str">
            <v>A</v>
          </cell>
        </row>
      </sheetData>
      <sheetData sheetId="32851"/>
      <sheetData sheetId="32852"/>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row r="9">
          <cell r="A9" t="str">
            <v>A</v>
          </cell>
        </row>
      </sheetData>
      <sheetData sheetId="32915"/>
      <sheetData sheetId="32916">
        <row r="9">
          <cell r="A9" t="str">
            <v>A</v>
          </cell>
        </row>
      </sheetData>
      <sheetData sheetId="32917"/>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sheetData sheetId="32949"/>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sheetData sheetId="33024">
        <row r="9">
          <cell r="A9" t="str">
            <v>A</v>
          </cell>
        </row>
      </sheetData>
      <sheetData sheetId="33025">
        <row r="9">
          <cell r="A9" t="str">
            <v>A</v>
          </cell>
        </row>
      </sheetData>
      <sheetData sheetId="33026">
        <row r="9">
          <cell r="A9" t="str">
            <v>A</v>
          </cell>
        </row>
      </sheetData>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sheetData sheetId="33048">
        <row r="9">
          <cell r="A9" t="str">
            <v>A</v>
          </cell>
        </row>
      </sheetData>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sheetData sheetId="33162"/>
      <sheetData sheetId="33163"/>
      <sheetData sheetId="33164"/>
      <sheetData sheetId="33165"/>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sheetData sheetId="33201"/>
      <sheetData sheetId="33202"/>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row r="9">
          <cell r="A9" t="str">
            <v>A</v>
          </cell>
        </row>
      </sheetData>
      <sheetData sheetId="33421">
        <row r="9">
          <cell r="A9" t="str">
            <v>A</v>
          </cell>
        </row>
      </sheetData>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refreshError="1"/>
      <sheetData sheetId="33440" refreshError="1"/>
      <sheetData sheetId="33441" refreshError="1"/>
      <sheetData sheetId="33442" refreshError="1"/>
      <sheetData sheetId="33443" refreshError="1"/>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efreshError="1"/>
      <sheetData sheetId="33555" refreshError="1"/>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sheetData sheetId="33592"/>
      <sheetData sheetId="33593"/>
      <sheetData sheetId="33594"/>
      <sheetData sheetId="33595"/>
      <sheetData sheetId="33596"/>
      <sheetData sheetId="33597"/>
      <sheetData sheetId="33598"/>
      <sheetData sheetId="33599"/>
      <sheetData sheetId="33600"/>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sheetData sheetId="33641"/>
      <sheetData sheetId="33642"/>
      <sheetData sheetId="33643"/>
      <sheetData sheetId="33644"/>
      <sheetData sheetId="33645"/>
      <sheetData sheetId="33646"/>
      <sheetData sheetId="33647" refreshError="1"/>
      <sheetData sheetId="33648" refreshError="1"/>
      <sheetData sheetId="33649"/>
      <sheetData sheetId="33650"/>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sheetData sheetId="33714" refreshError="1"/>
      <sheetData sheetId="33715" refreshError="1"/>
      <sheetData sheetId="33716"/>
      <sheetData sheetId="33717" refreshError="1"/>
      <sheetData sheetId="33718" refreshError="1"/>
      <sheetData sheetId="33719" refreshError="1"/>
      <sheetData sheetId="33720"/>
      <sheetData sheetId="33721" refreshError="1"/>
      <sheetData sheetId="33722"/>
      <sheetData sheetId="33723"/>
      <sheetData sheetId="33724"/>
      <sheetData sheetId="33725" refreshError="1"/>
      <sheetData sheetId="33726" refreshError="1"/>
      <sheetData sheetId="33727" refreshError="1"/>
      <sheetData sheetId="33728" refreshError="1"/>
      <sheetData sheetId="33729" refreshError="1"/>
      <sheetData sheetId="33730" refreshError="1"/>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sheetData sheetId="33752"/>
      <sheetData sheetId="33753"/>
      <sheetData sheetId="33754"/>
      <sheetData sheetId="33755"/>
      <sheetData sheetId="33756"/>
      <sheetData sheetId="33757"/>
      <sheetData sheetId="33758"/>
      <sheetData sheetId="33759"/>
      <sheetData sheetId="33760"/>
      <sheetData sheetId="33761"/>
      <sheetData sheetId="33762"/>
      <sheetData sheetId="33763"/>
      <sheetData sheetId="33764"/>
      <sheetData sheetId="33765"/>
      <sheetData sheetId="33766"/>
      <sheetData sheetId="33767"/>
      <sheetData sheetId="33768"/>
      <sheetData sheetId="33769"/>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sheetData sheetId="34039"/>
      <sheetData sheetId="34040"/>
      <sheetData sheetId="34041"/>
      <sheetData sheetId="34042"/>
      <sheetData sheetId="34043"/>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ow r="9">
          <cell r="A9" t="str">
            <v>A</v>
          </cell>
        </row>
      </sheetData>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ow r="9">
          <cell r="A9" t="str">
            <v>A</v>
          </cell>
        </row>
      </sheetData>
      <sheetData sheetId="34173">
        <row r="9">
          <cell r="A9" t="str">
            <v>A</v>
          </cell>
        </row>
      </sheetData>
      <sheetData sheetId="34174">
        <row r="9">
          <cell r="A9" t="str">
            <v>A</v>
          </cell>
        </row>
      </sheetData>
      <sheetData sheetId="34175" refreshError="1"/>
      <sheetData sheetId="34176" refreshError="1"/>
      <sheetData sheetId="34177"/>
      <sheetData sheetId="34178" refreshError="1"/>
      <sheetData sheetId="34179" refreshError="1"/>
      <sheetData sheetId="34180" refreshError="1"/>
      <sheetData sheetId="34181"/>
      <sheetData sheetId="34182" refreshError="1"/>
      <sheetData sheetId="34183" refreshError="1"/>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refreshError="1"/>
      <sheetData sheetId="34206" refreshError="1"/>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refreshError="1"/>
      <sheetData sheetId="34296" refreshError="1"/>
      <sheetData sheetId="34297" refreshError="1"/>
      <sheetData sheetId="34298" refreshError="1"/>
      <sheetData sheetId="34299" refreshError="1"/>
      <sheetData sheetId="34300"/>
      <sheetData sheetId="34301"/>
      <sheetData sheetId="34302" refreshError="1"/>
      <sheetData sheetId="34303" refreshError="1"/>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refreshError="1"/>
      <sheetData sheetId="34346" refreshError="1"/>
      <sheetData sheetId="34347" refreshError="1"/>
      <sheetData sheetId="34348" refreshError="1"/>
      <sheetData sheetId="34349" refreshError="1"/>
      <sheetData sheetId="34350" refreshError="1"/>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refreshError="1"/>
      <sheetData sheetId="34401"/>
      <sheetData sheetId="34402"/>
      <sheetData sheetId="34403"/>
      <sheetData sheetId="34404"/>
      <sheetData sheetId="34405"/>
      <sheetData sheetId="34406"/>
      <sheetData sheetId="34407"/>
      <sheetData sheetId="34408"/>
      <sheetData sheetId="34409"/>
      <sheetData sheetId="34410"/>
      <sheetData sheetId="34411" refreshError="1"/>
      <sheetData sheetId="34412" refreshError="1"/>
      <sheetData sheetId="34413"/>
      <sheetData sheetId="34414"/>
      <sheetData sheetId="34415"/>
      <sheetData sheetId="34416" refreshError="1"/>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sheetData sheetId="34513"/>
      <sheetData sheetId="34514"/>
      <sheetData sheetId="34515"/>
      <sheetData sheetId="34516"/>
      <sheetData sheetId="34517"/>
      <sheetData sheetId="34518"/>
      <sheetData sheetId="34519"/>
      <sheetData sheetId="34520"/>
      <sheetData sheetId="34521"/>
      <sheetData sheetId="34522"/>
      <sheetData sheetId="34523">
        <row r="9">
          <cell r="A9" t="str">
            <v>A</v>
          </cell>
        </row>
      </sheetData>
      <sheetData sheetId="34524">
        <row r="9">
          <cell r="A9" t="str">
            <v>A</v>
          </cell>
        </row>
      </sheetData>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refreshError="1"/>
      <sheetData sheetId="34562" refreshError="1"/>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sheetData sheetId="34609"/>
      <sheetData sheetId="34610"/>
      <sheetData sheetId="34611"/>
      <sheetData sheetId="34612"/>
      <sheetData sheetId="34613" refreshError="1"/>
      <sheetData sheetId="34614"/>
      <sheetData sheetId="34615"/>
      <sheetData sheetId="34616"/>
      <sheetData sheetId="34617"/>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refreshError="1"/>
      <sheetData sheetId="34672" refreshError="1"/>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refreshError="1"/>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refreshError="1"/>
      <sheetData sheetId="34784"/>
      <sheetData sheetId="34785"/>
      <sheetData sheetId="34786"/>
      <sheetData sheetId="34787"/>
      <sheetData sheetId="34788"/>
      <sheetData sheetId="34789"/>
      <sheetData sheetId="34790"/>
      <sheetData sheetId="34791"/>
      <sheetData sheetId="34792" refreshError="1"/>
      <sheetData sheetId="34793" refreshError="1"/>
      <sheetData sheetId="34794" refreshError="1"/>
      <sheetData sheetId="34795" refreshError="1"/>
      <sheetData sheetId="34796" refreshError="1"/>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refreshError="1"/>
      <sheetData sheetId="34897"/>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sheetData sheetId="35036"/>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sheetData sheetId="35115"/>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sheetData sheetId="43261"/>
      <sheetData sheetId="43262"/>
      <sheetData sheetId="43263"/>
      <sheetData sheetId="43264"/>
      <sheetData sheetId="43265"/>
      <sheetData sheetId="43266"/>
      <sheetData sheetId="43267"/>
      <sheetData sheetId="43268"/>
      <sheetData sheetId="43269"/>
      <sheetData sheetId="43270"/>
      <sheetData sheetId="43271"/>
      <sheetData sheetId="43272"/>
      <sheetData sheetId="43273"/>
      <sheetData sheetId="43274"/>
      <sheetData sheetId="43275"/>
      <sheetData sheetId="43276">
        <row r="9">
          <cell r="A9" t="str">
            <v>A</v>
          </cell>
        </row>
      </sheetData>
      <sheetData sheetId="43277"/>
      <sheetData sheetId="43278"/>
      <sheetData sheetId="43279"/>
      <sheetData sheetId="4328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_TCS, NAGPUR-MANJIRI C_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________"/>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TCS, NAGPUR-MANJIRI C\PROGRESS"/>
      <sheetName val="????????"/>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efreshError="1"/>
      <sheetData sheetId="327" refreshError="1"/>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ow r="8">
          <cell r="D8" t="str">
            <v>Paramaz Avedisian Building</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ow r="8">
          <cell r="D8" t="str">
            <v>Paramaz Avedisian Building</v>
          </cell>
        </row>
      </sheetData>
      <sheetData sheetId="513" refreshError="1"/>
      <sheetData sheetId="514" refreshError="1"/>
      <sheetData sheetId="515">
        <row r="8">
          <cell r="D8" t="str">
            <v>Paramaz Avedisian Building</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row r="8">
          <cell r="D8" t="str">
            <v>Paramaz Avedisian Building</v>
          </cell>
        </row>
      </sheetData>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_Level 7_"/>
      <sheetName val="Residential Tower"/>
      <sheetName val="Amenities Level _Gym_"/>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_Level_7_"/>
      <sheetName val="Residential_Tower"/>
      <sheetName val="Amenities_Level__Gym_"/>
      <sheetName val="Summary_(2)1"/>
      <sheetName val="Foundation_and_Substructure1"/>
      <sheetName val="Ground_Floor1"/>
      <sheetName val="Podium_Carpark1"/>
      <sheetName val="Amenities_Level__Level_7_1"/>
      <sheetName val="Residential_Tower1"/>
      <sheetName val="Amenities_Level__Gym_1"/>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_Level_7_2"/>
      <sheetName val="Residential_Tower2"/>
      <sheetName val="Amenities_Level__Gym_2"/>
      <sheetName val="Bill_No__52"/>
      <sheetName val="PL_Plumbing2"/>
      <sheetName val="242-3_summaryOPC1"/>
      <sheetName val="Category_12"/>
      <sheetName val="GEN_REQ1"/>
      <sheetName val="SD_and_START_UP1"/>
      <sheetName val="COST-EST LTI P5C"/>
      <sheetName val="f-pm-04-12-03B-LTI-PH5c"/>
      <sheetName val="CostSked"/>
      <sheetName val="Financing Schemes"/>
      <sheetName val="_Model A costs"/>
      <sheetName val="Model B costs"/>
      <sheetName val="Model C costs"/>
      <sheetName val="BASE EQUI"/>
      <sheetName val="Sheet1"/>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_Level_7_4"/>
      <sheetName val="Residential_Tower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_Level_7_3"/>
      <sheetName val="Residential_Tower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_Level_7_5"/>
      <sheetName val="Residential_Tower5"/>
      <sheetName val="Amenities_Level__Gym_5"/>
      <sheetName val="Bill_No__55"/>
      <sheetName val="PL_Plumbing5"/>
      <sheetName val="Category_15"/>
      <sheetName val="242-3_summaryOPC4"/>
      <sheetName val="GEN_REQ4"/>
      <sheetName val="SD_and_START_UP4"/>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_Level_7_6"/>
      <sheetName val="Residential_Tower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Amenities Level [Level 7]"/>
      <sheetName val="Amenities Level [Gym]"/>
      <sheetName val="Amenities_Level_[Level_7]"/>
      <sheetName val="Amenities_Level_[Gym]"/>
      <sheetName val="Amenities_Level_[Level_7]1"/>
      <sheetName val="Amenities_Level_[Gym]1"/>
      <sheetName val="Amenities_Level_[Level_7]2"/>
      <sheetName val="Amenities_Level_[Gym]2"/>
      <sheetName val="Amenities_Level_[Level_7]4"/>
      <sheetName val="Amenities_Level_[Gym]4"/>
      <sheetName val="Amenities_Level_[Level_7]3"/>
      <sheetName val="Amenities_Level_[Gym]3"/>
      <sheetName val="Amenities_Level_[Level_7]5"/>
      <sheetName val="Amenities_Level_[Gym]5"/>
      <sheetName val="Amenities_Level_[Level_7]6"/>
      <sheetName val="Amenities_Level_[Gym]6"/>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ow r="1">
          <cell r="A1" t="str">
            <v>A/1</v>
          </cell>
        </row>
      </sheetData>
      <sheetData sheetId="10" refreshError="1"/>
      <sheetData sheetId="11">
        <row r="1">
          <cell r="A1" t="str">
            <v>A/1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efreshError="1"/>
      <sheetData sheetId="39" refreshError="1"/>
      <sheetData sheetId="40" refreshError="1"/>
      <sheetData sheetId="41" refreshError="1"/>
      <sheetData sheetId="42">
        <row r="1">
          <cell r="A1" t="str">
            <v>A/1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1">
          <cell r="A1" t="str">
            <v>A/1</v>
          </cell>
        </row>
      </sheetData>
      <sheetData sheetId="86">
        <row r="1">
          <cell r="A1" t="str">
            <v>A/1</v>
          </cell>
        </row>
      </sheetData>
      <sheetData sheetId="87"/>
      <sheetData sheetId="88">
        <row r="1">
          <cell r="A1" t="str">
            <v>A/1</v>
          </cell>
        </row>
      </sheetData>
      <sheetData sheetId="89" refreshError="1"/>
      <sheetData sheetId="90">
        <row r="1">
          <cell r="A1" t="str">
            <v>A/1</v>
          </cell>
        </row>
      </sheetData>
      <sheetData sheetId="91" refreshError="1"/>
      <sheetData sheetId="92">
        <row r="1">
          <cell r="A1" t="str">
            <v>A/1</v>
          </cell>
        </row>
      </sheetData>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1">
          <cell r="A1" t="str">
            <v>A/1</v>
          </cell>
        </row>
      </sheetData>
      <sheetData sheetId="131">
        <row r="1">
          <cell r="A1" t="str">
            <v>A/1</v>
          </cell>
        </row>
      </sheetData>
      <sheetData sheetId="132">
        <row r="1">
          <cell r="A1" t="str">
            <v>A/1</v>
          </cell>
        </row>
      </sheetData>
      <sheetData sheetId="133">
        <row r="1">
          <cell r="A1" t="str">
            <v>A/1</v>
          </cell>
        </row>
      </sheetData>
      <sheetData sheetId="134">
        <row r="1">
          <cell r="A1" t="str">
            <v>A/1</v>
          </cell>
        </row>
      </sheetData>
      <sheetData sheetId="135">
        <row r="1">
          <cell r="A1" t="str">
            <v>A/1</v>
          </cell>
        </row>
      </sheetData>
      <sheetData sheetId="136">
        <row r="1">
          <cell r="A1" t="str">
            <v>A/1</v>
          </cell>
        </row>
      </sheetData>
      <sheetData sheetId="137">
        <row r="1">
          <cell r="A1" t="str">
            <v>A/1</v>
          </cell>
        </row>
      </sheetData>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efreshError="1"/>
      <sheetData sheetId="275" refreshError="1"/>
      <sheetData sheetId="276" refreshError="1"/>
      <sheetData sheetId="277" refreshError="1"/>
      <sheetData sheetId="278" refreshError="1"/>
      <sheetData sheetId="279" refreshError="1"/>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efreshError="1"/>
      <sheetData sheetId="287" refreshError="1"/>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8_p-NMR"/>
      <sheetName val=""/>
      <sheetName val="_._x0008_p-NMR"/>
      <sheetName val="Labor bills 19.08.06"/>
      <sheetName val="site fab&amp;ernstr"/>
      <sheetName val="FORM7"/>
      <sheetName val="new tech flt bldg"/>
      <sheetName val="Approved MTD Proj #'s"/>
      <sheetName val="GuestProfile"/>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_p-NMR"/>
      <sheetName val="Labor_bills_19_08_06"/>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_x0000_._x0008_p-NMR"/>
      <sheetName val="?._x0008_p-NMR"/>
      <sheetName val="?_p-NMR"/>
      <sheetName val="?._x005f_x0008_p-NMR"/>
      <sheetName val="?._x005f_x005f_x005f_x0008_p-NMR"/>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ow r="43">
          <cell r="K43">
            <v>357.72499999999991</v>
          </cell>
        </row>
      </sheetData>
      <sheetData sheetId="59">
        <row r="43">
          <cell r="K43">
            <v>357.72499999999991</v>
          </cell>
        </row>
      </sheetData>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43">
          <cell r="K43">
            <v>357.72499999999991</v>
          </cell>
        </row>
      </sheetData>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row r="43">
          <cell r="K43">
            <v>357.72499999999991</v>
          </cell>
        </row>
      </sheetData>
      <sheetData sheetId="106">
        <row r="43">
          <cell r="K43">
            <v>357.72499999999991</v>
          </cell>
        </row>
      </sheetData>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43">
          <cell r="K43">
            <v>357.72499999999991</v>
          </cell>
        </row>
      </sheetData>
      <sheetData sheetId="120">
        <row r="43">
          <cell r="K43">
            <v>357.72499999999991</v>
          </cell>
        </row>
      </sheetData>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ow r="7">
          <cell r="I7" t="str">
            <v>Manpower</v>
          </cell>
        </row>
      </sheetData>
      <sheetData sheetId="233">
        <row r="7">
          <cell r="I7" t="str">
            <v>Manpower</v>
          </cell>
        </row>
      </sheetData>
      <sheetData sheetId="234">
        <row r="7">
          <cell r="I7" t="str">
            <v>Manpower</v>
          </cell>
        </row>
      </sheetData>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3">
          <cell r="K43">
            <v>357.72499999999991</v>
          </cell>
        </row>
      </sheetData>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sheetData sheetId="557"/>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FC332F-E07E-44BC-A642-0CBCE4B591DC}" name="Risklog" displayName="Risklog" ref="A4:AA250" totalsRowShown="0">
  <autoFilter ref="A4:AA250" xr:uid="{00000000-0009-0000-0100-000001000000}"/>
  <tableColumns count="27">
    <tableColumn id="1" xr3:uid="{523CE4E1-A8C0-4F1F-942E-630BE3E7563F}" name="Risk ID" dataDxfId="200"/>
    <tableColumn id="2" xr3:uid="{CED94D9E-2C5B-42FD-ADDF-1509050A2296}" name="Parent Project ID" dataDxfId="199"/>
    <tableColumn id="3" xr3:uid="{6AE3D511-6A6D-4684-A03C-7A86A5175389}" name="Contract / Project ID" dataDxfId="198"/>
    <tableColumn id="4" xr3:uid="{565D1E78-95E4-4D54-994F-0280F37F48D4}" name="Project Name" dataDxfId="197"/>
    <tableColumn id="5" xr3:uid="{26AB1FAA-B0F3-4369-ACC5-0360BAEB2818}" name="City" dataDxfId="196"/>
    <tableColumn id="6" xr3:uid="{39C340EB-01F9-44C2-A810-F6B4353C7F12}" name="Region" dataDxfId="195"/>
    <tableColumn id="7" xr3:uid="{1AE67565-49CB-4658-AA50-118A5A7A1FC4}" name="Fund Source" dataDxfId="194"/>
    <tableColumn id="8" xr3:uid="{322807CF-621D-4346-8B6F-322CCE7BD848}" name="Phase" dataDxfId="193"/>
    <tableColumn id="9" xr3:uid="{051F7AD6-024B-493E-84CD-15B812E46A90}" name="PM / Owner" dataDxfId="192"/>
    <tableColumn id="10" xr3:uid="{08AA8D63-936B-450C-B3FB-48BEBC1FAD79}" name="Contractor / Designer" dataDxfId="191"/>
    <tableColumn id="11" xr3:uid="{EC4AA7BE-8ECD-4B9F-82D1-ECB5C1662D4A}" name="Current Status" dataDxfId="190"/>
    <tableColumn id="12" xr3:uid="{27C5B18C-5F7F-48E5-A804-B275F2465439}" name="Value (SAR)" dataDxfId="189"/>
    <tableColumn id="13" xr3:uid="{6F293742-62EC-4BA7-8BC8-5BB367EBCB7A}" name="Category" dataDxfId="188"/>
    <tableColumn id="14" xr3:uid="{7D92D7DB-CFC7-4EA7-AB23-6F37A0102A2F}" name="Risk Title" dataDxfId="187"/>
    <tableColumn id="15" xr3:uid="{37F06FE5-4359-48B5-850C-30A0F9C6755A}" name="Description" dataDxfId="186"/>
    <tableColumn id="16" xr3:uid="{D3BA4C28-FEEC-40D4-9ECB-EBCAA58C8F6A}" name="Evidence / Data" dataDxfId="185"/>
    <tableColumn id="17" xr3:uid="{18B043F4-D94A-462F-89E9-A06B335010E3}" name="Probability (1-5)" dataDxfId="184"/>
    <tableColumn id="18" xr3:uid="{3C48A494-E58C-46CA-996A-8274B7C7AD4A}" name="Impact (1-5)" dataDxfId="183"/>
    <tableColumn id="19" xr3:uid="{85396CEF-9EB0-4901-8F89-6E7478B2D2BC}" name="Score" dataDxfId="182">
      <calculatedColumnFormula>Q5*R5</calculatedColumnFormula>
    </tableColumn>
    <tableColumn id="20" xr3:uid="{E4E3B7B1-EE9C-4891-954F-13E0480E346F}" name="Rating" dataDxfId="181">
      <calculatedColumnFormula>IF(S5&gt;=15,"High",IF(S5&gt;=8,"Medium","Low"))</calculatedColumnFormula>
    </tableColumn>
    <tableColumn id="21" xr3:uid="{D33630F3-0881-4071-8D63-CBDE6F324D48}" name="Response" dataDxfId="180"/>
    <tableColumn id="22" xr3:uid="{88FE6645-6614-467E-99C3-1021C78B7509}" name="Mitigation Plan" dataDxfId="179"/>
    <tableColumn id="23" xr3:uid="{B7F424A4-8A3F-4F91-BDE1-27403A8A7E73}" name="Date Identified" dataDxfId="178"/>
    <tableColumn id="24" xr3:uid="{41281BE9-E4A4-4EF6-888C-34103F7CD188}" name="Status" dataDxfId="177"/>
    <tableColumn id="25" xr3:uid="{B8DF003D-022B-48F9-9ABC-665831254AAB}" name="Target Date" dataDxfId="176"/>
    <tableColumn id="26" xr3:uid="{A74A9340-A8B1-4777-AA08-A5F62F08CAF2}" name="Notes / Updates" dataDxfId="175"/>
    <tableColumn id="27" xr3:uid="{4CA10883-91A8-4424-80AD-763F5BEA2F62}" name="Source" dataDxfId="1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9213FE-1584-46B7-B018-7CF2FF59CD73}" name="Issuelog" displayName="Issuelog" ref="A4:Z137" totalsRowShown="0" headerRowDxfId="173" headerRowBorderDxfId="172" tableBorderDxfId="171" totalsRowBorderDxfId="170">
  <autoFilter ref="A4:Z137" xr:uid="{00000000-0009-0000-0000-000002000000}"/>
  <tableColumns count="26">
    <tableColumn id="1" xr3:uid="{B8367862-5669-4579-9810-86630C5FA9F3}" name="Issue ID" dataDxfId="169"/>
    <tableColumn id="2" xr3:uid="{09C4DAF0-28FF-4BE7-80F7-F8027D42B2CF}" name="Parent Project ID" dataDxfId="168"/>
    <tableColumn id="3" xr3:uid="{0F86C8A5-2E78-49FB-92C5-C5A0A944D1EA}" name="Contract / Project ID" dataDxfId="167"/>
    <tableColumn id="4" xr3:uid="{BE5453E6-46B0-4B4F-ACFA-6944138C6E9E}" name="Project Name" dataDxfId="166"/>
    <tableColumn id="5" xr3:uid="{26315321-9C19-466E-A4EA-FD99C2DDC0D0}" name="City" dataDxfId="165"/>
    <tableColumn id="6" xr3:uid="{843ED6E7-BFEC-4E55-B300-8240DB9BE47E}" name="Region" dataDxfId="164"/>
    <tableColumn id="7" xr3:uid="{8EDAEAC8-1BEC-4A2D-9683-F2C6F23BFFBB}" name="Fund Source" dataDxfId="163"/>
    <tableColumn id="8" xr3:uid="{6CA0C995-811A-4D38-ADB6-7BE083BE283E}" name="Phase" dataDxfId="162"/>
    <tableColumn id="9" xr3:uid="{FDC2C275-96DA-476F-9CC6-0E9C62F8C382}" name="PM / Owner" dataDxfId="161"/>
    <tableColumn id="10" xr3:uid="{64D3FB2C-39C8-42C9-A9BC-EBD9FAA5F325}" name="Contractor / Designer" dataDxfId="160"/>
    <tableColumn id="11" xr3:uid="{C9B8179B-B3F7-4E97-B703-C2E3A4A8291E}" name="Current Status" dataDxfId="159"/>
    <tableColumn id="12" xr3:uid="{B9FF549E-F20F-458D-8DB0-73E1ECA6CD88}" name="Value (SAR)" dataDxfId="158"/>
    <tableColumn id="13" xr3:uid="{F359396A-0D03-49B0-B453-5EB73E9796FB}" name="Category" dataDxfId="157"/>
    <tableColumn id="14" xr3:uid="{4347D634-1242-4BE1-B7F8-9C1DC20FA4E1}" name="Issue Title" dataDxfId="156"/>
    <tableColumn id="15" xr3:uid="{E1E9D72F-50E2-4147-8A93-5A53C8911274}" name="Description" dataDxfId="155"/>
    <tableColumn id="16" xr3:uid="{1E8F324A-F002-48B7-A43D-F09295EDD9CC}" name="Evidence / Data" dataDxfId="154"/>
    <tableColumn id="17" xr3:uid="{3FCBBE1D-77EC-40D6-AF42-F5B485835B30}" name="Severity (1-5)" dataDxfId="153"/>
    <tableColumn id="18" xr3:uid="{1F2A5FEA-0667-4786-BCED-97E6216B2119}" name="Urgency (1-5)" dataDxfId="152"/>
    <tableColumn id="19" xr3:uid="{D8E3B57F-AB6D-45C2-A052-E6B66A4FBAEA}" name="Priority Score" dataDxfId="151">
      <calculatedColumnFormula>Q5*R5</calculatedColumnFormula>
    </tableColumn>
    <tableColumn id="20" xr3:uid="{F924D98B-4585-49BD-86A0-4DA33835D916}" name="Priority" dataDxfId="150">
      <calculatedColumnFormula>IF(S5&gt;=15,"Critical",IF(S5&gt;=8,"High","Normal"))</calculatedColumnFormula>
    </tableColumn>
    <tableColumn id="21" xr3:uid="{97035A73-80D2-4113-8AD7-44AC8B8EC578}" name="Action Required" dataDxfId="149"/>
    <tableColumn id="22" xr3:uid="{DDA56996-9970-4B33-93A5-A822294C0DE1}" name="Date Raised" dataDxfId="148"/>
    <tableColumn id="23" xr3:uid="{038272BD-9435-4A09-AEA8-602E58050AF0}" name="Status" dataDxfId="147"/>
    <tableColumn id="24" xr3:uid="{ACF74B94-4D4F-4F5F-A38E-8ED2A9B407C6}" name="Target Date" dataDxfId="146"/>
    <tableColumn id="25" xr3:uid="{F5659525-6411-4C3A-9664-479B59A4DF3E}" name="Resolution / Updates" dataDxfId="145"/>
    <tableColumn id="26" xr3:uid="{F545B1A7-4113-4C32-BD7C-05D5803FE374}" name="Source" dataDxfId="1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85" zoomScaleNormal="85" workbookViewId="0">
      <selection activeCell="DC3" sqref="DC3"/>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3" t="str">
        <f>'Weekly Progress Report'!$A$1</f>
        <v>MODON - Weekly Progress Report - Construction Projects</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str">
        <f>'Weekly Progress Report'!$A$2</f>
        <v>Contract General Information</v>
      </c>
      <c r="C2" s="13"/>
      <c r="D2" s="13"/>
      <c r="E2" s="13"/>
      <c r="F2" s="13"/>
      <c r="G2" s="13"/>
      <c r="H2" s="13"/>
      <c r="I2" s="13"/>
      <c r="J2" s="197" t="str">
        <f>'Weekly Progress Report'!G2</f>
        <v>Key Dates</v>
      </c>
      <c r="K2" s="198"/>
      <c r="L2" s="198"/>
      <c r="M2" s="198"/>
      <c r="N2" s="198"/>
      <c r="O2" s="198"/>
      <c r="P2" s="198"/>
      <c r="Q2" s="198"/>
      <c r="R2" s="198"/>
      <c r="S2" s="198"/>
      <c r="T2" s="199"/>
      <c r="U2" s="197" t="str">
        <f>'Weekly Progress Report'!$M$2</f>
        <v>Cost Summary (SR)</v>
      </c>
      <c r="V2" s="198"/>
      <c r="W2" s="198"/>
      <c r="X2" s="198"/>
      <c r="Y2" s="198"/>
      <c r="Z2" s="198"/>
      <c r="AA2" s="198"/>
      <c r="AB2" s="199"/>
      <c r="AC2" s="198"/>
      <c r="AD2" s="197" t="str">
        <f>'Weekly Progress Report'!$U$2</f>
        <v>Performance Summary</v>
      </c>
      <c r="AE2" s="198"/>
      <c r="AF2" s="198"/>
      <c r="AG2" s="198"/>
      <c r="AH2" s="198"/>
      <c r="AI2" s="198"/>
      <c r="AJ2" s="198"/>
      <c r="AK2" s="198"/>
      <c r="AL2" s="198"/>
      <c r="AM2" s="198"/>
      <c r="AN2" s="198"/>
      <c r="AO2" s="199"/>
      <c r="AP2" s="197" t="str">
        <f>'Weekly Progress Report'!A58</f>
        <v>Shop Drawings</v>
      </c>
      <c r="AQ2" s="198"/>
      <c r="AR2" s="198"/>
      <c r="AS2" s="199"/>
      <c r="AT2" s="197" t="str">
        <f>'Weekly Progress Report'!A67</f>
        <v>Material Approval</v>
      </c>
      <c r="AU2" s="198"/>
      <c r="AV2" s="199"/>
      <c r="AW2" s="197" t="str">
        <f>'Weekly Progress Report'!A76</f>
        <v>Procurement Summary</v>
      </c>
      <c r="AX2" s="198"/>
      <c r="AY2" s="198"/>
      <c r="AZ2" s="198"/>
      <c r="BA2" s="198"/>
      <c r="BB2" s="198"/>
      <c r="BC2" s="199"/>
      <c r="BD2" s="197" t="str">
        <f>'Weekly Progress Report'!L58</f>
        <v>Quality Reports</v>
      </c>
      <c r="BE2" s="198"/>
      <c r="BF2" s="198"/>
      <c r="BG2" s="198"/>
      <c r="BH2" s="198"/>
      <c r="BI2" s="198"/>
      <c r="BJ2" s="198"/>
      <c r="BK2" s="198"/>
      <c r="BL2" s="198"/>
      <c r="BM2" s="198"/>
      <c r="BN2" s="198"/>
      <c r="BO2" s="198"/>
      <c r="BP2" s="198"/>
      <c r="BQ2" s="198"/>
      <c r="BR2" s="198"/>
      <c r="BS2" s="199"/>
      <c r="BT2" s="197" t="str">
        <f>'Weekly Progress Report'!L66</f>
        <v>Key Submittals Approval Status</v>
      </c>
      <c r="BU2" s="198"/>
      <c r="BV2" s="198"/>
      <c r="BW2" s="198"/>
      <c r="BX2" s="198"/>
      <c r="BY2" s="198"/>
      <c r="BZ2" s="198"/>
      <c r="CA2" s="198"/>
      <c r="CB2" s="198"/>
      <c r="CC2" s="199"/>
      <c r="CD2" s="197" t="str">
        <f>'Weekly Progress Report'!L72</f>
        <v>Invoices Summary</v>
      </c>
      <c r="CE2" s="198"/>
      <c r="CF2" s="198"/>
      <c r="CG2" s="198"/>
      <c r="CH2" s="198"/>
      <c r="CI2" s="198"/>
      <c r="CJ2" s="198"/>
      <c r="CK2" s="198"/>
      <c r="CL2" s="198"/>
      <c r="CM2" s="198"/>
      <c r="CN2" s="198"/>
      <c r="CO2" s="198"/>
      <c r="CP2" s="198"/>
      <c r="CQ2" s="199"/>
      <c r="CR2" s="197" t="str">
        <f>'Weekly Progress Report'!L80</f>
        <v>Resources at Site</v>
      </c>
      <c r="CS2" s="198"/>
      <c r="CT2" s="198"/>
      <c r="CU2" s="198"/>
      <c r="CV2" s="198"/>
      <c r="CW2" s="198"/>
      <c r="CX2" s="199"/>
      <c r="CY2" s="197" t="str">
        <f>'Weekly Progress Report'!W58</f>
        <v>Safety Statistics</v>
      </c>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9"/>
      <c r="FK2" s="197" t="str">
        <f>'Weekly Progress Report'!A85</f>
        <v>Primavera P6 Schedule Status</v>
      </c>
      <c r="FL2" s="198"/>
      <c r="FM2" s="198"/>
      <c r="FN2" s="198"/>
      <c r="FO2" s="198"/>
      <c r="FP2" s="198"/>
      <c r="FQ2" s="198"/>
      <c r="FR2" s="199"/>
      <c r="FS2" s="197" t="str">
        <f>'Weekly Progress Report'!A94</f>
        <v>Weekly Prgoress Photos</v>
      </c>
      <c r="FT2" s="198"/>
      <c r="FU2" s="198"/>
      <c r="FV2" s="198"/>
      <c r="FW2" s="198"/>
      <c r="FX2" s="198"/>
      <c r="FY2" s="198"/>
      <c r="FZ2" s="198"/>
      <c r="GA2" s="199"/>
    </row>
    <row r="3" spans="1:183" s="45" customFormat="1" ht="56.25" customHeight="1">
      <c r="A3" s="933" t="str">
        <f>'Weekly Progress Report'!AF1</f>
        <v>Data Date</v>
      </c>
      <c r="B3" s="933" t="str">
        <f>'Weekly Progress Report'!A3</f>
        <v>Project Name</v>
      </c>
      <c r="C3" s="933" t="str">
        <f>'Weekly Progress Report'!A4</f>
        <v>Project ID</v>
      </c>
      <c r="D3" s="933" t="str">
        <f>'Weekly Progress Report'!A5</f>
        <v>Contractor</v>
      </c>
      <c r="E3" s="933" t="str">
        <f>'Weekly Progress Report'!A6</f>
        <v>Consultant</v>
      </c>
      <c r="F3" s="933" t="str">
        <f>'Weekly Progress Report'!D4</f>
        <v>Stage</v>
      </c>
      <c r="G3" s="933" t="str">
        <f>'Weekly Progress Report'!D5</f>
        <v>Status</v>
      </c>
      <c r="H3" s="933" t="str">
        <f>'Weekly Progress Report'!D6</f>
        <v>Modon PM</v>
      </c>
      <c r="I3" s="934" t="str">
        <f>'Weekly Progress Report'!AA2</f>
        <v>Project Scope</v>
      </c>
      <c r="J3" s="935" t="str">
        <f>'Weekly Progress Report'!G3</f>
        <v xml:space="preserve">Contract Award </v>
      </c>
      <c r="K3" s="933" t="str">
        <f>'Weekly Progress Report'!G4</f>
        <v xml:space="preserve">Contract Sign </v>
      </c>
      <c r="L3" s="933" t="str">
        <f>'Weekly Progress Report'!G5</f>
        <v xml:space="preserve">Site Handover </v>
      </c>
      <c r="M3" s="933" t="str">
        <f>'Weekly Progress Report'!G6</f>
        <v>Original Completion</v>
      </c>
      <c r="N3" s="933" t="str">
        <f>'Weekly Progress Report'!$I$3</f>
        <v>Contract Award  (Hijri)</v>
      </c>
      <c r="O3" s="933" t="str">
        <f>'Weekly Progress Report'!$I$4</f>
        <v>Contract Sign  (Hijri)</v>
      </c>
      <c r="P3" s="933" t="str">
        <f>'Weekly Progress Report'!$I$5</f>
        <v>Site Handover  (Hijri)</v>
      </c>
      <c r="Q3" s="933" t="str">
        <f>'Weekly Progress Report'!$I$6</f>
        <v>Original Completion (Hijri)</v>
      </c>
      <c r="R3" s="933" t="str">
        <f>'Weekly Progress Report'!$K$3</f>
        <v xml:space="preserve">Revised Completion </v>
      </c>
      <c r="S3" s="933" t="str">
        <f>'Weekly Progress Report'!$K$4</f>
        <v xml:space="preserve">Committed Completion </v>
      </c>
      <c r="T3" s="936" t="str">
        <f>'Weekly Progress Report'!$K$5</f>
        <v>Forecast Completion</v>
      </c>
      <c r="U3" s="935" t="str">
        <f>'Weekly Progress Report'!$M$3</f>
        <v>Original Contract Value</v>
      </c>
      <c r="V3" s="933" t="str">
        <f>'Weekly Progress Report'!$M$4</f>
        <v>Revised Contract Value</v>
      </c>
      <c r="W3" s="933" t="str">
        <f>'Weekly Progress Report'!$M$5</f>
        <v>Estimate At Completion Value</v>
      </c>
      <c r="X3" s="933" t="str">
        <f>'Weekly Progress Report'!$M$6</f>
        <v xml:space="preserve">Potential Changes </v>
      </c>
      <c r="Y3" s="933" t="str">
        <f>'Weekly Progress Report'!$Q$3</f>
        <v>O&amp;M Value (if any)</v>
      </c>
      <c r="Z3" s="933" t="str">
        <f>'Weekly Progress Report'!$Q$4</f>
        <v>Submitted Invoices (Gross Value)</v>
      </c>
      <c r="AA3" s="933" t="str">
        <f>'Weekly Progress Report'!$Q$5</f>
        <v>Penalities</v>
      </c>
      <c r="AB3" s="936" t="str">
        <f>'Weekly Progress Report'!$Q$6</f>
        <v>FIR Value (Todate)</v>
      </c>
      <c r="AC3" s="937" t="s">
        <v>0</v>
      </c>
      <c r="AD3" s="933" t="str">
        <f>'Weekly Progress Report'!$U$3</f>
        <v>Plan Value</v>
      </c>
      <c r="AE3" s="933" t="str">
        <f>'Weekly Progress Report'!$U$4</f>
        <v>Earn Value</v>
      </c>
      <c r="AF3" s="933" t="str">
        <f>'Weekly Progress Report'!$W$3</f>
        <v>Phys. Plan Value</v>
      </c>
      <c r="AG3" s="933" t="str">
        <f>'Weekly Progress Report'!$W$4</f>
        <v>Phys. Earn Value</v>
      </c>
      <c r="AH3" s="933" t="str">
        <f>'Weekly Progress Report'!$Y$3</f>
        <v>Quality Score</v>
      </c>
      <c r="AI3" s="933" t="str">
        <f>'Weekly Progress Report'!$Y$5</f>
        <v>Safety 
Score</v>
      </c>
      <c r="AJ3" s="933" t="s">
        <v>1</v>
      </c>
      <c r="AK3" s="933" t="s">
        <v>2</v>
      </c>
      <c r="AL3" s="933" t="s">
        <v>3</v>
      </c>
      <c r="AM3" s="933" t="s">
        <v>3</v>
      </c>
      <c r="AN3" s="933" t="s">
        <v>4</v>
      </c>
      <c r="AO3" s="936" t="s">
        <v>4</v>
      </c>
      <c r="AP3" s="935" t="s">
        <v>5</v>
      </c>
      <c r="AQ3" s="933" t="s">
        <v>6</v>
      </c>
      <c r="AR3" s="933" t="s">
        <v>7</v>
      </c>
      <c r="AS3" s="936" t="s">
        <v>8</v>
      </c>
      <c r="AT3" s="935" t="s">
        <v>9</v>
      </c>
      <c r="AU3" s="933" t="s">
        <v>10</v>
      </c>
      <c r="AV3" s="936" t="s">
        <v>11</v>
      </c>
      <c r="AW3" s="935" t="str">
        <f>'Weekly Progress Report'!C77</f>
        <v>Total Materials</v>
      </c>
      <c r="AX3" s="933" t="str">
        <f>'Weekly Progress Report'!D77</f>
        <v>Total Number of P.O.</v>
      </c>
      <c r="AY3" s="933" t="str">
        <f>'Weekly Progress Report'!E77</f>
        <v>Actual P.O.
To Date</v>
      </c>
      <c r="AZ3" s="933" t="str">
        <f>'Weekly Progress Report'!F77</f>
        <v>Remaining P.O</v>
      </c>
      <c r="BA3" s="933" t="str">
        <f>'Weekly Progress Report'!G77</f>
        <v>Material on Site</v>
      </c>
      <c r="BB3" s="933" t="str">
        <f>'Weekly Progress Report'!H77</f>
        <v>Remaining Materials</v>
      </c>
      <c r="BC3" s="936" t="str">
        <f>'Weekly Progress Report'!I77</f>
        <v>Material Delivery Completion (Date)</v>
      </c>
      <c r="BD3" s="935" t="str">
        <f>"NCR "&amp;'Weekly Progress Report'!N59</f>
        <v>NCR Issued</v>
      </c>
      <c r="BE3" s="933" t="str">
        <f>"NCR "&amp;'Weekly Progress Report'!O59</f>
        <v>NCR Closed</v>
      </c>
      <c r="BF3" s="933" t="str">
        <f>"NCR "&amp;'Weekly Progress Report'!P59</f>
        <v>NCR Pending</v>
      </c>
      <c r="BG3" s="933" t="str">
        <f>"NCR "&amp;'Weekly Progress Report'!Q59</f>
        <v>NCR Avg. Closing
(Days)</v>
      </c>
      <c r="BH3" s="933" t="str">
        <f>"SIR "&amp;'Weekly Progress Report'!N59</f>
        <v>SIR Issued</v>
      </c>
      <c r="BI3" s="933" t="str">
        <f>"SIR "&amp;'Weekly Progress Report'!O59</f>
        <v>SIR Closed</v>
      </c>
      <c r="BJ3" s="933" t="str">
        <f>"SIR "&amp;'Weekly Progress Report'!P59</f>
        <v>SIR Pending</v>
      </c>
      <c r="BK3" s="933" t="str">
        <f>"SIR "&amp;'Weekly Progress Report'!Q59</f>
        <v>SIR Avg. Closing
(Days)</v>
      </c>
      <c r="BL3" s="933" t="str">
        <f>"MIR "&amp;'Weekly Progress Report'!N59</f>
        <v>MIR Issued</v>
      </c>
      <c r="BM3" s="933" t="str">
        <f>"MIR "&amp;'Weekly Progress Report'!O59</f>
        <v>MIR Closed</v>
      </c>
      <c r="BN3" s="933" t="str">
        <f>"MIR "&amp;'Weekly Progress Report'!P59</f>
        <v>MIR Pending</v>
      </c>
      <c r="BO3" s="933" t="str">
        <f>"MIR "&amp;'Weekly Progress Report'!Q59</f>
        <v>MIR Avg. Closing
(Days)</v>
      </c>
      <c r="BP3" s="933" t="str">
        <f>"FIR "&amp;'Weekly Progress Report'!N59</f>
        <v>FIR Issued</v>
      </c>
      <c r="BQ3" s="933" t="str">
        <f>"FIR "&amp;'Weekly Progress Report'!O59</f>
        <v>FIR Closed</v>
      </c>
      <c r="BR3" s="933" t="str">
        <f>"FIR "&amp;'Weekly Progress Report'!P59</f>
        <v>FIR Pending</v>
      </c>
      <c r="BS3" s="936" t="str">
        <f>"FIR "&amp;'Weekly Progress Report'!Q59</f>
        <v>FIR Avg. Closing
(Days)</v>
      </c>
      <c r="BT3" s="935" t="str">
        <f>'Weekly Progress Report'!L67</f>
        <v xml:space="preserve">1 Quality Plan Approval </v>
      </c>
      <c r="BU3" s="933" t="str">
        <f>'Weekly Progress Report'!L68</f>
        <v xml:space="preserve">2 Quality Plan Last Up </v>
      </c>
      <c r="BV3" s="933" t="str">
        <f>'Weekly Progress Report'!L69</f>
        <v xml:space="preserve">3 Safety Plan Approval </v>
      </c>
      <c r="BW3" s="933" t="str">
        <f>'Weekly Progress Report'!L70</f>
        <v xml:space="preserve">4 Safety Plan Last Up </v>
      </c>
      <c r="BX3" s="933" t="str">
        <f>'Weekly Progress Report'!L71</f>
        <v xml:space="preserve">5 Execution Plan Approval </v>
      </c>
      <c r="BY3" s="933" t="str">
        <f>'Weekly Progress Report'!Q67</f>
        <v>6 Baseline Approval</v>
      </c>
      <c r="BZ3" s="933" t="str">
        <f>'Weekly Progress Report'!Q68</f>
        <v>7 No of Approved Version of Schedule</v>
      </c>
      <c r="CA3" s="933" t="str">
        <f>'Weekly Progress Report'!Q69</f>
        <v>8 Last Approved Schedule</v>
      </c>
      <c r="CB3" s="933" t="str">
        <f>'Weekly Progress Report'!Q70</f>
        <v>9 BOQ Approval Date</v>
      </c>
      <c r="CC3" s="936" t="str">
        <f>'Weekly Progress Report'!Q71</f>
        <v>10 No of Approved Version of BOQ</v>
      </c>
      <c r="CD3" s="202" t="str">
        <f>'Weekly Progress Report'!L73</f>
        <v>Total Submitted Invoices</v>
      </c>
      <c r="CE3" s="203" t="str">
        <f>'Weekly Progress Report'!L74</f>
        <v>PM Approved Invoices</v>
      </c>
      <c r="CF3" s="203" t="str">
        <f>'Weekly Progress Report'!L75</f>
        <v xml:space="preserve">No of Paid  Invoices </v>
      </c>
      <c r="CG3" s="203" t="str">
        <f>'Weekly Progress Report'!L76</f>
        <v>No of Pending Invoices</v>
      </c>
      <c r="CH3" s="203" t="str">
        <f>'Weekly Progress Report'!L77</f>
        <v>Advance Payment %</v>
      </c>
      <c r="CI3" s="203" t="str">
        <f>'Weekly Progress Report'!L78</f>
        <v>Retention %</v>
      </c>
      <c r="CJ3" s="203" t="str">
        <f>'Weekly Progress Report'!L79</f>
        <v>Deduction / Penalties %</v>
      </c>
      <c r="CK3" s="203" t="str">
        <f>'Weekly Progress Report'!O73</f>
        <v>Submitted Invoices (SAR)</v>
      </c>
      <c r="CL3" s="203" t="str">
        <f>'Weekly Progress Report'!O74</f>
        <v>PM Approved Invoices (SAR)</v>
      </c>
      <c r="CM3" s="203" t="str">
        <f>'Weekly Progress Report'!O75</f>
        <v>Paid  Invoices (SAR)</v>
      </c>
      <c r="CN3" s="203" t="str">
        <f>'Weekly Progress Report'!O76</f>
        <v>Last Submitted Period</v>
      </c>
      <c r="CO3" s="203" t="str">
        <f>'Weekly Progress Report'!O77</f>
        <v>Advance Payment (SAR)</v>
      </c>
      <c r="CP3" s="203" t="str">
        <f>'Weekly Progress Report'!O78</f>
        <v>Retention (SAR)</v>
      </c>
      <c r="CQ3" s="204" t="str">
        <f>'Weekly Progress Report'!O79</f>
        <v>Deduction / Penalties (SAR)</v>
      </c>
      <c r="CR3" s="935" t="s">
        <v>12</v>
      </c>
      <c r="CS3" s="933" t="s">
        <v>13</v>
      </c>
      <c r="CT3" s="933" t="s">
        <v>14</v>
      </c>
      <c r="CU3" s="933" t="s">
        <v>15</v>
      </c>
      <c r="CV3" s="933" t="s">
        <v>16</v>
      </c>
      <c r="CW3" s="933" t="s">
        <v>17</v>
      </c>
      <c r="CX3" s="936" t="s">
        <v>18</v>
      </c>
      <c r="CY3" s="202" t="str">
        <f>"This Week "&amp;'Weekly Progress Report'!X61</f>
        <v>This Week Total Hours Worked</v>
      </c>
      <c r="CZ3" s="203" t="str">
        <f>"This Week "&amp;'Weekly Progress Report'!X62</f>
        <v>This Week Safe Hours Worked</v>
      </c>
      <c r="DA3" s="203" t="str">
        <f>"This Week "&amp;'Weekly Progress Report'!X63</f>
        <v>This Week LTI</v>
      </c>
      <c r="DB3" s="203" t="str">
        <f>"This Week "&amp;'Weekly Progress Report'!X64</f>
        <v>This Week MTC (Healed w/o Disability)</v>
      </c>
      <c r="DC3" s="203" t="str">
        <f>"This Week "&amp;'Weekly Progress Report'!X65</f>
        <v>This Week MTC (Healed w/ Disability)</v>
      </c>
      <c r="DD3" s="203" t="str">
        <f>"This Week "&amp;'Weekly Progress Report'!X66</f>
        <v>This Week Near Miss</v>
      </c>
      <c r="DE3" s="203" t="str">
        <f>"This Week "&amp;'Weekly Progress Report'!X67</f>
        <v>This Week First Aid Cases</v>
      </c>
      <c r="DF3" s="203" t="str">
        <f>"This Week "&amp;'Weekly Progress Report'!X68</f>
        <v>This Week Fatality</v>
      </c>
      <c r="DG3" s="203" t="str">
        <f>"This Week "&amp;'Weekly Progress Report'!X69</f>
        <v>This Week Fire Incident Cases</v>
      </c>
      <c r="DH3" s="203" t="str">
        <f>"This Week "&amp;'Weekly Progress Report'!X70</f>
        <v>This Week Vehicle Incident</v>
      </c>
      <c r="DI3" s="203" t="str">
        <f>"This Week "&amp;'Weekly Progress Report'!X71</f>
        <v>This Week Property Damages</v>
      </c>
      <c r="DJ3" s="203" t="str">
        <f>"This Week "&amp;'Weekly Progress Report'!X72</f>
        <v xml:space="preserve">This Week Induction Training </v>
      </c>
      <c r="DK3" s="203" t="str">
        <f>"This Week "&amp;'Weekly Progress Report'!X73</f>
        <v>This Week No.of Internal Training</v>
      </c>
      <c r="DL3" s="203" t="str">
        <f>"This Week "&amp;'Weekly Progress Report'!X74</f>
        <v>This Week No.of Internal Audit</v>
      </c>
      <c r="DM3" s="203" t="str">
        <f>"This Week "&amp;'Weekly Progress Report'!X75</f>
        <v>This Week No. of Toolbox Talks</v>
      </c>
      <c r="DN3" s="203" t="str">
        <f>"This Week "&amp;'Weekly Progress Report'!X76</f>
        <v>This Week Safety Awards/Incentives</v>
      </c>
      <c r="DO3" s="203" t="str">
        <f>"This Month "&amp;'Weekly Progress Report'!X61</f>
        <v>This Month Total Hours Worked</v>
      </c>
      <c r="DP3" s="203" t="str">
        <f>"This Month "&amp;'Weekly Progress Report'!X62</f>
        <v>This Month Safe Hours Worked</v>
      </c>
      <c r="DQ3" s="203" t="str">
        <f>"This Month "&amp;'Weekly Progress Report'!X63</f>
        <v>This Month LTI</v>
      </c>
      <c r="DR3" s="203" t="str">
        <f>"This Month "&amp;'Weekly Progress Report'!X64</f>
        <v>This Month MTC (Healed w/o Disability)</v>
      </c>
      <c r="DS3" s="203" t="str">
        <f>"This Month "&amp;'Weekly Progress Report'!X65</f>
        <v>This Month MTC (Healed w/ Disability)</v>
      </c>
      <c r="DT3" s="203" t="str">
        <f>"This Month "&amp;'Weekly Progress Report'!X66</f>
        <v>This Month Near Miss</v>
      </c>
      <c r="DU3" s="203" t="str">
        <f>"This Month "&amp;'Weekly Progress Report'!X67</f>
        <v>This Month First Aid Cases</v>
      </c>
      <c r="DV3" s="203" t="str">
        <f>"This Month "&amp;'Weekly Progress Report'!X68</f>
        <v>This Month Fatality</v>
      </c>
      <c r="DW3" s="203" t="str">
        <f>"This Month "&amp;'Weekly Progress Report'!X69</f>
        <v>This Month Fire Incident Cases</v>
      </c>
      <c r="DX3" s="203" t="str">
        <f>"This Month "&amp;'Weekly Progress Report'!X70</f>
        <v>This Month Vehicle Incident</v>
      </c>
      <c r="DY3" s="203" t="str">
        <f>"This Month "&amp;'Weekly Progress Report'!X71</f>
        <v>This Month Property Damages</v>
      </c>
      <c r="DZ3" s="203" t="str">
        <f>"This Month "&amp;'Weekly Progress Report'!X72</f>
        <v xml:space="preserve">This Month Induction Training </v>
      </c>
      <c r="EA3" s="203" t="str">
        <f>"This Month "&amp;'Weekly Progress Report'!X73</f>
        <v>This Month No.of Internal Training</v>
      </c>
      <c r="EB3" s="203" t="str">
        <f>"This Month "&amp;'Weekly Progress Report'!X74</f>
        <v>This Month No.of Internal Audit</v>
      </c>
      <c r="EC3" s="203" t="str">
        <f>"This Month "&amp;'Weekly Progress Report'!X75</f>
        <v>This Month No. of Toolbox Talks</v>
      </c>
      <c r="ED3" s="203" t="str">
        <f>"This Month "&amp;'Weekly Progress Report'!X76</f>
        <v>This Month Safety Awards/Incentives</v>
      </c>
      <c r="EE3" s="933" t="str">
        <f>"YTD "&amp;'Weekly Progress Report'!X61</f>
        <v>YTD Total Hours Worked</v>
      </c>
      <c r="EF3" s="933" t="str">
        <f>"YTD "&amp;'Weekly Progress Report'!X62</f>
        <v>YTD Safe Hours Worked</v>
      </c>
      <c r="EG3" s="933" t="str">
        <f>"YTD "&amp;'Weekly Progress Report'!X63</f>
        <v>YTD LTI</v>
      </c>
      <c r="EH3" s="933" t="str">
        <f>"YTD "&amp;'Weekly Progress Report'!X64</f>
        <v>YTD MTC (Healed w/o Disability)</v>
      </c>
      <c r="EI3" s="933" t="str">
        <f>"YTD "&amp;'Weekly Progress Report'!X65</f>
        <v>YTD MTC (Healed w/ Disability)</v>
      </c>
      <c r="EJ3" s="933" t="str">
        <f>"YTD "&amp;'Weekly Progress Report'!X66</f>
        <v>YTD Near Miss</v>
      </c>
      <c r="EK3" s="933" t="str">
        <f>"YTD "&amp;'Weekly Progress Report'!X67</f>
        <v>YTD First Aid Cases</v>
      </c>
      <c r="EL3" s="933" t="str">
        <f>"YTD "&amp;'Weekly Progress Report'!X68</f>
        <v>YTD Fatality</v>
      </c>
      <c r="EM3" s="933" t="str">
        <f>"YTD "&amp;'Weekly Progress Report'!X69</f>
        <v>YTD Fire Incident Cases</v>
      </c>
      <c r="EN3" s="933" t="str">
        <f>"YTD "&amp;'Weekly Progress Report'!X70</f>
        <v>YTD Vehicle Incident</v>
      </c>
      <c r="EO3" s="933" t="str">
        <f>"YTD "&amp;'Weekly Progress Report'!X71</f>
        <v>YTD Property Damages</v>
      </c>
      <c r="EP3" s="933" t="str">
        <f>"YTD "&amp;'Weekly Progress Report'!X72</f>
        <v xml:space="preserve">YTD Induction Training </v>
      </c>
      <c r="EQ3" s="933" t="str">
        <f>"YTD "&amp;'Weekly Progress Report'!X73</f>
        <v>YTD No.of Internal Training</v>
      </c>
      <c r="ER3" s="933" t="str">
        <f>"YTD "&amp;'Weekly Progress Report'!X74</f>
        <v>YTD No.of Internal Audit</v>
      </c>
      <c r="ES3" s="933" t="str">
        <f>"YTD "&amp;'Weekly Progress Report'!X75</f>
        <v>YTD No. of Toolbox Talks</v>
      </c>
      <c r="ET3" s="933" t="str">
        <f>"YTD "&amp;'Weekly Progress Report'!X76</f>
        <v>YTD Safety Awards/Incentives</v>
      </c>
      <c r="EU3" s="933" t="str">
        <f>"Cum "&amp;'Weekly Progress Report'!X61</f>
        <v>Cum Total Hours Worked</v>
      </c>
      <c r="EV3" s="933" t="str">
        <f>"Cum "&amp;'Weekly Progress Report'!X62</f>
        <v>Cum Safe Hours Worked</v>
      </c>
      <c r="EW3" s="933" t="str">
        <f>"Cum "&amp;'Weekly Progress Report'!X63</f>
        <v>Cum LTI</v>
      </c>
      <c r="EX3" s="933" t="str">
        <f>"Cum "&amp;'Weekly Progress Report'!X64</f>
        <v>Cum MTC (Healed w/o Disability)</v>
      </c>
      <c r="EY3" s="933" t="str">
        <f>"Cum "&amp;'Weekly Progress Report'!X65</f>
        <v>Cum MTC (Healed w/ Disability)</v>
      </c>
      <c r="EZ3" s="933" t="str">
        <f>"Cum "&amp;'Weekly Progress Report'!X66</f>
        <v>Cum Near Miss</v>
      </c>
      <c r="FA3" s="933" t="str">
        <f>"Cum "&amp;'Weekly Progress Report'!X67</f>
        <v>Cum First Aid Cases</v>
      </c>
      <c r="FB3" s="933" t="str">
        <f>"Cum "&amp;'Weekly Progress Report'!X68</f>
        <v>Cum Fatality</v>
      </c>
      <c r="FC3" s="933" t="str">
        <f>"Cum "&amp;'Weekly Progress Report'!X69</f>
        <v>Cum Fire Incident Cases</v>
      </c>
      <c r="FD3" s="933" t="str">
        <f>"Cum "&amp;'Weekly Progress Report'!X70</f>
        <v>Cum Vehicle Incident</v>
      </c>
      <c r="FE3" s="933" t="str">
        <f>"Cum "&amp;'Weekly Progress Report'!X71</f>
        <v>Cum Property Damages</v>
      </c>
      <c r="FF3" s="933" t="str">
        <f>"Cum "&amp;'Weekly Progress Report'!X72</f>
        <v xml:space="preserve">Cum Induction Training </v>
      </c>
      <c r="FG3" s="933" t="str">
        <f>"Cum "&amp;'Weekly Progress Report'!X73</f>
        <v>Cum No.of Internal Training</v>
      </c>
      <c r="FH3" s="933" t="str">
        <f>"Cum "&amp;'Weekly Progress Report'!X74</f>
        <v>Cum No.of Internal Audit</v>
      </c>
      <c r="FI3" s="933" t="str">
        <f>"Cum "&amp;'Weekly Progress Report'!X75</f>
        <v>Cum No. of Toolbox Talks</v>
      </c>
      <c r="FJ3" s="936" t="str">
        <f>"Cum "&amp;'Weekly Progress Report'!X76</f>
        <v>Cum Safety Awards/Incentives</v>
      </c>
      <c r="FK3" s="935" t="str">
        <f>'Weekly Progress Report'!A88</f>
        <v>Total Act.</v>
      </c>
      <c r="FL3" s="933" t="str">
        <f>'Weekly Progress Report'!B88</f>
        <v>Not Started</v>
      </c>
      <c r="FM3" s="933" t="str">
        <f>'Weekly Progress Report'!C88</f>
        <v>In Progress</v>
      </c>
      <c r="FN3" s="933" t="str">
        <f>'Weekly Progress Report'!D88</f>
        <v>Completed</v>
      </c>
      <c r="FO3" s="933" t="s">
        <v>19</v>
      </c>
      <c r="FP3" s="933" t="s">
        <v>20</v>
      </c>
      <c r="FQ3" s="933" t="s">
        <v>21</v>
      </c>
      <c r="FR3" s="936" t="s">
        <v>22</v>
      </c>
      <c r="FS3" s="935">
        <f>'Weekly Progress Report'!B96</f>
        <v>0</v>
      </c>
      <c r="FT3" s="933">
        <f>'Weekly Progress Report'!D96</f>
        <v>0</v>
      </c>
      <c r="FU3" s="933">
        <f>'Weekly Progress Report'!F96</f>
        <v>0</v>
      </c>
      <c r="FV3" s="933">
        <f>'Weekly Progress Report'!H96</f>
        <v>0</v>
      </c>
      <c r="FW3" s="933">
        <f>'Weekly Progress Report'!J96</f>
        <v>0</v>
      </c>
      <c r="FX3" s="933">
        <f>'Weekly Progress Report'!L96</f>
        <v>0</v>
      </c>
      <c r="FY3" s="933">
        <f>'Weekly Progress Report'!N96</f>
        <v>0</v>
      </c>
      <c r="FZ3" s="933">
        <f>'Weekly Progress Report'!O96</f>
        <v>0</v>
      </c>
      <c r="GA3" s="936">
        <f>'Weekly Progress Report'!P96</f>
        <v>0</v>
      </c>
    </row>
    <row r="4" spans="1:183" s="45" customFormat="1" ht="36" customHeight="1" thickBot="1">
      <c r="A4" s="205">
        <f>'Weekly Progress Report'!AG1</f>
        <v>46308</v>
      </c>
      <c r="B4" s="45" t="str">
        <f>'Weekly Progress Report'!B3</f>
        <v>LAND DEVELOPMENT OF JEDDAH OASIS</v>
      </c>
      <c r="C4" s="45" t="str">
        <f>'Weekly Progress Report'!B4</f>
        <v>JHD4-02-007</v>
      </c>
      <c r="D4" s="45" t="str">
        <f>'Weekly Progress Report'!B5</f>
        <v>AL-ENJAZ TRADING AND CONTRACTING COMPANY</v>
      </c>
      <c r="E4" s="45" t="str">
        <f>'Weekly Progress Report'!B6</f>
        <v>SAUDI ARABIA CONSULTING ENGINEERING COMPANY "EGIS"</v>
      </c>
      <c r="F4" s="45" t="str">
        <f>'Weekly Progress Report'!E4</f>
        <v>Construction</v>
      </c>
      <c r="G4" s="45" t="str">
        <f>'Weekly Progress Report'!E5</f>
        <v>Active</v>
      </c>
      <c r="H4" s="45" t="str">
        <f>'Weekly Progress Report'!E6</f>
        <v>Mohammed Alshunaifi</v>
      </c>
      <c r="I4" s="206" t="str">
        <f>'Weekly Progress Report'!AA3</f>
        <v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v>
      </c>
      <c r="J4" s="207">
        <f>'Weekly Progress Report'!H3</f>
        <v>45970</v>
      </c>
      <c r="K4" s="208">
        <f>'Weekly Progress Report'!H4</f>
        <v>45977</v>
      </c>
      <c r="L4" s="208">
        <f>'Weekly Progress Report'!H5</f>
        <v>45985</v>
      </c>
      <c r="M4" s="208">
        <f>'Weekly Progress Report'!H6</f>
        <v>46530</v>
      </c>
      <c r="N4" s="208">
        <f>'Weekly Progress Report'!$J$3</f>
        <v>45970</v>
      </c>
      <c r="O4" s="208">
        <f>'Weekly Progress Report'!$J$4</f>
        <v>45977</v>
      </c>
      <c r="P4" s="208">
        <f>'Weekly Progress Report'!$J$5</f>
        <v>45985</v>
      </c>
      <c r="Q4" s="209">
        <f>'Weekly Progress Report'!$J$6</f>
        <v>46530</v>
      </c>
      <c r="R4" s="209">
        <f>'Weekly Progress Report'!$L$3</f>
        <v>46530</v>
      </c>
      <c r="S4" s="209">
        <f>'Weekly Progress Report'!$L$4</f>
        <v>46530</v>
      </c>
      <c r="T4" s="210">
        <f>'Weekly Progress Report'!$L$5</f>
        <v>46406</v>
      </c>
      <c r="U4" s="211">
        <f>'Weekly Progress Report'!$O$3</f>
        <v>57304347.860000007</v>
      </c>
      <c r="V4" s="212">
        <f>'Weekly Progress Report'!$O$4</f>
        <v>57304347.860000007</v>
      </c>
      <c r="W4" s="212">
        <f>'Weekly Progress Report'!$O$5</f>
        <v>57304347.860000007</v>
      </c>
      <c r="X4" s="213">
        <f>'Weekly Progress Report'!$O$6</f>
        <v>0</v>
      </c>
      <c r="Y4" s="212">
        <f>'Weekly Progress Report'!$S$3</f>
        <v>0</v>
      </c>
      <c r="Z4" s="212">
        <f>'Weekly Progress Report'!$S$4</f>
        <v>35217376.920000002</v>
      </c>
      <c r="AA4" s="212">
        <f>'Weekly Progress Report'!$S$5</f>
        <v>0</v>
      </c>
      <c r="AB4" s="214">
        <f>'Weekly Progress Report'!$S$6</f>
        <v>53231723.454849944</v>
      </c>
      <c r="AC4" s="215">
        <f>'Weekly Progress Report'!$J$28</f>
        <v>0.74182849482653523</v>
      </c>
      <c r="AD4" s="216">
        <f>'Weekly Progress Report'!$V$3</f>
        <v>0.59845330469135538</v>
      </c>
      <c r="AE4" s="216">
        <f>'Weekly Progress Report'!$V$4</f>
        <v>0.9330628189091128</v>
      </c>
      <c r="AF4" s="216">
        <f>'Weekly Progress Report'!$X$3</f>
        <v>0.7640222633046877</v>
      </c>
      <c r="AG4" s="216">
        <f>'Weekly Progress Report'!$X$4</f>
        <v>0.96133707834743454</v>
      </c>
      <c r="AH4" s="217">
        <f>'Weekly Progress Report'!$Z$3</f>
        <v>0.85303793103448289</v>
      </c>
      <c r="AI4" s="217">
        <f>'Weekly Progress Report'!$Z$5</f>
        <v>0.88</v>
      </c>
      <c r="AJ4" s="278">
        <f>'Weekly Progress Report'!$E$28</f>
        <v>706912.69000000006</v>
      </c>
      <c r="AK4" s="278">
        <f>'Weekly Progress Report'!$F$28</f>
        <v>1259332.5300000007</v>
      </c>
      <c r="AL4" s="279">
        <f>AJ4/V4</f>
        <v>1.233610915051429E-2</v>
      </c>
      <c r="AM4" s="279">
        <f>AK4/V4</f>
        <v>2.1976212574247776E-2</v>
      </c>
      <c r="AN4" s="216">
        <f>'Weekly Progress Report'!S28</f>
        <v>1.2335406876416996E-2</v>
      </c>
      <c r="AO4" s="218">
        <f>'Weekly Progress Report'!T28</f>
        <v>1.0316840993626748E-2</v>
      </c>
      <c r="AP4" s="219">
        <f>'Weekly Progress Report'!C66</f>
        <v>393</v>
      </c>
      <c r="AQ4" s="217">
        <f>'Weekly Progress Report'!I66</f>
        <v>0</v>
      </c>
      <c r="AR4" s="217">
        <f>'Weekly Progress Report'!J66</f>
        <v>4</v>
      </c>
      <c r="AS4" s="220">
        <f>'Weekly Progress Report'!K66</f>
        <v>393</v>
      </c>
      <c r="AT4" s="219">
        <f>'Weekly Progress Report'!C75</f>
        <v>146</v>
      </c>
      <c r="AU4" s="217">
        <f>'Weekly Progress Report'!J75</f>
        <v>0</v>
      </c>
      <c r="AV4" s="220">
        <f>'Weekly Progress Report'!K75</f>
        <v>146</v>
      </c>
      <c r="AW4" s="219">
        <f>'Weekly Progress Report'!C84</f>
        <v>34</v>
      </c>
      <c r="AX4" s="217">
        <f>'Weekly Progress Report'!D84</f>
        <v>34</v>
      </c>
      <c r="AY4" s="217">
        <f>'Weekly Progress Report'!E84</f>
        <v>34</v>
      </c>
      <c r="AZ4" s="217">
        <f>'Weekly Progress Report'!F84</f>
        <v>0</v>
      </c>
      <c r="BA4" s="217">
        <f>'Weekly Progress Report'!G84</f>
        <v>27</v>
      </c>
      <c r="BB4" s="217">
        <f>'Weekly Progress Report'!H84</f>
        <v>7</v>
      </c>
      <c r="BC4" s="210">
        <f>'Weekly Progress Report'!I84</f>
        <v>46280</v>
      </c>
      <c r="BD4" s="219">
        <f>'Weekly Progress Report'!N62</f>
        <v>43</v>
      </c>
      <c r="BE4" s="217">
        <f>'Weekly Progress Report'!O62</f>
        <v>43</v>
      </c>
      <c r="BF4" s="217">
        <f>'Weekly Progress Report'!P62</f>
        <v>0</v>
      </c>
      <c r="BG4" s="217">
        <f>'Weekly Progress Report'!Q62</f>
        <v>0</v>
      </c>
      <c r="BH4" s="217">
        <f>'Weekly Progress Report'!N63</f>
        <v>10</v>
      </c>
      <c r="BI4" s="217">
        <f>'Weekly Progress Report'!O63</f>
        <v>10</v>
      </c>
      <c r="BJ4" s="217">
        <f>'Weekly Progress Report'!P63</f>
        <v>0</v>
      </c>
      <c r="BK4" s="217">
        <f>'Weekly Progress Report'!Q63</f>
        <v>0</v>
      </c>
      <c r="BL4" s="217">
        <f>'Weekly Progress Report'!N64</f>
        <v>116</v>
      </c>
      <c r="BM4" s="217">
        <f>'Weekly Progress Report'!O64</f>
        <v>116</v>
      </c>
      <c r="BN4" s="217">
        <f>'Weekly Progress Report'!P64</f>
        <v>0</v>
      </c>
      <c r="BO4" s="217">
        <f>'Weekly Progress Report'!Q64</f>
        <v>0</v>
      </c>
      <c r="BP4" s="217">
        <f>'Weekly Progress Report'!N65</f>
        <v>1571</v>
      </c>
      <c r="BQ4" s="217">
        <f>'Weekly Progress Report'!O65</f>
        <v>1551</v>
      </c>
      <c r="BR4" s="217">
        <f>'Weekly Progress Report'!P65</f>
        <v>20</v>
      </c>
      <c r="BS4" s="220">
        <f>'Weekly Progress Report'!Q65</f>
        <v>0</v>
      </c>
      <c r="BT4" s="221">
        <f>'Weekly Progress Report'!O67</f>
        <v>46039</v>
      </c>
      <c r="BU4" s="222">
        <f>'Weekly Progress Report'!O68</f>
        <v>1</v>
      </c>
      <c r="BV4" s="222">
        <f>'Weekly Progress Report'!O69</f>
        <v>46019</v>
      </c>
      <c r="BW4" s="222">
        <f>'Weekly Progress Report'!O70</f>
        <v>1</v>
      </c>
      <c r="BX4" s="222">
        <f>'Weekly Progress Report'!O71</f>
        <v>46034</v>
      </c>
      <c r="BY4" s="222">
        <f>'Weekly Progress Report'!U67</f>
        <v>46012</v>
      </c>
      <c r="BZ4" s="217">
        <f>'Weekly Progress Report'!U68</f>
        <v>1</v>
      </c>
      <c r="CA4" s="222">
        <f>'Weekly Progress Report'!U69</f>
        <v>46012</v>
      </c>
      <c r="CB4" s="222">
        <f>'Weekly Progress Report'!U70</f>
        <v>45985</v>
      </c>
      <c r="CC4" s="220">
        <f>'Weekly Progress Report'!U71</f>
        <v>1</v>
      </c>
      <c r="CD4" s="211">
        <f>'Weekly Progress Report'!N73</f>
        <v>8</v>
      </c>
      <c r="CE4" s="212">
        <f>'Weekly Progress Report'!N74</f>
        <v>7</v>
      </c>
      <c r="CF4" s="212">
        <f>'Weekly Progress Report'!N75</f>
        <v>3</v>
      </c>
      <c r="CG4" s="212">
        <f>'Weekly Progress Report'!N76</f>
        <v>4</v>
      </c>
      <c r="CH4" s="212">
        <f>'Weekly Progress Report'!N77</f>
        <v>0</v>
      </c>
      <c r="CI4" s="212">
        <f>'Weekly Progress Report'!N78</f>
        <v>0</v>
      </c>
      <c r="CJ4" s="212">
        <f>'Weekly Progress Report'!N79</f>
        <v>0</v>
      </c>
      <c r="CK4" s="223">
        <f>'Weekly Progress Report'!R73</f>
        <v>40499983.457999997</v>
      </c>
      <c r="CL4" s="223">
        <f>'Weekly Progress Report'!R74</f>
        <v>33617268.486999996</v>
      </c>
      <c r="CM4" s="223">
        <f>'Weekly Progress Report'!R75</f>
        <v>27469388.637499999</v>
      </c>
      <c r="CN4" s="224">
        <f>'Weekly Progress Report'!R76</f>
        <v>0</v>
      </c>
      <c r="CO4" s="223">
        <f>'Weekly Progress Report'!R77</f>
        <v>0</v>
      </c>
      <c r="CP4" s="223">
        <f>'Weekly Progress Report'!R78</f>
        <v>0</v>
      </c>
      <c r="CQ4" s="225">
        <f>'Weekly Progress Report'!R79</f>
        <v>0</v>
      </c>
      <c r="CR4" s="226">
        <f>'Weekly Progress Report'!L83</f>
        <v>12</v>
      </c>
      <c r="CS4" s="217">
        <f>'Weekly Progress Report'!M83</f>
        <v>49</v>
      </c>
      <c r="CT4" s="217">
        <f>'Weekly Progress Report'!O83</f>
        <v>0</v>
      </c>
      <c r="CU4" s="227">
        <f>'Weekly Progress Report'!P83</f>
        <v>61</v>
      </c>
      <c r="CV4" s="217">
        <f>'Weekly Progress Report'!Q83</f>
        <v>181</v>
      </c>
      <c r="CW4" s="217">
        <f>'Weekly Progress Report'!T93</f>
        <v>30</v>
      </c>
      <c r="CX4" s="220">
        <f>'Weekly Progress Report'!U93</f>
        <v>113</v>
      </c>
      <c r="CY4" s="219">
        <f>'Weekly Progress Report'!Z61</f>
        <v>11376</v>
      </c>
      <c r="CZ4" s="217">
        <f>'Weekly Progress Report'!Z62</f>
        <v>11376</v>
      </c>
      <c r="DA4" s="217">
        <f>'Weekly Progress Report'!Z63</f>
        <v>0</v>
      </c>
      <c r="DB4" s="217">
        <f>'Weekly Progress Report'!Z64</f>
        <v>0</v>
      </c>
      <c r="DC4" s="217">
        <f>'Weekly Progress Report'!Z65</f>
        <v>0</v>
      </c>
      <c r="DD4" s="217">
        <f>'Weekly Progress Report'!Z66</f>
        <v>0</v>
      </c>
      <c r="DE4" s="217">
        <f>'Weekly Progress Report'!Z67</f>
        <v>0</v>
      </c>
      <c r="DF4" s="217">
        <f>'Weekly Progress Report'!Z68</f>
        <v>0</v>
      </c>
      <c r="DG4" s="217">
        <f>'Weekly Progress Report'!Z69</f>
        <v>0</v>
      </c>
      <c r="DH4" s="217">
        <f>'Weekly Progress Report'!Z70</f>
        <v>0</v>
      </c>
      <c r="DI4" s="217">
        <f>'Weekly Progress Report'!Z71</f>
        <v>0</v>
      </c>
      <c r="DJ4" s="217">
        <f>'Weekly Progress Report'!Z72</f>
        <v>0</v>
      </c>
      <c r="DK4" s="217">
        <f>'Weekly Progress Report'!Z73</f>
        <v>5</v>
      </c>
      <c r="DL4" s="217">
        <f>'Weekly Progress Report'!Z74</f>
        <v>0</v>
      </c>
      <c r="DM4" s="217">
        <f>'Weekly Progress Report'!Z75</f>
        <v>1</v>
      </c>
      <c r="DN4" s="217">
        <f>'Weekly Progress Report'!Z76</f>
        <v>0</v>
      </c>
      <c r="DO4" s="217">
        <f>'Weekly Progress Report'!AB61</f>
        <v>22752</v>
      </c>
      <c r="DP4" s="217">
        <f>'Weekly Progress Report'!AB62</f>
        <v>22752</v>
      </c>
      <c r="DQ4" s="217">
        <f>'Weekly Progress Report'!AB63</f>
        <v>0</v>
      </c>
      <c r="DR4" s="217">
        <f>'Weekly Progress Report'!AB64</f>
        <v>0</v>
      </c>
      <c r="DS4" s="217">
        <f>'Weekly Progress Report'!AB65</f>
        <v>0</v>
      </c>
      <c r="DT4" s="217">
        <f>'Weekly Progress Report'!AB66</f>
        <v>0</v>
      </c>
      <c r="DU4" s="217">
        <f>'Weekly Progress Report'!AB67</f>
        <v>0</v>
      </c>
      <c r="DV4" s="217">
        <f>'Weekly Progress Report'!AB68</f>
        <v>0</v>
      </c>
      <c r="DW4" s="217">
        <f>'Weekly Progress Report'!AB69</f>
        <v>0</v>
      </c>
      <c r="DX4" s="217">
        <f>'Weekly Progress Report'!AB70</f>
        <v>0</v>
      </c>
      <c r="DY4" s="217">
        <f>'Weekly Progress Report'!AB71</f>
        <v>0</v>
      </c>
      <c r="DZ4" s="217">
        <f>'Weekly Progress Report'!AB72</f>
        <v>0</v>
      </c>
      <c r="EA4" s="217">
        <f>'Weekly Progress Report'!AB73</f>
        <v>12</v>
      </c>
      <c r="EB4" s="217">
        <f>'Weekly Progress Report'!AB74</f>
        <v>0</v>
      </c>
      <c r="EC4" s="217">
        <f>'Weekly Progress Report'!AB75</f>
        <v>2</v>
      </c>
      <c r="ED4" s="217">
        <f>'Weekly Progress Report'!AB76</f>
        <v>0</v>
      </c>
      <c r="EE4" s="217">
        <f>'Weekly Progress Report'!AC61</f>
        <v>491606</v>
      </c>
      <c r="EF4" s="217">
        <f>'Weekly Progress Report'!AC62</f>
        <v>491606</v>
      </c>
      <c r="EG4" s="217">
        <f>'Weekly Progress Report'!AC63</f>
        <v>0</v>
      </c>
      <c r="EH4" s="217">
        <f>'Weekly Progress Report'!AC64</f>
        <v>0</v>
      </c>
      <c r="EI4" s="217">
        <f>'Weekly Progress Report'!AC65</f>
        <v>0</v>
      </c>
      <c r="EJ4" s="217">
        <f>'Weekly Progress Report'!AC66</f>
        <v>0</v>
      </c>
      <c r="EK4" s="217">
        <f>'Weekly Progress Report'!AC67</f>
        <v>0</v>
      </c>
      <c r="EL4" s="217">
        <f>'Weekly Progress Report'!AC68</f>
        <v>0</v>
      </c>
      <c r="EM4" s="217">
        <f>'Weekly Progress Report'!AC69</f>
        <v>0</v>
      </c>
      <c r="EN4" s="217">
        <f>'Weekly Progress Report'!AC70</f>
        <v>0</v>
      </c>
      <c r="EO4" s="217">
        <f>'Weekly Progress Report'!AC71</f>
        <v>0</v>
      </c>
      <c r="EP4" s="217">
        <f>'Weekly Progress Report'!AC72</f>
        <v>69</v>
      </c>
      <c r="EQ4" s="217">
        <f>'Weekly Progress Report'!AC73</f>
        <v>264</v>
      </c>
      <c r="ER4" s="217">
        <f>'Weekly Progress Report'!AC74</f>
        <v>0</v>
      </c>
      <c r="ES4" s="217">
        <f>'Weekly Progress Report'!AC75</f>
        <v>42</v>
      </c>
      <c r="ET4" s="217">
        <f>'Weekly Progress Report'!AC76</f>
        <v>0</v>
      </c>
      <c r="EU4" s="217">
        <f>'Weekly Progress Report'!AD61</f>
        <v>504766</v>
      </c>
      <c r="EV4" s="217">
        <f>'Weekly Progress Report'!AD62</f>
        <v>504766</v>
      </c>
      <c r="EW4" s="217">
        <f>'Weekly Progress Report'!AD63</f>
        <v>0</v>
      </c>
      <c r="EX4" s="217">
        <f>'Weekly Progress Report'!AD64</f>
        <v>0</v>
      </c>
      <c r="EY4" s="217">
        <f>'Weekly Progress Report'!AD65</f>
        <v>0</v>
      </c>
      <c r="EZ4" s="217">
        <f>'Weekly Progress Report'!AD66</f>
        <v>0</v>
      </c>
      <c r="FA4" s="217">
        <f>'Weekly Progress Report'!AD67</f>
        <v>0</v>
      </c>
      <c r="FB4" s="217">
        <f>'Weekly Progress Report'!AD68</f>
        <v>0</v>
      </c>
      <c r="FC4" s="217">
        <f>'Weekly Progress Report'!AD69</f>
        <v>0</v>
      </c>
      <c r="FD4" s="217">
        <f>'Weekly Progress Report'!AD70</f>
        <v>0</v>
      </c>
      <c r="FE4" s="217">
        <f>'Weekly Progress Report'!AD71</f>
        <v>0</v>
      </c>
      <c r="FF4" s="217">
        <f>'Weekly Progress Report'!AD72</f>
        <v>80</v>
      </c>
      <c r="FG4" s="217">
        <f>'Weekly Progress Report'!AD73</f>
        <v>269</v>
      </c>
      <c r="FH4" s="217">
        <f>'Weekly Progress Report'!AD74</f>
        <v>0</v>
      </c>
      <c r="FI4" s="217">
        <f>'Weekly Progress Report'!AD75</f>
        <v>43</v>
      </c>
      <c r="FJ4" s="220">
        <f>'Weekly Progress Report'!AD76</f>
        <v>0</v>
      </c>
      <c r="FK4" s="228">
        <f>'Weekly Progress Report'!A89</f>
        <v>1218</v>
      </c>
      <c r="FL4" s="213">
        <f>'Weekly Progress Report'!B89</f>
        <v>24</v>
      </c>
      <c r="FM4" s="213">
        <f>'Weekly Progress Report'!C89</f>
        <v>21</v>
      </c>
      <c r="FN4" s="213">
        <f>'Weekly Progress Report'!D89</f>
        <v>1164</v>
      </c>
      <c r="FO4" s="217">
        <f>'Weekly Progress Report'!A93</f>
        <v>0</v>
      </c>
      <c r="FP4" s="217">
        <f>'Weekly Progress Report'!B93</f>
        <v>0</v>
      </c>
      <c r="FQ4" s="217">
        <f>'Weekly Progress Report'!H93</f>
        <v>4</v>
      </c>
      <c r="FR4" s="220">
        <f>'Weekly Progress Report'!I93</f>
        <v>2</v>
      </c>
      <c r="FS4" s="221">
        <f>'Weekly Progress Report'!B101</f>
        <v>0</v>
      </c>
      <c r="FT4" s="222">
        <f>'Weekly Progress Report'!D101</f>
        <v>0</v>
      </c>
      <c r="FU4" s="222">
        <f>'Weekly Progress Report'!F101</f>
        <v>0</v>
      </c>
      <c r="FV4" s="222">
        <f>'Weekly Progress Report'!H101</f>
        <v>0</v>
      </c>
      <c r="FW4" s="222">
        <f>'Weekly Progress Report'!J101</f>
        <v>0</v>
      </c>
      <c r="FX4" s="222">
        <f>'Weekly Progress Report'!L101</f>
        <v>0</v>
      </c>
      <c r="FY4" s="229">
        <f>'Weekly Progress Report'!N101</f>
        <v>0</v>
      </c>
      <c r="FZ4" s="217">
        <f>'Weekly Progress Report'!O101</f>
        <v>0</v>
      </c>
      <c r="GA4" s="220">
        <f>'Weekly Progress Report'!P101</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3"/>
  <sheetViews>
    <sheetView view="pageBreakPreview" topLeftCell="A2" zoomScale="55" zoomScaleNormal="85" zoomScaleSheetLayoutView="55" workbookViewId="0">
      <selection activeCell="Z5" sqref="Z5"/>
    </sheetView>
  </sheetViews>
  <sheetFormatPr defaultColWidth="9.109375" defaultRowHeight="15.6"/>
  <cols>
    <col min="1" max="1" width="23" style="314" customWidth="1"/>
    <col min="2" max="2" width="12.6640625" style="314" customWidth="1"/>
    <col min="3" max="3" width="17.5546875" style="314" bestFit="1" customWidth="1"/>
    <col min="4" max="4" width="12.6640625" style="314" customWidth="1"/>
    <col min="5" max="5" width="13.88671875" style="314" customWidth="1"/>
    <col min="6" max="6" width="13.33203125" style="314" bestFit="1" customWidth="1"/>
    <col min="7" max="7" width="15.6640625" style="314" customWidth="1"/>
    <col min="8" max="9" width="14.88671875" style="314" customWidth="1"/>
    <col min="10" max="12" width="13.109375" style="314" customWidth="1"/>
    <col min="13" max="13" width="12.6640625" style="314" customWidth="1"/>
    <col min="14" max="14" width="14.5546875" style="314" customWidth="1"/>
    <col min="15" max="15" width="14.88671875" style="314" customWidth="1"/>
    <col min="16" max="16" width="12.6640625" style="314" customWidth="1"/>
    <col min="17" max="17" width="13.88671875" style="314" customWidth="1"/>
    <col min="18" max="18" width="14.88671875" style="314" customWidth="1"/>
    <col min="19" max="22" width="12.6640625" style="314" customWidth="1"/>
    <col min="23" max="23" width="14" style="314" customWidth="1"/>
    <col min="24" max="26" width="12.6640625" style="314" customWidth="1"/>
    <col min="27" max="27" width="10.33203125" style="314" customWidth="1"/>
    <col min="28" max="29" width="19.44140625" style="314" customWidth="1"/>
    <col min="30" max="31" width="16.88671875" style="314" customWidth="1"/>
    <col min="32" max="33" width="17.33203125" style="314" customWidth="1"/>
    <col min="34" max="37" width="12.6640625" style="314" customWidth="1"/>
    <col min="38" max="38" width="12.44140625" style="314" customWidth="1"/>
    <col min="39" max="39" width="9.6640625" style="314" bestFit="1" customWidth="1"/>
    <col min="40" max="40" width="18.109375" style="314" customWidth="1"/>
    <col min="41" max="41" width="13.6640625" style="314" customWidth="1"/>
    <col min="42" max="43" width="12.109375" style="314" bestFit="1" customWidth="1"/>
    <col min="44" max="44" width="11.6640625" style="314" bestFit="1" customWidth="1"/>
    <col min="45" max="45" width="11.109375" style="314" bestFit="1" customWidth="1"/>
    <col min="46" max="46" width="6.33203125" style="314" customWidth="1"/>
    <col min="47" max="47" width="10" style="314" bestFit="1" customWidth="1"/>
    <col min="48" max="48" width="12.109375" style="314" bestFit="1" customWidth="1"/>
    <col min="49" max="49" width="11.6640625" style="314" bestFit="1" customWidth="1"/>
    <col min="50" max="50" width="11.44140625" style="314" bestFit="1" customWidth="1"/>
    <col min="51" max="51" width="10.44140625" style="314" bestFit="1" customWidth="1"/>
    <col min="52" max="52" width="11.6640625" style="314" bestFit="1" customWidth="1"/>
    <col min="53" max="53" width="9.33203125" style="314" bestFit="1" customWidth="1"/>
    <col min="54" max="215" width="9.109375" style="314"/>
    <col min="216" max="216" width="9.109375" style="314" customWidth="1"/>
    <col min="217" max="16384" width="9.109375" style="314"/>
  </cols>
  <sheetData>
    <row r="1" spans="1:49" ht="33" customHeight="1" thickBot="1">
      <c r="A1" s="1453" t="s">
        <v>23</v>
      </c>
      <c r="B1" s="1454"/>
      <c r="C1" s="1454"/>
      <c r="D1" s="1454"/>
      <c r="E1" s="1454"/>
      <c r="F1" s="1454"/>
      <c r="G1" s="1454"/>
      <c r="H1" s="1454"/>
      <c r="I1" s="1454"/>
      <c r="J1" s="381"/>
      <c r="K1" s="381"/>
      <c r="L1" s="381"/>
      <c r="M1" s="381"/>
      <c r="N1" s="381"/>
      <c r="O1" s="382"/>
      <c r="P1" s="382"/>
      <c r="Q1" s="382"/>
      <c r="R1" s="382"/>
      <c r="S1" s="382"/>
      <c r="T1" s="382"/>
      <c r="U1" s="382"/>
      <c r="V1" s="382"/>
      <c r="W1" s="382"/>
      <c r="X1" s="382"/>
      <c r="Y1" s="383"/>
      <c r="Z1" s="382"/>
      <c r="AA1" s="384"/>
      <c r="AB1" s="384"/>
      <c r="AC1" s="384"/>
      <c r="AD1" s="1082" t="str">
        <f>+HSE!L4</f>
        <v>Report No.</v>
      </c>
      <c r="AE1" s="1082">
        <f>+HSE!P4</f>
        <v>47</v>
      </c>
      <c r="AF1" s="385" t="s">
        <v>24</v>
      </c>
      <c r="AG1" s="386">
        <f>'General Information'!L1</f>
        <v>46308</v>
      </c>
      <c r="AH1" s="387"/>
      <c r="AJ1"/>
      <c r="AK1"/>
    </row>
    <row r="2" spans="1:49" s="399" customFormat="1" ht="20.100000000000001" customHeight="1" thickBot="1">
      <c r="A2" s="388" t="s">
        <v>25</v>
      </c>
      <c r="B2" s="389"/>
      <c r="C2" s="389"/>
      <c r="D2" s="389"/>
      <c r="E2" s="389"/>
      <c r="F2" s="390"/>
      <c r="G2" s="391" t="s">
        <v>26</v>
      </c>
      <c r="H2" s="392"/>
      <c r="I2" s="392"/>
      <c r="J2" s="392"/>
      <c r="K2" s="392"/>
      <c r="L2" s="393"/>
      <c r="M2" s="394" t="s">
        <v>27</v>
      </c>
      <c r="N2" s="395"/>
      <c r="O2" s="392"/>
      <c r="P2" s="392"/>
      <c r="Q2" s="395"/>
      <c r="R2" s="395"/>
      <c r="S2" s="392"/>
      <c r="T2" s="393"/>
      <c r="U2" s="394" t="s">
        <v>28</v>
      </c>
      <c r="V2" s="395"/>
      <c r="W2" s="395"/>
      <c r="X2" s="395"/>
      <c r="Y2" s="395"/>
      <c r="Z2" s="395"/>
      <c r="AA2" s="292" t="s">
        <v>29</v>
      </c>
      <c r="AB2" s="396"/>
      <c r="AC2" s="396"/>
      <c r="AD2" s="397"/>
      <c r="AE2" s="396"/>
      <c r="AF2" s="396"/>
      <c r="AG2" s="396"/>
      <c r="AH2" s="398"/>
      <c r="AJ2"/>
      <c r="AK2"/>
    </row>
    <row r="3" spans="1:49" ht="50.25" customHeight="1" thickTop="1" thickBot="1">
      <c r="A3" s="230" t="s">
        <v>30</v>
      </c>
      <c r="B3" s="400" t="str">
        <f>'General Information'!C3</f>
        <v>LAND DEVELOPMENT OF JEDDAH OASIS</v>
      </c>
      <c r="C3" s="401"/>
      <c r="D3" s="402"/>
      <c r="E3" s="402"/>
      <c r="F3" s="403"/>
      <c r="G3" s="235" t="s">
        <v>31</v>
      </c>
      <c r="H3" s="404">
        <f>'General Information'!C12</f>
        <v>45970</v>
      </c>
      <c r="I3" s="239" t="s">
        <v>32</v>
      </c>
      <c r="J3" s="405">
        <f>'General Information'!C16</f>
        <v>45970</v>
      </c>
      <c r="K3" s="239" t="s">
        <v>33</v>
      </c>
      <c r="L3" s="406">
        <f>'General Information'!C20</f>
        <v>46530</v>
      </c>
      <c r="M3" s="1444" t="s">
        <v>34</v>
      </c>
      <c r="N3" s="1439"/>
      <c r="O3" s="1429">
        <f>'Invoice Log'!E3</f>
        <v>57304347.860000007</v>
      </c>
      <c r="P3" s="1435"/>
      <c r="Q3" s="1438" t="s">
        <v>35</v>
      </c>
      <c r="R3" s="1439"/>
      <c r="S3" s="1429">
        <f>'Invoice Log'!I3</f>
        <v>0</v>
      </c>
      <c r="T3" s="1430" t="s">
        <v>36</v>
      </c>
      <c r="U3" s="243" t="s">
        <v>37</v>
      </c>
      <c r="V3" s="407">
        <f>K28</f>
        <v>0.59845330469135538</v>
      </c>
      <c r="W3" s="246" t="s">
        <v>38</v>
      </c>
      <c r="X3" s="407">
        <f>W28</f>
        <v>0.7640222633046877</v>
      </c>
      <c r="Y3" s="1416" t="s">
        <v>39</v>
      </c>
      <c r="Z3" s="912">
        <f>Quality!AC10</f>
        <v>0.85303793103448289</v>
      </c>
      <c r="AA3" s="1362" t="str">
        <f>+Progress!B1</f>
        <v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v>
      </c>
      <c r="AB3" s="1362"/>
      <c r="AC3" s="1362"/>
      <c r="AD3" s="1362"/>
      <c r="AE3" s="1362"/>
      <c r="AF3" s="1362"/>
      <c r="AG3" s="1362"/>
      <c r="AH3" s="1363"/>
      <c r="AJ3"/>
      <c r="AK3"/>
    </row>
    <row r="4" spans="1:49" ht="35.25" customHeight="1" thickBot="1">
      <c r="A4" s="230" t="s">
        <v>40</v>
      </c>
      <c r="B4" s="1445" t="str">
        <f>'General Information'!C4</f>
        <v>JHD4-02-007</v>
      </c>
      <c r="C4" s="1446"/>
      <c r="D4" s="232" t="s">
        <v>41</v>
      </c>
      <c r="E4" s="1542" t="str">
        <f>'General Information'!C7</f>
        <v>Construction</v>
      </c>
      <c r="F4" s="1543"/>
      <c r="G4" s="236" t="s">
        <v>42</v>
      </c>
      <c r="H4" s="408">
        <f>'General Information'!C13</f>
        <v>45977</v>
      </c>
      <c r="I4" s="240" t="s">
        <v>43</v>
      </c>
      <c r="J4" s="409">
        <f>'General Information'!C17</f>
        <v>45977</v>
      </c>
      <c r="K4" s="240" t="s">
        <v>44</v>
      </c>
      <c r="L4" s="410">
        <f>'General Information'!C21</f>
        <v>46530</v>
      </c>
      <c r="M4" s="1431" t="s">
        <v>45</v>
      </c>
      <c r="N4" s="1432"/>
      <c r="O4" s="1429">
        <f>'Invoice Log'!E4</f>
        <v>57304347.860000007</v>
      </c>
      <c r="P4" s="1435" t="s">
        <v>36</v>
      </c>
      <c r="Q4" s="1440" t="s">
        <v>46</v>
      </c>
      <c r="R4" s="1432"/>
      <c r="S4" s="1429">
        <f>+'Invoice Log'!F59</f>
        <v>35217376.920000002</v>
      </c>
      <c r="T4" s="1430"/>
      <c r="U4" s="244" t="s">
        <v>47</v>
      </c>
      <c r="V4" s="411">
        <f>L28</f>
        <v>0.9330628189091128</v>
      </c>
      <c r="W4" s="246" t="s">
        <v>48</v>
      </c>
      <c r="X4" s="411">
        <f>X28</f>
        <v>0.96133707834743454</v>
      </c>
      <c r="Y4" s="1417"/>
      <c r="Z4" s="412" t="str">
        <f>REPT("¢",IF(INT(+Z3*10)&gt;5,5,INT(+Z3*10)))&amp;REPT("£",IF(INT(+Z3*10)&gt;5,0,5-INT(+Z3*10)))&amp;CHAR(10)&amp;REPT("¢",+IF(INT(+Z3*10)&gt;5,-5+INT(+Z3*10),0))&amp;REPT("£",IF(INT(+Z3*10)&gt;5,10-INT(+Z3*10),5))</f>
        <v>¢¢¢¢¢
¢¢¢££</v>
      </c>
      <c r="AA4" s="1364"/>
      <c r="AB4" s="1364"/>
      <c r="AC4" s="1364"/>
      <c r="AD4" s="1364"/>
      <c r="AE4" s="1364"/>
      <c r="AF4" s="1364"/>
      <c r="AG4" s="1364"/>
      <c r="AH4" s="1365"/>
      <c r="AJ4"/>
      <c r="AK4"/>
    </row>
    <row r="5" spans="1:49" ht="35.25" customHeight="1" thickBot="1">
      <c r="A5" s="230" t="s">
        <v>49</v>
      </c>
      <c r="B5" s="1445" t="str">
        <f>'General Information'!C5</f>
        <v>AL-ENJAZ TRADING AND CONTRACTING COMPANY</v>
      </c>
      <c r="C5" s="1446"/>
      <c r="D5" s="233" t="s">
        <v>50</v>
      </c>
      <c r="E5" s="1542" t="str">
        <f>'General Information'!C8</f>
        <v>Active</v>
      </c>
      <c r="F5" s="1543"/>
      <c r="G5" s="237" t="s">
        <v>51</v>
      </c>
      <c r="H5" s="413">
        <f>'General Information'!C14</f>
        <v>45985</v>
      </c>
      <c r="I5" s="241" t="s">
        <v>52</v>
      </c>
      <c r="J5" s="414">
        <f>'General Information'!C18</f>
        <v>45985</v>
      </c>
      <c r="K5" s="241" t="s">
        <v>53</v>
      </c>
      <c r="L5" s="415">
        <f>'General Information'!C22</f>
        <v>46406</v>
      </c>
      <c r="M5" s="1431" t="s">
        <v>54</v>
      </c>
      <c r="N5" s="1432"/>
      <c r="O5" s="1429">
        <f>'Invoice Log'!E5</f>
        <v>57304347.860000007</v>
      </c>
      <c r="P5" s="1435" t="e">
        <f>+#REF!+#REF!+O5</f>
        <v>#REF!</v>
      </c>
      <c r="Q5" s="1440" t="s">
        <v>55</v>
      </c>
      <c r="R5" s="1432"/>
      <c r="S5" s="1441">
        <f>'Invoice Log'!M6</f>
        <v>0</v>
      </c>
      <c r="T5" s="1442"/>
      <c r="U5" s="244" t="s">
        <v>56</v>
      </c>
      <c r="V5" s="416">
        <f>V4-V3</f>
        <v>0.33460951421775742</v>
      </c>
      <c r="W5" s="246" t="s">
        <v>56</v>
      </c>
      <c r="X5" s="416">
        <f>X4-X3</f>
        <v>0.19731481504274684</v>
      </c>
      <c r="Y5" s="1482" t="s">
        <v>57</v>
      </c>
      <c r="Z5" s="912">
        <f>'HSE-Stat'!J23</f>
        <v>0.88</v>
      </c>
      <c r="AA5" s="1364"/>
      <c r="AB5" s="1364"/>
      <c r="AC5" s="1364"/>
      <c r="AD5" s="1364"/>
      <c r="AE5" s="1364"/>
      <c r="AF5" s="1364"/>
      <c r="AG5" s="1364"/>
      <c r="AH5" s="1365"/>
      <c r="AJ5"/>
      <c r="AK5"/>
    </row>
    <row r="6" spans="1:49" ht="45" customHeight="1" thickBot="1">
      <c r="A6" s="231" t="s">
        <v>58</v>
      </c>
      <c r="B6" s="1546" t="str">
        <f>'General Information'!C6</f>
        <v>SAUDI ARABIA CONSULTING ENGINEERING COMPANY "EGIS"</v>
      </c>
      <c r="C6" s="1547"/>
      <c r="D6" s="234" t="s">
        <v>59</v>
      </c>
      <c r="E6" s="1544" t="str">
        <f>'General Information'!C9</f>
        <v>Mohammed Alshunaifi</v>
      </c>
      <c r="F6" s="1545"/>
      <c r="G6" s="238" t="s">
        <v>60</v>
      </c>
      <c r="H6" s="417">
        <f>'General Information'!C15</f>
        <v>46530</v>
      </c>
      <c r="I6" s="242" t="s">
        <v>61</v>
      </c>
      <c r="J6" s="418">
        <f>'General Information'!C19</f>
        <v>46530</v>
      </c>
      <c r="K6" s="242" t="s">
        <v>56</v>
      </c>
      <c r="L6" s="419">
        <f>'General Information'!C23</f>
        <v>124</v>
      </c>
      <c r="M6" s="1433" t="s">
        <v>62</v>
      </c>
      <c r="N6" s="1434"/>
      <c r="O6" s="1436">
        <f>O4-O5</f>
        <v>0</v>
      </c>
      <c r="P6" s="1437"/>
      <c r="Q6" s="1443" t="s">
        <v>63</v>
      </c>
      <c r="R6" s="1434"/>
      <c r="S6" s="1429">
        <f>+'FIR summary '!K2</f>
        <v>53231723.454849944</v>
      </c>
      <c r="T6" s="1430"/>
      <c r="U6" s="245" t="s">
        <v>64</v>
      </c>
      <c r="V6" s="910">
        <f>S6/O4</f>
        <v>0.92892992316918299</v>
      </c>
      <c r="W6" s="247" t="s">
        <v>65</v>
      </c>
      <c r="X6" s="528">
        <f>S4/O4</f>
        <v>0.61456727517499055</v>
      </c>
      <c r="Y6" s="1483"/>
      <c r="Z6" s="420" t="str">
        <f>REPT("¢",IF(INT(+Z5*10)&gt;5,5,INT(+Z5*10)))&amp;REPT("£",IF(INT(+Z5*10)&gt;5,0,5-INT(+Z5*10)))&amp;CHAR(10)&amp;REPT("¢",+IF(INT(+Z5*10)&gt;5,-5+INT(+Z5*10),0))&amp;REPT("£",IF(INT(+Z5*10)&gt;5,10-INT(+Z5*10),5))</f>
        <v>¢¢¢¢¢
¢¢¢££</v>
      </c>
      <c r="AA6" s="1366"/>
      <c r="AB6" s="1366"/>
      <c r="AC6" s="1366"/>
      <c r="AD6" s="1366"/>
      <c r="AE6" s="1366"/>
      <c r="AF6" s="1366"/>
      <c r="AG6" s="1366"/>
      <c r="AH6" s="1367"/>
      <c r="AJ6" s="5"/>
      <c r="AL6" s="5"/>
    </row>
    <row r="7" spans="1:49" customFormat="1" ht="5.4" customHeight="1" thickBot="1">
      <c r="A7" s="421"/>
      <c r="AH7" s="296"/>
    </row>
    <row r="8" spans="1:49" s="425" customFormat="1" ht="28.95" customHeight="1" thickBot="1">
      <c r="A8" s="422" t="s">
        <v>66</v>
      </c>
      <c r="B8" s="423"/>
      <c r="C8" s="423"/>
      <c r="D8" s="423"/>
      <c r="E8" s="423"/>
      <c r="F8" s="423"/>
      <c r="G8" s="423"/>
      <c r="H8" s="423"/>
      <c r="I8" s="423"/>
      <c r="J8" s="423"/>
      <c r="K8" s="423"/>
      <c r="L8" s="423"/>
      <c r="M8" s="423"/>
      <c r="N8" s="423"/>
      <c r="O8" s="423"/>
      <c r="P8" s="423"/>
      <c r="Q8" s="423"/>
      <c r="R8" s="423"/>
      <c r="S8" s="423"/>
      <c r="T8" s="423"/>
      <c r="U8" s="423"/>
      <c r="V8" s="423"/>
      <c r="W8" s="423"/>
      <c r="X8" s="423"/>
      <c r="Y8" s="423"/>
      <c r="Z8" s="423"/>
      <c r="AA8" s="423"/>
      <c r="AB8" s="423"/>
      <c r="AC8" s="423"/>
      <c r="AD8" s="423"/>
      <c r="AE8" s="423"/>
      <c r="AF8" s="423"/>
      <c r="AG8" s="423"/>
      <c r="AH8" s="424"/>
      <c r="AK8" s="426"/>
      <c r="AL8" s="427"/>
      <c r="AM8" s="427"/>
      <c r="AN8" s="427"/>
      <c r="AO8" s="427"/>
      <c r="AP8" s="427"/>
      <c r="AQ8" s="427"/>
      <c r="AR8" s="427"/>
      <c r="AS8" s="427"/>
      <c r="AT8" s="427"/>
      <c r="AU8" s="427"/>
    </row>
    <row r="9" spans="1:49" s="399" customFormat="1" ht="20.100000000000001" customHeight="1" thickBot="1">
      <c r="A9" s="139" t="s">
        <v>67</v>
      </c>
      <c r="B9" s="428"/>
      <c r="C9" s="294"/>
      <c r="D9" s="294"/>
      <c r="E9" s="291"/>
      <c r="F9" s="291"/>
      <c r="G9" s="291"/>
      <c r="H9" s="291"/>
      <c r="I9" s="291"/>
      <c r="J9" s="291"/>
      <c r="K9" s="291"/>
      <c r="L9" s="291"/>
      <c r="M9" s="291"/>
      <c r="N9" s="293"/>
      <c r="O9" s="1465" t="s">
        <v>68</v>
      </c>
      <c r="P9" s="1466"/>
      <c r="Q9" s="1466"/>
      <c r="R9" s="1466"/>
      <c r="S9" s="1466"/>
      <c r="T9" s="1466"/>
      <c r="U9" s="1466"/>
      <c r="V9" s="1466"/>
      <c r="W9" s="1466"/>
      <c r="X9" s="1466"/>
      <c r="Y9" s="1466"/>
      <c r="Z9" s="1466"/>
      <c r="AA9" s="291" t="s">
        <v>69</v>
      </c>
      <c r="AB9" s="291"/>
      <c r="AC9" s="291"/>
      <c r="AD9" s="291"/>
      <c r="AE9" s="291"/>
      <c r="AF9" s="291"/>
      <c r="AG9" s="291"/>
      <c r="AH9" s="429"/>
      <c r="AI9" s="430"/>
      <c r="AK9" s="431"/>
      <c r="AL9" s="431"/>
      <c r="AM9" s="431"/>
      <c r="AN9" s="431"/>
      <c r="AO9" s="431"/>
      <c r="AP9" s="431"/>
      <c r="AQ9" s="431"/>
      <c r="AR9" s="431"/>
      <c r="AS9" s="431"/>
      <c r="AT9" s="431"/>
      <c r="AU9" s="431"/>
    </row>
    <row r="10" spans="1:49" ht="20.100000000000001" customHeight="1" thickBot="1">
      <c r="A10" s="1449" t="s">
        <v>70</v>
      </c>
      <c r="B10" s="1450"/>
      <c r="C10" s="1427" t="s">
        <v>71</v>
      </c>
      <c r="D10" s="1418" t="s">
        <v>72</v>
      </c>
      <c r="E10" s="1467" t="s">
        <v>73</v>
      </c>
      <c r="F10" s="1468"/>
      <c r="G10" s="1467" t="s">
        <v>74</v>
      </c>
      <c r="H10" s="1467"/>
      <c r="I10" s="1467"/>
      <c r="J10" s="1467"/>
      <c r="K10" s="1467"/>
      <c r="L10" s="1467"/>
      <c r="M10" s="1467"/>
      <c r="N10" s="1468"/>
      <c r="O10" s="99" t="s">
        <v>75</v>
      </c>
      <c r="P10" s="1422" t="s">
        <v>72</v>
      </c>
      <c r="Q10" s="1424" t="s">
        <v>76</v>
      </c>
      <c r="R10" s="1425"/>
      <c r="S10" s="1425"/>
      <c r="T10" s="1426"/>
      <c r="U10" s="432" t="s">
        <v>77</v>
      </c>
      <c r="V10" s="433"/>
      <c r="W10" s="433"/>
      <c r="X10" s="433"/>
      <c r="Y10" s="433"/>
      <c r="Z10" s="434"/>
      <c r="AH10" s="435"/>
      <c r="AK10" s="436"/>
      <c r="AL10" s="436"/>
      <c r="AM10" s="436"/>
      <c r="AN10" s="436"/>
      <c r="AO10" s="436"/>
      <c r="AP10" s="436"/>
      <c r="AQ10" s="436"/>
      <c r="AR10" s="436"/>
      <c r="AS10" s="436"/>
      <c r="AT10" s="436"/>
      <c r="AU10" s="436"/>
    </row>
    <row r="11" spans="1:49" ht="29.4" thickBot="1">
      <c r="A11" s="1451"/>
      <c r="B11" s="1452"/>
      <c r="C11" s="1428"/>
      <c r="D11" s="1419"/>
      <c r="E11" s="437" t="s">
        <v>78</v>
      </c>
      <c r="F11" s="438" t="s">
        <v>79</v>
      </c>
      <c r="G11" s="437" t="s">
        <v>80</v>
      </c>
      <c r="H11" s="439" t="s">
        <v>81</v>
      </c>
      <c r="I11" s="440" t="s">
        <v>79</v>
      </c>
      <c r="J11" s="440" t="s">
        <v>82</v>
      </c>
      <c r="K11" s="439" t="s">
        <v>83</v>
      </c>
      <c r="L11" s="441" t="s">
        <v>84</v>
      </c>
      <c r="M11" s="440" t="s">
        <v>56</v>
      </c>
      <c r="N11" s="442" t="s">
        <v>85</v>
      </c>
      <c r="O11" s="443" t="s">
        <v>86</v>
      </c>
      <c r="P11" s="1423"/>
      <c r="Q11" s="440" t="s">
        <v>78</v>
      </c>
      <c r="R11" s="440" t="s">
        <v>79</v>
      </c>
      <c r="S11" s="440" t="s">
        <v>87</v>
      </c>
      <c r="T11" s="440" t="s">
        <v>84</v>
      </c>
      <c r="U11" s="440" t="s">
        <v>78</v>
      </c>
      <c r="V11" s="440" t="s">
        <v>79</v>
      </c>
      <c r="W11" s="440" t="s">
        <v>87</v>
      </c>
      <c r="X11" s="440" t="s">
        <v>84</v>
      </c>
      <c r="Y11" s="440" t="s">
        <v>56</v>
      </c>
      <c r="Z11" s="442" t="s">
        <v>85</v>
      </c>
      <c r="AH11" s="435"/>
      <c r="AL11" s="436"/>
      <c r="AM11" s="436"/>
      <c r="AN11" s="436"/>
      <c r="AO11" s="436"/>
      <c r="AP11" s="436"/>
      <c r="AQ11" s="436"/>
      <c r="AR11" s="436"/>
      <c r="AS11" s="436"/>
      <c r="AT11" s="436"/>
      <c r="AU11" s="436"/>
      <c r="AV11" s="436"/>
    </row>
    <row r="12" spans="1:49" s="3" customFormat="1" ht="15.75" customHeight="1">
      <c r="A12" s="1296" t="str">
        <f>+Progress!A7</f>
        <v>Preliminaries</v>
      </c>
      <c r="B12" s="1297"/>
      <c r="C12" s="445">
        <f>+Progress!C7</f>
        <v>0</v>
      </c>
      <c r="D12" s="444">
        <f t="shared" ref="D12:D17" si="0">IF(ISBLANK(C12),"",C12/$C$28)</f>
        <v>0</v>
      </c>
      <c r="E12" s="539">
        <f>+Progress!E7</f>
        <v>0</v>
      </c>
      <c r="F12" s="539">
        <f>+Progress!F7</f>
        <v>0</v>
      </c>
      <c r="G12" s="539">
        <f>+Progress!G7</f>
        <v>0</v>
      </c>
      <c r="H12" s="539">
        <f>+Progress!H7</f>
        <v>0</v>
      </c>
      <c r="I12" s="539">
        <f>+Progress!I7</f>
        <v>0</v>
      </c>
      <c r="J12" s="446">
        <f>IFERROR(IF(ISBLANK(G12),"",G12/C12),0)</f>
        <v>0</v>
      </c>
      <c r="K12" s="446">
        <f t="shared" ref="K12:K13" si="1">IFERROR(IF(ISBLANK(H12),"",H12/C12),0)</f>
        <v>0</v>
      </c>
      <c r="L12" s="447">
        <f t="shared" ref="L12:L13" si="2">IFERROR(IF(ISBLANK(I12),"",I12/C12),0)</f>
        <v>0</v>
      </c>
      <c r="M12" s="448">
        <f t="shared" ref="M12:M13" si="3">IFERROR(L12-K12,"")</f>
        <v>0</v>
      </c>
      <c r="N12" s="449" t="str">
        <f t="shared" ref="N12:N13" si="4">IFERROR(L12/K12,"")</f>
        <v/>
      </c>
      <c r="O12" s="445">
        <f>+Progress!K7</f>
        <v>8492</v>
      </c>
      <c r="P12" s="450">
        <f t="shared" ref="P12:P17" si="5">IF(ISBLANK(O12),"",O12/$O$28)</f>
        <v>2.0904465215432676E-2</v>
      </c>
      <c r="Q12" s="451">
        <f>+Progress!M7</f>
        <v>0</v>
      </c>
      <c r="R12" s="451">
        <f>+Progress!N7</f>
        <v>0</v>
      </c>
      <c r="S12" s="452">
        <f>IFERROR(IF(ISBLANK(Q12),"",Q12/O12),0)</f>
        <v>0</v>
      </c>
      <c r="T12" s="453">
        <f>IFERROR(IF(ISBLANK(R12),"",R12/O12),0)</f>
        <v>0</v>
      </c>
      <c r="U12" s="451">
        <f>+Progress!O7</f>
        <v>8492</v>
      </c>
      <c r="V12" s="451">
        <f>+Progress!P7</f>
        <v>8492</v>
      </c>
      <c r="W12" s="446">
        <f>IFERROR(IF(ISBLANK(U12),"",U12/O12),0)</f>
        <v>1</v>
      </c>
      <c r="X12" s="447">
        <f>IFERROR(IF(ISBLANK(V12),"",V12/O12),0)</f>
        <v>1</v>
      </c>
      <c r="Y12" s="448">
        <f>IFERROR(X12-W12,"")</f>
        <v>0</v>
      </c>
      <c r="Z12" s="449">
        <f>IFERROR(X12/W12,"")</f>
        <v>1</v>
      </c>
      <c r="AH12" s="454"/>
      <c r="AL12"/>
      <c r="AM12"/>
      <c r="AN12"/>
      <c r="AO12"/>
      <c r="AP12"/>
      <c r="AQ12"/>
      <c r="AR12"/>
      <c r="AS12"/>
      <c r="AT12"/>
      <c r="AU12"/>
      <c r="AV12"/>
    </row>
    <row r="13" spans="1:49" s="3" customFormat="1" ht="15.75" customHeight="1">
      <c r="A13" s="1296" t="str">
        <f>+Progress!A9</f>
        <v>Engineering</v>
      </c>
      <c r="B13" s="1297"/>
      <c r="C13" s="456">
        <f>+Progress!C9</f>
        <v>1719130.43</v>
      </c>
      <c r="D13" s="455">
        <f t="shared" si="0"/>
        <v>2.9999999898786035E-2</v>
      </c>
      <c r="E13" s="539">
        <f>+Progress!E9</f>
        <v>0</v>
      </c>
      <c r="F13" s="539">
        <f>+Progress!F9</f>
        <v>0</v>
      </c>
      <c r="G13" s="539">
        <f>+Progress!G9</f>
        <v>1719130.43</v>
      </c>
      <c r="H13" s="539">
        <f>+Progress!H9</f>
        <v>1690947.96</v>
      </c>
      <c r="I13" s="539">
        <f>+Progress!I9</f>
        <v>1719130.43</v>
      </c>
      <c r="J13" s="457">
        <f>IFERROR(IF(ISBLANK(G13),"",G13/C13),0)</f>
        <v>1</v>
      </c>
      <c r="K13" s="457">
        <f t="shared" si="1"/>
        <v>0.98360655508843509</v>
      </c>
      <c r="L13" s="458">
        <f t="shared" si="2"/>
        <v>1</v>
      </c>
      <c r="M13" s="459">
        <f t="shared" si="3"/>
        <v>1.6393444911564914E-2</v>
      </c>
      <c r="N13" s="460">
        <f t="shared" si="4"/>
        <v>1.0166666690322037</v>
      </c>
      <c r="O13" s="456">
        <f>+Progress!K9</f>
        <v>18263</v>
      </c>
      <c r="P13" s="461">
        <f t="shared" si="5"/>
        <v>4.4957400874875993E-2</v>
      </c>
      <c r="Q13" s="462">
        <f>+Progress!M9</f>
        <v>108</v>
      </c>
      <c r="R13" s="462">
        <f>+Progress!N9</f>
        <v>0</v>
      </c>
      <c r="S13" s="463">
        <f>IFERROR(IF(ISBLANK(Q13),"",Q13/O13),0)</f>
        <v>5.9135957947763235E-3</v>
      </c>
      <c r="T13" s="464">
        <f t="shared" ref="T13:T16" si="6">IFERROR(IF(ISBLANK(R13),"",R13/O13),0)</f>
        <v>0</v>
      </c>
      <c r="U13" s="462">
        <f>+Progress!O9</f>
        <v>18189</v>
      </c>
      <c r="V13" s="462">
        <f>+Progress!P9</f>
        <v>18270</v>
      </c>
      <c r="W13" s="457">
        <f t="shared" ref="W13:W16" si="7">IFERROR(IF(ISBLANK(U13),"",U13/O13),0)</f>
        <v>0.9959480917702459</v>
      </c>
      <c r="X13" s="458">
        <f t="shared" ref="X13:X28" si="8">IFERROR(IF(ISBLANK(V13),"",V13/O13),0)</f>
        <v>1.0003832886163282</v>
      </c>
      <c r="Y13" s="459">
        <f t="shared" ref="Y13:Y16" si="9">IFERROR(X13-W13,"")</f>
        <v>4.4351968460822899E-3</v>
      </c>
      <c r="Z13" s="460">
        <f t="shared" ref="Z13:Z16" si="10">IFERROR(X13/W13,"")</f>
        <v>1.004453240969817</v>
      </c>
      <c r="AH13" s="454"/>
      <c r="AL13"/>
      <c r="AM13"/>
      <c r="AN13"/>
      <c r="AO13"/>
      <c r="AP13"/>
      <c r="AQ13"/>
      <c r="AR13"/>
      <c r="AS13"/>
      <c r="AT13"/>
      <c r="AU13"/>
      <c r="AV13"/>
    </row>
    <row r="14" spans="1:49" s="3" customFormat="1" ht="15.75" customHeight="1">
      <c r="A14" s="1296" t="str">
        <f>+Progress!A11</f>
        <v>Procuments</v>
      </c>
      <c r="B14" s="1297"/>
      <c r="C14" s="456">
        <f>+Progress!C11</f>
        <v>11460869.58</v>
      </c>
      <c r="D14" s="455">
        <f t="shared" si="0"/>
        <v>0.20000000013960545</v>
      </c>
      <c r="E14" s="539">
        <f>+Progress!E11</f>
        <v>393541.02999999933</v>
      </c>
      <c r="F14" s="539">
        <f>+Progress!F11</f>
        <v>0</v>
      </c>
      <c r="G14" s="539">
        <f>+Progress!G11</f>
        <v>10712587.359999999</v>
      </c>
      <c r="H14" s="539">
        <f>+Progress!H11</f>
        <v>9731079.8300000001</v>
      </c>
      <c r="I14" s="539">
        <f>+Progress!I11</f>
        <v>11460869.58</v>
      </c>
      <c r="J14" s="457">
        <f t="shared" ref="J14:J15" si="11">IFERROR(IF(ISBLANK(G14),"",G14/C14),0)</f>
        <v>0.93470982155614057</v>
      </c>
      <c r="K14" s="457">
        <f>IFERROR(IF(ISBLANK(H14),"",H14/C14),0)</f>
        <v>0.84906993854824064</v>
      </c>
      <c r="L14" s="458">
        <f t="shared" ref="L14" si="12">IFERROR(IF(ISBLANK(I14),"",I14/C14),0)</f>
        <v>1</v>
      </c>
      <c r="M14" s="459">
        <f>IFERROR(L14-K14,"")</f>
        <v>0.15093006145175936</v>
      </c>
      <c r="N14" s="460">
        <f>IFERROR(L14/K14,"")</f>
        <v>1.1777592805956869</v>
      </c>
      <c r="O14" s="456">
        <f>+Progress!K11</f>
        <v>82180</v>
      </c>
      <c r="P14" s="461">
        <f t="shared" si="5"/>
        <v>0.20229968810695445</v>
      </c>
      <c r="Q14" s="462">
        <f>+Progress!M11</f>
        <v>1086</v>
      </c>
      <c r="R14" s="462">
        <f>+Progress!N11</f>
        <v>0</v>
      </c>
      <c r="S14" s="463">
        <f>IFERROR(IF(ISBLANK(Q14),"",Q14/O14),0)</f>
        <v>1.3214894134825992E-2</v>
      </c>
      <c r="T14" s="464">
        <f t="shared" ref="T14:T15" si="13">IFERROR(IF(ISBLANK(R14),"",R14/O14),0)</f>
        <v>0</v>
      </c>
      <c r="U14" s="462">
        <f>+Progress!O11</f>
        <v>79551</v>
      </c>
      <c r="V14" s="462">
        <f>+Progress!P11</f>
        <v>83973</v>
      </c>
      <c r="W14" s="457">
        <f t="shared" ref="W14:W15" si="14">IFERROR(IF(ISBLANK(U14),"",U14/O14),0)</f>
        <v>0.96800924799221222</v>
      </c>
      <c r="X14" s="458">
        <f t="shared" ref="X14:X15" si="15">IFERROR(IF(ISBLANK(V14),"",V14/O14),0)</f>
        <v>1.0218179605743489</v>
      </c>
      <c r="Y14" s="459">
        <f t="shared" ref="Y14:Y15" si="16">IFERROR(X14-W14,"")</f>
        <v>5.3808712582136708E-2</v>
      </c>
      <c r="Z14" s="460">
        <f t="shared" ref="Z14:Z15" si="17">IFERROR(X14/W14,"")</f>
        <v>1.0555869819361163</v>
      </c>
      <c r="AA14"/>
      <c r="AB14"/>
      <c r="AC14"/>
      <c r="AD14"/>
      <c r="AE14"/>
      <c r="AF14"/>
      <c r="AG14"/>
      <c r="AH14" s="296"/>
      <c r="AI14" s="465"/>
      <c r="AJ14" s="466"/>
      <c r="AK14" s="466"/>
      <c r="AL14" s="467"/>
      <c r="AM14"/>
      <c r="AN14"/>
      <c r="AO14"/>
      <c r="AP14"/>
      <c r="AQ14"/>
      <c r="AR14"/>
      <c r="AS14"/>
      <c r="AT14"/>
      <c r="AU14"/>
      <c r="AV14"/>
    </row>
    <row r="15" spans="1:49" s="3" customFormat="1" ht="15.75" customHeight="1">
      <c r="A15" s="1296" t="str">
        <f>+Progress!A13</f>
        <v>ROAD WORKS</v>
      </c>
      <c r="B15" s="1297"/>
      <c r="C15" s="471">
        <f>+Progress!C13</f>
        <v>13221675.15</v>
      </c>
      <c r="D15" s="472">
        <f t="shared" si="0"/>
        <v>0.23072725968894742</v>
      </c>
      <c r="E15" s="539">
        <f>+Progress!E13</f>
        <v>116746.48000000045</v>
      </c>
      <c r="F15" s="539">
        <f>+Progress!F13</f>
        <v>201466.73000000045</v>
      </c>
      <c r="G15" s="539">
        <f>+Progress!G13</f>
        <v>8086622.6900000004</v>
      </c>
      <c r="H15" s="539">
        <f>+Progress!H13</f>
        <v>7989416.3200000003</v>
      </c>
      <c r="I15" s="539">
        <f>+Progress!I13</f>
        <v>14417396.960000001</v>
      </c>
      <c r="J15" s="457">
        <f t="shared" si="11"/>
        <v>0.611618618537909</v>
      </c>
      <c r="K15" s="457">
        <f>IFERROR(IF(ISBLANK(H15),"",H15/C15),0)</f>
        <v>0.60426657207653445</v>
      </c>
      <c r="L15" s="458">
        <f>IFERROR(IF(ISBLANK(I15),"",I15/C15),0)</f>
        <v>1.0904364837612881</v>
      </c>
      <c r="M15" s="459">
        <f>IFERROR(L15-K15,"")</f>
        <v>0.48616991168475365</v>
      </c>
      <c r="N15" s="460">
        <f t="shared" ref="N15" si="18">IFERROR(L15/K15,"")</f>
        <v>1.8045619833214552</v>
      </c>
      <c r="O15" s="471">
        <f>+Progress!K13</f>
        <v>53186</v>
      </c>
      <c r="P15" s="461">
        <f t="shared" si="5"/>
        <v>0.13092615249034412</v>
      </c>
      <c r="Q15" s="473">
        <f>+Progress!M13</f>
        <v>540</v>
      </c>
      <c r="R15" s="473">
        <f>+Progress!N13</f>
        <v>1563</v>
      </c>
      <c r="S15" s="463">
        <f t="shared" ref="S15" si="19">IFERROR(IF(ISBLANK(Q15),"",Q15/O15),0)</f>
        <v>1.0153047794532397E-2</v>
      </c>
      <c r="T15" s="464">
        <f t="shared" si="13"/>
        <v>2.9387432783063213E-2</v>
      </c>
      <c r="U15" s="473">
        <f>+Progress!O13</f>
        <v>39667</v>
      </c>
      <c r="V15" s="473">
        <f>+Progress!P13</f>
        <v>56207</v>
      </c>
      <c r="W15" s="457">
        <f t="shared" si="14"/>
        <v>0.74581656826984544</v>
      </c>
      <c r="X15" s="458">
        <f t="shared" si="15"/>
        <v>1.0568006618283008</v>
      </c>
      <c r="Y15" s="459">
        <f t="shared" si="16"/>
        <v>0.31098409355845535</v>
      </c>
      <c r="Z15" s="460">
        <f t="shared" si="17"/>
        <v>1.4169712859555803</v>
      </c>
      <c r="AA15"/>
      <c r="AB15"/>
      <c r="AC15"/>
      <c r="AD15"/>
      <c r="AE15"/>
      <c r="AF15"/>
      <c r="AG15"/>
      <c r="AH15" s="296"/>
      <c r="AI15" s="474"/>
      <c r="AJ15" s="465"/>
      <c r="AK15" s="466"/>
      <c r="AL15" s="466"/>
      <c r="AM15"/>
      <c r="AN15"/>
      <c r="AO15"/>
      <c r="AP15"/>
      <c r="AQ15"/>
      <c r="AR15"/>
      <c r="AS15"/>
      <c r="AT15"/>
      <c r="AU15"/>
      <c r="AV15"/>
      <c r="AW15"/>
    </row>
    <row r="16" spans="1:49" s="3" customFormat="1" ht="15.75" customHeight="1">
      <c r="A16" s="1296" t="str">
        <f>+Progress!A15</f>
        <v>Electrical Works</v>
      </c>
      <c r="B16" s="1297"/>
      <c r="C16" s="468">
        <f>+Progress!C15</f>
        <v>3953631.64</v>
      </c>
      <c r="D16" s="455">
        <f t="shared" si="0"/>
        <v>6.8993571825633537E-2</v>
      </c>
      <c r="E16" s="539">
        <f>+Progress!E15</f>
        <v>90863.030000000028</v>
      </c>
      <c r="F16" s="539">
        <f>+Progress!F15</f>
        <v>113449.55999999959</v>
      </c>
      <c r="G16" s="539">
        <f>+Progress!G15</f>
        <v>2790664.86</v>
      </c>
      <c r="H16" s="539">
        <f>+Progress!H15</f>
        <v>1529434.34</v>
      </c>
      <c r="I16" s="539">
        <f>+Progress!I15</f>
        <v>4232139.51</v>
      </c>
      <c r="J16" s="457">
        <f t="shared" ref="J16:J27" si="20">IFERROR(IF(ISBLANK(G16),"",G16/C16),0)</f>
        <v>0.70584847403740425</v>
      </c>
      <c r="K16" s="457">
        <f t="shared" ref="K16:K27" si="21">IFERROR(IF(ISBLANK(H16),"",H16/C16),0)</f>
        <v>0.38684290274447519</v>
      </c>
      <c r="L16" s="458">
        <f t="shared" ref="L16:L27" si="22">IFERROR(IF(ISBLANK(I16),"",I16/C16),0)</f>
        <v>1.0704435555356897</v>
      </c>
      <c r="M16" s="459">
        <f t="shared" ref="M16:M27" si="23">IFERROR(L16-K16,"")</f>
        <v>0.68360065279121451</v>
      </c>
      <c r="N16" s="460">
        <f t="shared" ref="N16:N17" si="24">IFERROR(L16/K16,"")</f>
        <v>2.7671272962263944</v>
      </c>
      <c r="O16" s="468">
        <f>+Progress!K15</f>
        <v>58660</v>
      </c>
      <c r="P16" s="461">
        <f t="shared" si="5"/>
        <v>0.14440131059082439</v>
      </c>
      <c r="Q16" s="469">
        <f>+Progress!M15</f>
        <v>1272</v>
      </c>
      <c r="R16" s="469">
        <f>+Progress!N15</f>
        <v>1009</v>
      </c>
      <c r="S16" s="463">
        <f t="shared" ref="S16" si="25">IFERROR(IF(ISBLANK(Q16),"",Q16/O16),0)</f>
        <v>2.1684282304807366E-2</v>
      </c>
      <c r="T16" s="464">
        <f t="shared" si="6"/>
        <v>1.7200818274803954E-2</v>
      </c>
      <c r="U16" s="469">
        <f>+Progress!O15</f>
        <v>22808</v>
      </c>
      <c r="V16" s="469">
        <f>+Progress!P15</f>
        <v>49140</v>
      </c>
      <c r="W16" s="457">
        <f t="shared" si="7"/>
        <v>0.38881691101261506</v>
      </c>
      <c r="X16" s="458">
        <f t="shared" si="8"/>
        <v>0.83770883054892598</v>
      </c>
      <c r="Y16" s="459">
        <f t="shared" si="9"/>
        <v>0.44889191953631091</v>
      </c>
      <c r="Z16" s="460">
        <f t="shared" si="10"/>
        <v>2.1545071904594879</v>
      </c>
      <c r="AA16"/>
      <c r="AB16"/>
      <c r="AC16"/>
      <c r="AD16"/>
      <c r="AE16"/>
      <c r="AF16"/>
      <c r="AG16"/>
      <c r="AH16" s="296"/>
      <c r="AI16" s="465"/>
      <c r="AJ16" s="466"/>
      <c r="AK16" s="466"/>
      <c r="AL16"/>
      <c r="AM16"/>
      <c r="AN16"/>
      <c r="AO16"/>
      <c r="AP16"/>
      <c r="AQ16"/>
      <c r="AR16"/>
      <c r="AS16"/>
      <c r="AT16"/>
      <c r="AU16"/>
      <c r="AV16"/>
    </row>
    <row r="17" spans="1:50" s="3" customFormat="1" ht="15.75" customHeight="1">
      <c r="A17" s="1322" t="str">
        <f>+Progress!A17</f>
        <v>Demolition Works</v>
      </c>
      <c r="B17" s="1323"/>
      <c r="C17" s="456">
        <f>+Progress!C17</f>
        <v>506619.53</v>
      </c>
      <c r="D17" s="455">
        <f t="shared" si="0"/>
        <v>8.8408567398362142E-3</v>
      </c>
      <c r="E17" s="539">
        <f>+Progress!E17</f>
        <v>0</v>
      </c>
      <c r="F17" s="539">
        <f>+Progress!F17</f>
        <v>0</v>
      </c>
      <c r="G17" s="539">
        <f>+Progress!G17</f>
        <v>506619.53</v>
      </c>
      <c r="H17" s="539">
        <f>+Progress!H17</f>
        <v>505616.54</v>
      </c>
      <c r="I17" s="539">
        <f>+Progress!I17</f>
        <v>505616.54</v>
      </c>
      <c r="J17" s="457">
        <f t="shared" si="20"/>
        <v>1</v>
      </c>
      <c r="K17" s="457">
        <f t="shared" si="21"/>
        <v>0.99802023028997711</v>
      </c>
      <c r="L17" s="458">
        <f t="shared" si="22"/>
        <v>0.99802023028997711</v>
      </c>
      <c r="M17" s="459">
        <f t="shared" si="23"/>
        <v>0</v>
      </c>
      <c r="N17" s="460">
        <f t="shared" si="24"/>
        <v>1</v>
      </c>
      <c r="O17" s="456">
        <f>+Progress!K17</f>
        <v>14710</v>
      </c>
      <c r="P17" s="461">
        <f t="shared" si="5"/>
        <v>3.6211102604688489E-2</v>
      </c>
      <c r="Q17" s="462">
        <f>+Progress!M17</f>
        <v>0</v>
      </c>
      <c r="R17" s="462">
        <f>+Progress!N17</f>
        <v>0</v>
      </c>
      <c r="S17" s="463">
        <f>IFERROR(IF(ISBLANK(Q17),"",Q17/O17),0)</f>
        <v>0</v>
      </c>
      <c r="T17" s="464">
        <f>IFERROR(IF(ISBLANK(R17),"",R17/O17),0)</f>
        <v>0</v>
      </c>
      <c r="U17" s="462">
        <f>+Progress!O17</f>
        <v>16105</v>
      </c>
      <c r="V17" s="462">
        <f>+Progress!P17</f>
        <v>16105</v>
      </c>
      <c r="W17" s="457">
        <f t="shared" ref="W17:W27" si="26">IFERROR(IF(ISBLANK(U17),"",U17/O17),0)</f>
        <v>1.0948334466349423</v>
      </c>
      <c r="X17" s="458">
        <f t="shared" ref="X17:X27" si="27">IFERROR(IF(ISBLANK(V17),"",V17/O17),0)</f>
        <v>1.0948334466349423</v>
      </c>
      <c r="Y17" s="459">
        <f t="shared" ref="Y17:Y27" si="28">IFERROR(X17-W17,"")</f>
        <v>0</v>
      </c>
      <c r="Z17" s="460">
        <f t="shared" ref="Z17" si="29">IFERROR(X17/W17,"")</f>
        <v>1</v>
      </c>
      <c r="AA17"/>
      <c r="AB17"/>
      <c r="AC17"/>
      <c r="AD17"/>
      <c r="AE17"/>
      <c r="AF17"/>
      <c r="AG17"/>
      <c r="AH17" s="296"/>
      <c r="AL17"/>
      <c r="AM17"/>
      <c r="AN17"/>
      <c r="AO17"/>
      <c r="AP17"/>
      <c r="AQ17"/>
      <c r="AR17"/>
      <c r="AS17"/>
      <c r="AT17"/>
      <c r="AU17"/>
      <c r="AV17"/>
    </row>
    <row r="18" spans="1:50" s="3" customFormat="1" ht="15.75" customHeight="1">
      <c r="A18" s="1322" t="str">
        <f>+Progress!A19</f>
        <v>Storm Water Network</v>
      </c>
      <c r="B18" s="1323"/>
      <c r="C18" s="456">
        <f>+Progress!C19</f>
        <v>3336320.63</v>
      </c>
      <c r="D18" s="455">
        <f t="shared" ref="D18:D26" si="30">IF(ISBLANK(C18),"",C18/$C$28)</f>
        <v>5.822107317495262E-2</v>
      </c>
      <c r="E18" s="539">
        <f>+Progress!E19</f>
        <v>59901.470000000205</v>
      </c>
      <c r="F18" s="539">
        <f>+Progress!F19</f>
        <v>0</v>
      </c>
      <c r="G18" s="539">
        <f>+Progress!G19</f>
        <v>3336320.63</v>
      </c>
      <c r="H18" s="539">
        <f>+Progress!H19</f>
        <v>2238976.85</v>
      </c>
      <c r="I18" s="539">
        <f>+Progress!I19</f>
        <v>2558110.4500000002</v>
      </c>
      <c r="J18" s="457">
        <f>IFERROR(IF(ISBLANK(G18),"",G18/C18),0)</f>
        <v>1</v>
      </c>
      <c r="K18" s="457">
        <f>IFERROR(IF(ISBLANK(H18),"",H18/C18),0)</f>
        <v>0.67109163006314543</v>
      </c>
      <c r="L18" s="458">
        <f>IFERROR(IF(ISBLANK(I18),"",I18/C18),0)</f>
        <v>0.76674598568183783</v>
      </c>
      <c r="M18" s="459">
        <f>IFERROR(L18-K18,"")</f>
        <v>9.5654355618692399E-2</v>
      </c>
      <c r="N18" s="460">
        <f>IFERROR(L18/K18,"")</f>
        <v>1.1425354621241393</v>
      </c>
      <c r="O18" s="456">
        <f>+Progress!K19</f>
        <v>29100</v>
      </c>
      <c r="P18" s="461">
        <f t="shared" ref="P18:P27" si="31">IF(ISBLANK(O18),"",O18/$O$28)</f>
        <v>7.1634472181946643E-2</v>
      </c>
      <c r="Q18" s="462">
        <f>+Progress!M19</f>
        <v>270</v>
      </c>
      <c r="R18" s="462">
        <f>+Progress!N19</f>
        <v>0</v>
      </c>
      <c r="S18" s="463">
        <f>IFERROR(IF(ISBLANK(Q18),"",Q18/O18),0)</f>
        <v>9.2783505154639175E-3</v>
      </c>
      <c r="T18" s="464">
        <f>IFERROR(IF(ISBLANK(R18),"",R18/O18),0)</f>
        <v>0</v>
      </c>
      <c r="U18" s="462">
        <f>+Progress!O19</f>
        <v>26800</v>
      </c>
      <c r="V18" s="462">
        <f>+Progress!P19</f>
        <v>29900</v>
      </c>
      <c r="W18" s="457">
        <f>IFERROR(IF(ISBLANK(U18),"",U18/O18),0)</f>
        <v>0.92096219931271472</v>
      </c>
      <c r="X18" s="458">
        <f>IFERROR(IF(ISBLANK(V18),"",V18/O18),0)</f>
        <v>1.0274914089347078</v>
      </c>
      <c r="Y18" s="459">
        <f>IFERROR(X18-W18,"")</f>
        <v>0.10652920962199308</v>
      </c>
      <c r="Z18" s="460">
        <f>IFERROR(X18/W18,"")</f>
        <v>1.1156716417910448</v>
      </c>
      <c r="AA18"/>
      <c r="AB18"/>
      <c r="AC18"/>
      <c r="AD18"/>
      <c r="AE18"/>
      <c r="AF18"/>
      <c r="AG18"/>
      <c r="AH18" s="296"/>
      <c r="AL18"/>
      <c r="AM18"/>
      <c r="AN18"/>
      <c r="AO18"/>
      <c r="AP18"/>
      <c r="AQ18"/>
      <c r="AR18"/>
      <c r="AS18"/>
      <c r="AT18"/>
      <c r="AU18"/>
      <c r="AV18"/>
    </row>
    <row r="19" spans="1:50" s="3" customFormat="1" ht="15.75" customHeight="1">
      <c r="A19" s="1322" t="str">
        <f>+Progress!A21</f>
        <v>Plots</v>
      </c>
      <c r="B19" s="1323"/>
      <c r="C19" s="456">
        <f>+Progress!C21</f>
        <v>7378530.3799999999</v>
      </c>
      <c r="D19" s="455">
        <f t="shared" si="30"/>
        <v>0.12876039350498245</v>
      </c>
      <c r="E19" s="539">
        <f>+Progress!E21</f>
        <v>0</v>
      </c>
      <c r="F19" s="539">
        <f>+Progress!F21</f>
        <v>152056.15000000037</v>
      </c>
      <c r="G19" s="539">
        <f>+Progress!G21</f>
        <v>7378530.3799999999</v>
      </c>
      <c r="H19" s="539">
        <f>+Progress!H21</f>
        <v>4337407.5199999996</v>
      </c>
      <c r="I19" s="539">
        <f>+Progress!I21</f>
        <v>6820991.1900000004</v>
      </c>
      <c r="J19" s="457">
        <f t="shared" ref="J19:J26" si="32">IFERROR(IF(ISBLANK(G19),"",G19/C19),0)</f>
        <v>1</v>
      </c>
      <c r="K19" s="457">
        <f t="shared" ref="K19:K26" si="33">IFERROR(IF(ISBLANK(H19),"",H19/C19),0)</f>
        <v>0.58784165634891639</v>
      </c>
      <c r="L19" s="458">
        <f t="shared" ref="L19:L26" si="34">IFERROR(IF(ISBLANK(I19),"",I19/C19),0)</f>
        <v>0.92443763713282978</v>
      </c>
      <c r="M19" s="459">
        <f t="shared" ref="M19:M26" si="35">IFERROR(L19-K19,"")</f>
        <v>0.3365959807839134</v>
      </c>
      <c r="N19" s="460">
        <f t="shared" ref="N19:N26" si="36">IFERROR(L19/K19,"")</f>
        <v>1.5725963397601159</v>
      </c>
      <c r="O19" s="456">
        <f>+Progress!K21</f>
        <v>12640</v>
      </c>
      <c r="P19" s="461">
        <f t="shared" si="31"/>
        <v>3.1115454583498469E-2</v>
      </c>
      <c r="Q19" s="462">
        <f>+Progress!M21</f>
        <v>0</v>
      </c>
      <c r="R19" s="462">
        <f>+Progress!N21</f>
        <v>215</v>
      </c>
      <c r="S19" s="463">
        <f t="shared" ref="S19:S26" si="37">IFERROR(IF(ISBLANK(Q19),"",Q19/O19),0)</f>
        <v>0</v>
      </c>
      <c r="T19" s="464">
        <f t="shared" ref="T19:T26" si="38">IFERROR(IF(ISBLANK(R19),"",R19/O19),0)</f>
        <v>1.7009493670886076E-2</v>
      </c>
      <c r="U19" s="462">
        <f>+Progress!O21</f>
        <v>10430</v>
      </c>
      <c r="V19" s="462">
        <f>+Progress!P21</f>
        <v>13856</v>
      </c>
      <c r="W19" s="457">
        <f t="shared" ref="W19:W26" si="39">IFERROR(IF(ISBLANK(U19),"",U19/O19),0)</f>
        <v>0.82515822784810122</v>
      </c>
      <c r="X19" s="458">
        <f t="shared" ref="X19:X26" si="40">IFERROR(IF(ISBLANK(V19),"",V19/O19),0)</f>
        <v>1.0962025316455697</v>
      </c>
      <c r="Y19" s="459">
        <f t="shared" ref="Y19:Y26" si="41">IFERROR(X19-W19,"")</f>
        <v>0.27104430379746847</v>
      </c>
      <c r="Z19" s="460">
        <f t="shared" ref="Z19:Z26" si="42">IFERROR(X19/W19,"")</f>
        <v>1.3284755512943434</v>
      </c>
      <c r="AA19"/>
      <c r="AB19"/>
      <c r="AC19"/>
      <c r="AD19"/>
      <c r="AE19"/>
      <c r="AF19"/>
      <c r="AG19"/>
      <c r="AH19" s="296"/>
      <c r="AL19"/>
      <c r="AM19"/>
      <c r="AN19"/>
      <c r="AO19"/>
      <c r="AP19"/>
      <c r="AQ19"/>
      <c r="AR19"/>
      <c r="AS19"/>
      <c r="AT19"/>
      <c r="AU19"/>
      <c r="AV19"/>
    </row>
    <row r="20" spans="1:50" s="3" customFormat="1" ht="15.75" customHeight="1">
      <c r="A20" s="1322" t="str">
        <f>+Progress!A23</f>
        <v>Sewer Water Network</v>
      </c>
      <c r="B20" s="1323"/>
      <c r="C20" s="456">
        <f>+Progress!C23</f>
        <v>2156250.46</v>
      </c>
      <c r="D20" s="455">
        <f t="shared" si="30"/>
        <v>3.7628042906411321E-2</v>
      </c>
      <c r="E20" s="539">
        <f>+Progress!E23</f>
        <v>0</v>
      </c>
      <c r="F20" s="539">
        <f>+Progress!F23</f>
        <v>0</v>
      </c>
      <c r="G20" s="539">
        <f>+Progress!G23</f>
        <v>2156250.46</v>
      </c>
      <c r="H20" s="539">
        <f>+Progress!H23</f>
        <v>1505980.97</v>
      </c>
      <c r="I20" s="539">
        <f>+Progress!I23</f>
        <v>1505980.97</v>
      </c>
      <c r="J20" s="457">
        <f t="shared" si="32"/>
        <v>1</v>
      </c>
      <c r="K20" s="457">
        <f t="shared" si="33"/>
        <v>0.6984258081039435</v>
      </c>
      <c r="L20" s="458">
        <f t="shared" si="34"/>
        <v>0.6984258081039435</v>
      </c>
      <c r="M20" s="459">
        <f t="shared" si="35"/>
        <v>0</v>
      </c>
      <c r="N20" s="460">
        <f t="shared" si="36"/>
        <v>1</v>
      </c>
      <c r="O20" s="456">
        <f>+Progress!K23</f>
        <v>24496</v>
      </c>
      <c r="P20" s="461">
        <f t="shared" si="31"/>
        <v>6.0300963249792602E-2</v>
      </c>
      <c r="Q20" s="462">
        <f>+Progress!M23</f>
        <v>0</v>
      </c>
      <c r="R20" s="462">
        <f>+Progress!N23</f>
        <v>0</v>
      </c>
      <c r="S20" s="463">
        <f t="shared" si="37"/>
        <v>0</v>
      </c>
      <c r="T20" s="464">
        <f t="shared" si="38"/>
        <v>0</v>
      </c>
      <c r="U20" s="462">
        <f>+Progress!O23</f>
        <v>20616</v>
      </c>
      <c r="V20" s="462">
        <f>+Progress!P23</f>
        <v>20616</v>
      </c>
      <c r="W20" s="457">
        <f t="shared" si="39"/>
        <v>0.84160679294578711</v>
      </c>
      <c r="X20" s="458">
        <f t="shared" si="40"/>
        <v>0.84160679294578711</v>
      </c>
      <c r="Y20" s="459">
        <f t="shared" si="41"/>
        <v>0</v>
      </c>
      <c r="Z20" s="460">
        <f t="shared" si="42"/>
        <v>1</v>
      </c>
      <c r="AA20"/>
      <c r="AB20"/>
      <c r="AC20"/>
      <c r="AD20"/>
      <c r="AE20"/>
      <c r="AF20"/>
      <c r="AG20"/>
      <c r="AH20" s="296"/>
      <c r="AL20"/>
      <c r="AM20"/>
      <c r="AN20"/>
      <c r="AO20"/>
      <c r="AP20"/>
      <c r="AQ20"/>
      <c r="AR20"/>
      <c r="AS20"/>
      <c r="AT20"/>
      <c r="AU20"/>
      <c r="AV20"/>
    </row>
    <row r="21" spans="1:50" s="3" customFormat="1" ht="15.75" customHeight="1">
      <c r="A21" s="1322" t="str">
        <f>+Progress!A25</f>
        <v>TSE Network</v>
      </c>
      <c r="B21" s="1323"/>
      <c r="C21" s="456">
        <f>+Progress!C25</f>
        <v>1589264.42</v>
      </c>
      <c r="D21" s="455">
        <f t="shared" si="30"/>
        <v>2.7733749346257715E-2</v>
      </c>
      <c r="E21" s="539">
        <f>+Progress!E25</f>
        <v>34853.630000000121</v>
      </c>
      <c r="F21" s="539">
        <f>+Progress!F25</f>
        <v>0</v>
      </c>
      <c r="G21" s="539">
        <f>+Progress!G25</f>
        <v>1433580.44</v>
      </c>
      <c r="H21" s="539">
        <f>+Progress!H25</f>
        <v>1162894.8</v>
      </c>
      <c r="I21" s="539">
        <f>+Progress!I25</f>
        <v>1342832.01</v>
      </c>
      <c r="J21" s="457">
        <f t="shared" si="32"/>
        <v>0.90204022814529505</v>
      </c>
      <c r="K21" s="457">
        <f t="shared" si="33"/>
        <v>0.73171889168701088</v>
      </c>
      <c r="L21" s="458">
        <f t="shared" si="34"/>
        <v>0.8449393273398772</v>
      </c>
      <c r="M21" s="459">
        <f t="shared" si="35"/>
        <v>0.11322043565286632</v>
      </c>
      <c r="N21" s="460">
        <f t="shared" si="36"/>
        <v>1.154732147740277</v>
      </c>
      <c r="O21" s="456">
        <f>+Progress!K25</f>
        <v>39495</v>
      </c>
      <c r="P21" s="461">
        <f t="shared" si="31"/>
        <v>9.7223487244879114E-2</v>
      </c>
      <c r="Q21" s="462">
        <f>+Progress!M25</f>
        <v>480</v>
      </c>
      <c r="R21" s="462">
        <f>+Progress!N25</f>
        <v>0</v>
      </c>
      <c r="S21" s="463">
        <f t="shared" si="37"/>
        <v>1.2153437143942271E-2</v>
      </c>
      <c r="T21" s="464">
        <f t="shared" si="38"/>
        <v>0</v>
      </c>
      <c r="U21" s="462">
        <f>+Progress!O25</f>
        <v>32200</v>
      </c>
      <c r="V21" s="462">
        <f>+Progress!P25</f>
        <v>37150</v>
      </c>
      <c r="W21" s="457">
        <f t="shared" si="39"/>
        <v>0.81529307507279403</v>
      </c>
      <c r="X21" s="458">
        <f t="shared" si="40"/>
        <v>0.94062539561969871</v>
      </c>
      <c r="Y21" s="459">
        <f t="shared" si="41"/>
        <v>0.12533232054690469</v>
      </c>
      <c r="Z21" s="460">
        <f t="shared" si="42"/>
        <v>1.1537267080745341</v>
      </c>
      <c r="AA21"/>
      <c r="AB21"/>
      <c r="AC21"/>
      <c r="AD21"/>
      <c r="AE21"/>
      <c r="AF21"/>
      <c r="AG21"/>
      <c r="AH21" s="296"/>
      <c r="AL21"/>
      <c r="AM21"/>
      <c r="AN21"/>
      <c r="AO21"/>
      <c r="AP21"/>
      <c r="AQ21"/>
      <c r="AR21"/>
      <c r="AS21"/>
      <c r="AT21"/>
      <c r="AU21"/>
      <c r="AV21"/>
    </row>
    <row r="22" spans="1:50" s="3" customFormat="1" ht="15.75" customHeight="1">
      <c r="A22" s="1322" t="str">
        <f>+Progress!A27</f>
        <v>Potable Water Network</v>
      </c>
      <c r="B22" s="1323"/>
      <c r="C22" s="456">
        <f>+Progress!C27</f>
        <v>2200624.91</v>
      </c>
      <c r="D22" s="455">
        <f t="shared" si="30"/>
        <v>3.8402407359670807E-2</v>
      </c>
      <c r="E22" s="539">
        <f>+Progress!E27</f>
        <v>9817.2299999999814</v>
      </c>
      <c r="F22" s="539">
        <f>+Progress!F27</f>
        <v>0</v>
      </c>
      <c r="G22" s="539">
        <f>+Progress!G27</f>
        <v>2140576.48</v>
      </c>
      <c r="H22" s="539">
        <f>+Progress!H27</f>
        <v>1775528.77</v>
      </c>
      <c r="I22" s="539">
        <f>+Progress!I27</f>
        <v>2005333.58</v>
      </c>
      <c r="J22" s="457">
        <f t="shared" si="32"/>
        <v>0.97271300996042975</v>
      </c>
      <c r="K22" s="457">
        <f t="shared" si="33"/>
        <v>0.806829351940763</v>
      </c>
      <c r="L22" s="458">
        <f t="shared" si="34"/>
        <v>0.91125642124990758</v>
      </c>
      <c r="M22" s="459">
        <f t="shared" si="35"/>
        <v>0.10442706930914458</v>
      </c>
      <c r="N22" s="460">
        <f t="shared" si="36"/>
        <v>1.129428941892054</v>
      </c>
      <c r="O22" s="456">
        <f>+Progress!K27</f>
        <v>31247</v>
      </c>
      <c r="P22" s="461">
        <f t="shared" si="31"/>
        <v>7.6919668462862079E-2</v>
      </c>
      <c r="Q22" s="462">
        <f>+Progress!M27</f>
        <v>958</v>
      </c>
      <c r="R22" s="462">
        <f>+Progress!N27</f>
        <v>0</v>
      </c>
      <c r="S22" s="463">
        <f t="shared" si="37"/>
        <v>3.0658943258552823E-2</v>
      </c>
      <c r="T22" s="464">
        <f t="shared" si="38"/>
        <v>0</v>
      </c>
      <c r="U22" s="462">
        <f>+Progress!O27</f>
        <v>22760</v>
      </c>
      <c r="V22" s="462">
        <f>+Progress!P27</f>
        <v>27107</v>
      </c>
      <c r="W22" s="457">
        <f t="shared" si="39"/>
        <v>0.72838992543284153</v>
      </c>
      <c r="X22" s="458">
        <f t="shared" si="40"/>
        <v>0.86750728069894711</v>
      </c>
      <c r="Y22" s="459">
        <f t="shared" si="41"/>
        <v>0.13911735526610558</v>
      </c>
      <c r="Z22" s="460">
        <f t="shared" si="42"/>
        <v>1.1909929701230229</v>
      </c>
      <c r="AA22"/>
      <c r="AB22"/>
      <c r="AC22"/>
      <c r="AD22"/>
      <c r="AE22"/>
      <c r="AF22"/>
      <c r="AG22"/>
      <c r="AH22" s="296"/>
      <c r="AL22"/>
      <c r="AM22"/>
      <c r="AN22"/>
      <c r="AO22"/>
      <c r="AP22"/>
      <c r="AQ22"/>
      <c r="AR22"/>
      <c r="AS22"/>
      <c r="AT22"/>
      <c r="AU22"/>
      <c r="AV22"/>
    </row>
    <row r="23" spans="1:50" s="3" customFormat="1" ht="15.75" customHeight="1">
      <c r="A23" s="1322" t="str">
        <f>+Progress!A29</f>
        <v>Sewage Lift Station</v>
      </c>
      <c r="B23" s="1323"/>
      <c r="C23" s="456">
        <f>+Progress!C29</f>
        <v>3049343.42</v>
      </c>
      <c r="D23" s="455">
        <f t="shared" si="30"/>
        <v>5.3213124900222876E-2</v>
      </c>
      <c r="E23" s="539">
        <f>+Progress!E29</f>
        <v>1189.8200000000006</v>
      </c>
      <c r="F23" s="539">
        <f>+Progress!F29</f>
        <v>628633.39000000013</v>
      </c>
      <c r="G23" s="539">
        <f>+Progress!G29</f>
        <v>0</v>
      </c>
      <c r="H23" s="539">
        <f>+Progress!H29</f>
        <v>5992.14</v>
      </c>
      <c r="I23" s="539">
        <f>+Progress!I29</f>
        <v>1845852.34</v>
      </c>
      <c r="J23" s="457">
        <f t="shared" si="32"/>
        <v>0</v>
      </c>
      <c r="K23" s="457">
        <f t="shared" si="33"/>
        <v>1.9650590880314822E-3</v>
      </c>
      <c r="L23" s="458">
        <f t="shared" si="34"/>
        <v>0.60532779872986564</v>
      </c>
      <c r="M23" s="459">
        <f t="shared" si="35"/>
        <v>0.60336273964183418</v>
      </c>
      <c r="N23" s="460">
        <f t="shared" si="36"/>
        <v>308.04559639794797</v>
      </c>
      <c r="O23" s="456">
        <f>+Progress!K29</f>
        <v>15410</v>
      </c>
      <c r="P23" s="461">
        <f t="shared" si="31"/>
        <v>3.7934268602192359E-2</v>
      </c>
      <c r="Q23" s="462">
        <f>+Progress!M29</f>
        <v>297</v>
      </c>
      <c r="R23" s="462">
        <f>+Progress!N29</f>
        <v>1164</v>
      </c>
      <c r="S23" s="463">
        <f t="shared" si="37"/>
        <v>1.9273199221284881E-2</v>
      </c>
      <c r="T23" s="464">
        <f t="shared" si="38"/>
        <v>7.5535366645035684E-2</v>
      </c>
      <c r="U23" s="462">
        <f>+Progress!O29</f>
        <v>1107</v>
      </c>
      <c r="V23" s="462">
        <f>+Progress!P29</f>
        <v>13114</v>
      </c>
      <c r="W23" s="457">
        <f t="shared" si="39"/>
        <v>7.1836469824789098E-2</v>
      </c>
      <c r="X23" s="458">
        <f t="shared" si="40"/>
        <v>0.85100584036340043</v>
      </c>
      <c r="Y23" s="459">
        <f t="shared" si="41"/>
        <v>0.77916937053861135</v>
      </c>
      <c r="Z23" s="460">
        <f t="shared" si="42"/>
        <v>11.846431797651311</v>
      </c>
      <c r="AA23"/>
      <c r="AB23"/>
      <c r="AC23"/>
      <c r="AD23"/>
      <c r="AE23"/>
      <c r="AF23"/>
      <c r="AG23"/>
      <c r="AH23" s="296"/>
      <c r="AL23"/>
      <c r="AM23"/>
      <c r="AN23"/>
      <c r="AO23"/>
      <c r="AP23"/>
      <c r="AQ23"/>
      <c r="AR23"/>
      <c r="AS23"/>
      <c r="AT23"/>
      <c r="AU23"/>
      <c r="AV23"/>
    </row>
    <row r="24" spans="1:50" s="3" customFormat="1" ht="15.75" customHeight="1">
      <c r="A24" s="1322" t="str">
        <f>+Progress!A31</f>
        <v>Box Culvert</v>
      </c>
      <c r="B24" s="1323"/>
      <c r="C24" s="456">
        <f>+Progress!C31</f>
        <v>499321.73</v>
      </c>
      <c r="D24" s="455">
        <f t="shared" si="30"/>
        <v>8.7135051465883646E-3</v>
      </c>
      <c r="E24" s="539">
        <f>+Progress!E31</f>
        <v>0</v>
      </c>
      <c r="F24" s="539">
        <f>+Progress!F31</f>
        <v>0</v>
      </c>
      <c r="G24" s="539">
        <f>+Progress!G31</f>
        <v>499321.73</v>
      </c>
      <c r="H24" s="539">
        <f>+Progress!H31</f>
        <v>499735.96</v>
      </c>
      <c r="I24" s="539">
        <f>+Progress!I31</f>
        <v>499735.96</v>
      </c>
      <c r="J24" s="457">
        <f t="shared" si="32"/>
        <v>1</v>
      </c>
      <c r="K24" s="457">
        <f t="shared" si="33"/>
        <v>1.0008295853657321</v>
      </c>
      <c r="L24" s="458">
        <f t="shared" si="34"/>
        <v>1.0008295853657321</v>
      </c>
      <c r="M24" s="459">
        <f t="shared" si="35"/>
        <v>0</v>
      </c>
      <c r="N24" s="460">
        <f t="shared" si="36"/>
        <v>1</v>
      </c>
      <c r="O24" s="456">
        <f>+Progress!K31</f>
        <v>2200</v>
      </c>
      <c r="P24" s="461">
        <f t="shared" si="31"/>
        <v>5.4156645635835944E-3</v>
      </c>
      <c r="Q24" s="462">
        <f>+Progress!M31</f>
        <v>0</v>
      </c>
      <c r="R24" s="462">
        <f>+Progress!N31</f>
        <v>0</v>
      </c>
      <c r="S24" s="463">
        <f t="shared" si="37"/>
        <v>0</v>
      </c>
      <c r="T24" s="464">
        <f t="shared" si="38"/>
        <v>0</v>
      </c>
      <c r="U24" s="462">
        <f>+Progress!O31</f>
        <v>2515</v>
      </c>
      <c r="V24" s="462">
        <f>+Progress!P31</f>
        <v>2515</v>
      </c>
      <c r="W24" s="457">
        <f t="shared" si="39"/>
        <v>1.1431818181818181</v>
      </c>
      <c r="X24" s="458">
        <f t="shared" si="40"/>
        <v>1.1431818181818181</v>
      </c>
      <c r="Y24" s="459">
        <f t="shared" si="41"/>
        <v>0</v>
      </c>
      <c r="Z24" s="460">
        <f t="shared" si="42"/>
        <v>1</v>
      </c>
      <c r="AA24"/>
      <c r="AB24"/>
      <c r="AC24"/>
      <c r="AD24"/>
      <c r="AE24"/>
      <c r="AF24"/>
      <c r="AG24"/>
      <c r="AH24" s="296"/>
      <c r="AL24"/>
      <c r="AM24"/>
      <c r="AN24"/>
      <c r="AO24"/>
      <c r="AP24"/>
      <c r="AQ24"/>
      <c r="AR24"/>
      <c r="AS24"/>
      <c r="AT24"/>
      <c r="AU24"/>
      <c r="AV24"/>
    </row>
    <row r="25" spans="1:50" s="3" customFormat="1" ht="15.75" customHeight="1">
      <c r="A25" s="1322" t="str">
        <f>+Progress!A33</f>
        <v>Open Drain Channel</v>
      </c>
      <c r="B25" s="1323"/>
      <c r="C25" s="456">
        <f>+Progress!C33</f>
        <v>389804.75</v>
      </c>
      <c r="D25" s="455">
        <f t="shared" si="30"/>
        <v>6.8023590627421535E-3</v>
      </c>
      <c r="E25" s="539">
        <f>+Progress!E33</f>
        <v>0</v>
      </c>
      <c r="F25" s="539">
        <f>+Progress!F33</f>
        <v>0</v>
      </c>
      <c r="G25" s="539">
        <f>+Progress!G33</f>
        <v>0</v>
      </c>
      <c r="H25" s="539">
        <f>+Progress!H33</f>
        <v>389804.76</v>
      </c>
      <c r="I25" s="539">
        <f>+Progress!I33</f>
        <v>389804.76</v>
      </c>
      <c r="J25" s="457">
        <f t="shared" si="32"/>
        <v>0</v>
      </c>
      <c r="K25" s="457">
        <f t="shared" si="33"/>
        <v>1.000000025653869</v>
      </c>
      <c r="L25" s="458">
        <f t="shared" si="34"/>
        <v>1.000000025653869</v>
      </c>
      <c r="M25" s="459">
        <f t="shared" si="35"/>
        <v>0</v>
      </c>
      <c r="N25" s="460">
        <f t="shared" si="36"/>
        <v>1</v>
      </c>
      <c r="O25" s="456">
        <f>+Progress!K33</f>
        <v>5040</v>
      </c>
      <c r="P25" s="461">
        <f t="shared" si="31"/>
        <v>1.240679518202787E-2</v>
      </c>
      <c r="Q25" s="462">
        <f>+Progress!M33</f>
        <v>0</v>
      </c>
      <c r="R25" s="462">
        <f>+Progress!N33</f>
        <v>0</v>
      </c>
      <c r="S25" s="463">
        <f t="shared" si="37"/>
        <v>0</v>
      </c>
      <c r="T25" s="464">
        <f t="shared" si="38"/>
        <v>0</v>
      </c>
      <c r="U25" s="462">
        <f>+Progress!O33</f>
        <v>6458</v>
      </c>
      <c r="V25" s="462">
        <f>+Progress!P33</f>
        <v>6458</v>
      </c>
      <c r="W25" s="457">
        <f t="shared" si="39"/>
        <v>1.2813492063492065</v>
      </c>
      <c r="X25" s="458">
        <f t="shared" si="40"/>
        <v>1.2813492063492065</v>
      </c>
      <c r="Y25" s="459">
        <f t="shared" si="41"/>
        <v>0</v>
      </c>
      <c r="Z25" s="460">
        <f t="shared" si="42"/>
        <v>1</v>
      </c>
      <c r="AA25"/>
      <c r="AB25"/>
      <c r="AC25"/>
      <c r="AD25"/>
      <c r="AE25"/>
      <c r="AF25"/>
      <c r="AG25"/>
      <c r="AH25" s="296"/>
      <c r="AL25"/>
      <c r="AM25"/>
      <c r="AN25"/>
      <c r="AO25"/>
      <c r="AP25"/>
      <c r="AQ25"/>
      <c r="AR25"/>
      <c r="AS25"/>
      <c r="AT25"/>
      <c r="AU25"/>
      <c r="AV25"/>
    </row>
    <row r="26" spans="1:50" s="3" customFormat="1" ht="15.75" customHeight="1">
      <c r="A26" s="1322" t="str">
        <f>+Progress!A35</f>
        <v>Under Pass</v>
      </c>
      <c r="B26" s="1323"/>
      <c r="C26" s="456">
        <f>+Progress!C35</f>
        <v>112526.05</v>
      </c>
      <c r="D26" s="455">
        <f t="shared" si="30"/>
        <v>1.9636564100670318E-3</v>
      </c>
      <c r="E26" s="539">
        <f>+Progress!E35</f>
        <v>0</v>
      </c>
      <c r="F26" s="539">
        <f>+Progress!F35</f>
        <v>0</v>
      </c>
      <c r="G26" s="539">
        <f>+Progress!G35</f>
        <v>112526.05</v>
      </c>
      <c r="H26" s="539">
        <f>+Progress!H35</f>
        <v>112526.05</v>
      </c>
      <c r="I26" s="539">
        <f>+Progress!I35</f>
        <v>112526.05</v>
      </c>
      <c r="J26" s="457">
        <f t="shared" si="32"/>
        <v>1</v>
      </c>
      <c r="K26" s="457">
        <f t="shared" si="33"/>
        <v>1</v>
      </c>
      <c r="L26" s="458">
        <f t="shared" si="34"/>
        <v>1</v>
      </c>
      <c r="M26" s="459">
        <f t="shared" si="35"/>
        <v>0</v>
      </c>
      <c r="N26" s="460">
        <f t="shared" si="36"/>
        <v>1</v>
      </c>
      <c r="O26" s="456">
        <f>+Progress!K35</f>
        <v>1400</v>
      </c>
      <c r="P26" s="461">
        <f t="shared" si="31"/>
        <v>3.446331995007742E-3</v>
      </c>
      <c r="Q26" s="462">
        <f>+Progress!M35</f>
        <v>0</v>
      </c>
      <c r="R26" s="462">
        <f>+Progress!N35</f>
        <v>0</v>
      </c>
      <c r="S26" s="463">
        <f t="shared" si="37"/>
        <v>0</v>
      </c>
      <c r="T26" s="464">
        <f t="shared" si="38"/>
        <v>0</v>
      </c>
      <c r="U26" s="462">
        <f>+Progress!O35</f>
        <v>1400</v>
      </c>
      <c r="V26" s="462">
        <f>+Progress!P35</f>
        <v>1400</v>
      </c>
      <c r="W26" s="457">
        <f t="shared" si="39"/>
        <v>1</v>
      </c>
      <c r="X26" s="458">
        <f t="shared" si="40"/>
        <v>1</v>
      </c>
      <c r="Y26" s="459">
        <f t="shared" si="41"/>
        <v>0</v>
      </c>
      <c r="Z26" s="460">
        <f t="shared" si="42"/>
        <v>1</v>
      </c>
      <c r="AA26"/>
      <c r="AB26"/>
      <c r="AC26"/>
      <c r="AD26"/>
      <c r="AE26"/>
      <c r="AF26"/>
      <c r="AG26"/>
      <c r="AH26" s="296"/>
      <c r="AL26"/>
      <c r="AM26"/>
      <c r="AN26"/>
      <c r="AO26"/>
      <c r="AP26"/>
      <c r="AQ26"/>
      <c r="AR26"/>
      <c r="AS26"/>
      <c r="AT26"/>
      <c r="AU26"/>
      <c r="AV26"/>
    </row>
    <row r="27" spans="1:50" s="3" customFormat="1" ht="15.75" customHeight="1">
      <c r="A27" s="1296" t="str">
        <f>+Progress!A37</f>
        <v xml:space="preserve">Testing and Commissioning	</v>
      </c>
      <c r="B27" s="1297"/>
      <c r="C27" s="456">
        <f>+Progress!C37</f>
        <v>5730434.7800000003</v>
      </c>
      <c r="D27" s="455">
        <f>IF(ISBLANK(C27),"",C27/$C$28)</f>
        <v>9.9999999895295899E-2</v>
      </c>
      <c r="E27" s="539">
        <f>+Progress!E37</f>
        <v>0</v>
      </c>
      <c r="F27" s="539">
        <f>+Progress!F37</f>
        <v>163726.70000000019</v>
      </c>
      <c r="G27" s="539">
        <f>+Progress!G37</f>
        <v>1637267.08</v>
      </c>
      <c r="H27" s="539">
        <f>+Progress!H37</f>
        <v>818633.54</v>
      </c>
      <c r="I27" s="539">
        <f>+Progress!I37</f>
        <v>4052236.02</v>
      </c>
      <c r="J27" s="457">
        <f t="shared" si="20"/>
        <v>0.2857142857142857</v>
      </c>
      <c r="K27" s="457">
        <f t="shared" si="21"/>
        <v>0.14285714285714285</v>
      </c>
      <c r="L27" s="458">
        <f t="shared" si="22"/>
        <v>0.70714285661933662</v>
      </c>
      <c r="M27" s="459">
        <f t="shared" si="23"/>
        <v>0.56428571376219372</v>
      </c>
      <c r="N27" s="460">
        <f>IFERROR(L27/K27,"")</f>
        <v>4.9499999963353565</v>
      </c>
      <c r="O27" s="456">
        <f>+Progress!K37</f>
        <v>9710</v>
      </c>
      <c r="P27" s="461">
        <f t="shared" si="31"/>
        <v>2.3902774051089409E-2</v>
      </c>
      <c r="Q27" s="462">
        <f>+Progress!M37</f>
        <v>0</v>
      </c>
      <c r="R27" s="462">
        <f>+Progress!N37</f>
        <v>240</v>
      </c>
      <c r="S27" s="463">
        <f t="shared" ref="S27" si="43">IFERROR(IF(ISBLANK(Q27),"",Q27/O27),0)</f>
        <v>0</v>
      </c>
      <c r="T27" s="464">
        <f t="shared" ref="T27" si="44">IFERROR(IF(ISBLANK(R27),"",R27/O27),0)</f>
        <v>2.4716786817713696E-2</v>
      </c>
      <c r="U27" s="462">
        <f>+Progress!O37</f>
        <v>1270</v>
      </c>
      <c r="V27" s="462">
        <f>+Progress!P37</f>
        <v>6220</v>
      </c>
      <c r="W27" s="457">
        <f t="shared" si="26"/>
        <v>0.13079299691040164</v>
      </c>
      <c r="X27" s="458">
        <f t="shared" si="27"/>
        <v>0.6405767250257467</v>
      </c>
      <c r="Y27" s="459">
        <f t="shared" si="28"/>
        <v>0.509783728115345</v>
      </c>
      <c r="Z27" s="460">
        <f>IFERROR(X27/W27,"")</f>
        <v>4.8976377952755916</v>
      </c>
      <c r="AA27"/>
      <c r="AB27"/>
      <c r="AC27"/>
      <c r="AD27"/>
      <c r="AE27"/>
      <c r="AF27"/>
      <c r="AG27"/>
      <c r="AH27" s="296"/>
      <c r="AI27" s="465"/>
      <c r="AJ27" s="466"/>
      <c r="AK27" s="466"/>
      <c r="AL27" s="470"/>
      <c r="AM27"/>
      <c r="AN27"/>
      <c r="AO27"/>
      <c r="AP27"/>
      <c r="AQ27"/>
      <c r="AR27"/>
      <c r="AS27"/>
      <c r="AT27"/>
      <c r="AU27"/>
      <c r="AV27"/>
    </row>
    <row r="28" spans="1:50" s="492" customFormat="1" ht="19.95" customHeight="1" thickBot="1">
      <c r="A28" s="140"/>
      <c r="B28" s="104" t="s">
        <v>88</v>
      </c>
      <c r="C28" s="105">
        <f t="shared" ref="C28:I28" si="45">SUM(C12:C27)</f>
        <v>57304347.860000007</v>
      </c>
      <c r="D28" s="475">
        <f t="shared" si="45"/>
        <v>1</v>
      </c>
      <c r="E28" s="476">
        <f t="shared" si="45"/>
        <v>706912.69000000006</v>
      </c>
      <c r="F28" s="477">
        <f t="shared" si="45"/>
        <v>1259332.5300000007</v>
      </c>
      <c r="G28" s="105">
        <f t="shared" si="45"/>
        <v>42509998.11999999</v>
      </c>
      <c r="H28" s="478">
        <f t="shared" si="45"/>
        <v>34293976.350000001</v>
      </c>
      <c r="I28" s="477">
        <f t="shared" si="45"/>
        <v>53468556.349999994</v>
      </c>
      <c r="J28" s="479">
        <f>IFERROR(IF(ISBLANK(G28),"",G28/C28),0)</f>
        <v>0.74182849482653523</v>
      </c>
      <c r="K28" s="479">
        <f>IFERROR(IF(ISBLANK(H28),"",H28/C28),0)</f>
        <v>0.59845330469135538</v>
      </c>
      <c r="L28" s="480">
        <f>IFERROR(IF(ISBLANK(I28),"",I28/C28),0)</f>
        <v>0.9330628189091128</v>
      </c>
      <c r="M28" s="481">
        <f>+L28-K28</f>
        <v>0.33460951421775742</v>
      </c>
      <c r="N28" s="482">
        <f>L28/K28</f>
        <v>1.5591238474158446</v>
      </c>
      <c r="O28" s="483">
        <f>SUM(O12:O27)</f>
        <v>406229</v>
      </c>
      <c r="P28" s="484">
        <f>SUM(P12:P27)</f>
        <v>1.0000000000000002</v>
      </c>
      <c r="Q28" s="476">
        <f>SUM(Q12:Q27)</f>
        <v>5011</v>
      </c>
      <c r="R28" s="485">
        <f>SUM(R12:R27)</f>
        <v>4191</v>
      </c>
      <c r="S28" s="486">
        <f>IFERROR(IF(ISBLANK(Q28),"",Q28/O28),0)</f>
        <v>1.2335406876416996E-2</v>
      </c>
      <c r="T28" s="487">
        <f>IFERROR(IF(ISBLANK(R28),"",R28/O28),0)</f>
        <v>1.0316840993626748E-2</v>
      </c>
      <c r="U28" s="488">
        <f>SUM(U12:U27)</f>
        <v>310368</v>
      </c>
      <c r="V28" s="489">
        <f>SUM(V12:V27)</f>
        <v>390523</v>
      </c>
      <c r="W28" s="479">
        <f>IFERROR(IF(ISBLANK(U28),"",U28/O28),0)</f>
        <v>0.7640222633046877</v>
      </c>
      <c r="X28" s="480">
        <f t="shared" si="8"/>
        <v>0.96133707834743454</v>
      </c>
      <c r="Y28" s="481">
        <f>+X28-W28</f>
        <v>0.19731481504274684</v>
      </c>
      <c r="Z28" s="482">
        <f>X28/W28</f>
        <v>1.2582579389627797</v>
      </c>
      <c r="AA28" s="490"/>
      <c r="AB28" s="490"/>
      <c r="AC28" s="490"/>
      <c r="AD28" s="490"/>
      <c r="AE28" s="490"/>
      <c r="AF28" s="490"/>
      <c r="AG28" s="490"/>
      <c r="AH28" s="491"/>
      <c r="AI28" s="490"/>
      <c r="AM28" s="490"/>
      <c r="AN28" s="490"/>
      <c r="AO28" s="490"/>
      <c r="AP28" s="490"/>
      <c r="AQ28" s="490"/>
      <c r="AR28" s="490"/>
      <c r="AS28" s="490"/>
      <c r="AT28" s="490"/>
      <c r="AU28" s="490"/>
      <c r="AV28" s="490"/>
      <c r="AW28" s="490"/>
    </row>
    <row r="29" spans="1:50" ht="24" customHeight="1" thickTop="1" thickBot="1">
      <c r="A29" s="493"/>
      <c r="G29" s="494"/>
      <c r="H29" s="495"/>
      <c r="I29" s="495"/>
      <c r="J29" s="495"/>
      <c r="K29" s="495"/>
      <c r="L29" s="495"/>
      <c r="M29" s="495"/>
      <c r="N29" s="496"/>
      <c r="Z29"/>
      <c r="AA29" s="270" t="s">
        <v>89</v>
      </c>
      <c r="AB29" s="271"/>
      <c r="AC29" s="271"/>
      <c r="AD29" s="272"/>
      <c r="AE29" s="271"/>
      <c r="AF29" s="271"/>
      <c r="AG29" s="271"/>
      <c r="AH29" s="273"/>
      <c r="AJ29" s="436"/>
      <c r="AN29" s="436"/>
      <c r="AO29" s="436"/>
      <c r="AP29" s="436"/>
      <c r="AQ29" s="436"/>
      <c r="AR29" s="436"/>
      <c r="AS29" s="436"/>
      <c r="AT29" s="436"/>
      <c r="AU29" s="436"/>
      <c r="AV29" s="436"/>
      <c r="AW29" s="436"/>
      <c r="AX29" s="436"/>
    </row>
    <row r="30" spans="1:50" ht="30" customHeight="1">
      <c r="A30" s="493"/>
      <c r="Z30"/>
      <c r="AA30" s="274" t="s">
        <v>90</v>
      </c>
      <c r="AB30" s="1548" t="s">
        <v>91</v>
      </c>
      <c r="AC30" s="1549"/>
      <c r="AD30" s="275" t="s">
        <v>92</v>
      </c>
      <c r="AE30" s="275" t="s">
        <v>93</v>
      </c>
      <c r="AF30" s="275" t="s">
        <v>94</v>
      </c>
      <c r="AG30" s="275" t="s">
        <v>50</v>
      </c>
      <c r="AH30" s="276" t="s">
        <v>95</v>
      </c>
      <c r="AJ30" s="436"/>
      <c r="AN30" s="436"/>
      <c r="AO30" s="436"/>
      <c r="AP30" s="436"/>
      <c r="AQ30" s="436"/>
      <c r="AR30" s="436"/>
      <c r="AS30" s="436"/>
      <c r="AT30" s="436"/>
      <c r="AU30" s="436"/>
      <c r="AV30" s="436"/>
      <c r="AW30" s="436"/>
      <c r="AX30" s="436"/>
    </row>
    <row r="31" spans="1:50" ht="27" customHeight="1">
      <c r="A31" s="493"/>
      <c r="Z31"/>
      <c r="AA31" s="540">
        <f>+Milestones!A4</f>
        <v>1</v>
      </c>
      <c r="AB31" s="1550" t="str">
        <f>+Milestones!B4</f>
        <v>Award Date</v>
      </c>
      <c r="AC31" s="1551"/>
      <c r="AD31" s="541">
        <f>+Milestones!C4</f>
        <v>45970</v>
      </c>
      <c r="AE31" s="541">
        <f>+Milestones!D4</f>
        <v>45970</v>
      </c>
      <c r="AF31" s="541">
        <f>+Milestones!E4</f>
        <v>45970</v>
      </c>
      <c r="AG31" s="541" t="str">
        <f>+Milestones!F4</f>
        <v>A</v>
      </c>
      <c r="AH31" s="542">
        <f>+Milestones!G4</f>
        <v>0</v>
      </c>
      <c r="AN31" s="436"/>
      <c r="AO31" s="436"/>
      <c r="AP31" s="436"/>
      <c r="AQ31" s="436"/>
      <c r="AR31" s="436"/>
      <c r="AS31" s="436"/>
      <c r="AT31" s="436"/>
      <c r="AU31" s="436"/>
      <c r="AV31" s="436"/>
      <c r="AW31" s="436"/>
      <c r="AX31" s="436"/>
    </row>
    <row r="32" spans="1:50" ht="27" customHeight="1">
      <c r="A32" s="493"/>
      <c r="Z32"/>
      <c r="AA32" s="543">
        <f>+Milestones!A5</f>
        <v>2</v>
      </c>
      <c r="AB32" s="1336" t="str">
        <f>+Milestones!B5</f>
        <v>Contract Sign Date</v>
      </c>
      <c r="AC32" s="1337"/>
      <c r="AD32" s="544">
        <f>+Milestones!C5</f>
        <v>45977</v>
      </c>
      <c r="AE32" s="544">
        <f>+Milestones!D5</f>
        <v>45977</v>
      </c>
      <c r="AF32" s="544">
        <f>+Milestones!E5</f>
        <v>45977</v>
      </c>
      <c r="AG32" s="544" t="str">
        <f>+Milestones!F5</f>
        <v>A</v>
      </c>
      <c r="AH32" s="545">
        <f>+Milestones!G5</f>
        <v>0</v>
      </c>
      <c r="AN32" s="436"/>
      <c r="AO32" s="436"/>
      <c r="AP32" s="436"/>
      <c r="AQ32" s="436"/>
      <c r="AR32" s="436"/>
      <c r="AS32" s="436"/>
      <c r="AT32" s="436"/>
      <c r="AU32" s="436"/>
      <c r="AV32" s="436"/>
      <c r="AW32" s="436"/>
      <c r="AX32" s="436"/>
    </row>
    <row r="33" spans="1:50" ht="27" customHeight="1">
      <c r="A33" s="493"/>
      <c r="Z33"/>
      <c r="AA33" s="543">
        <f>+Milestones!A6</f>
        <v>3</v>
      </c>
      <c r="AB33" s="1336" t="str">
        <f>+Milestones!B6</f>
        <v>Site Handover Date</v>
      </c>
      <c r="AC33" s="1337"/>
      <c r="AD33" s="544">
        <f>+Milestones!C6</f>
        <v>45985</v>
      </c>
      <c r="AE33" s="544">
        <f>+Milestones!D6</f>
        <v>45985</v>
      </c>
      <c r="AF33" s="544">
        <f>+Milestones!E6</f>
        <v>45985</v>
      </c>
      <c r="AG33" s="544" t="str">
        <f>+Milestones!F6</f>
        <v>A</v>
      </c>
      <c r="AH33" s="545">
        <f>+Milestones!G6</f>
        <v>0</v>
      </c>
      <c r="AN33" s="436"/>
      <c r="AO33" s="436"/>
      <c r="AP33" s="436"/>
      <c r="AQ33" s="436"/>
      <c r="AR33" s="436"/>
      <c r="AS33" s="436"/>
      <c r="AT33" s="436"/>
      <c r="AU33" s="436"/>
      <c r="AV33" s="436"/>
      <c r="AW33" s="436"/>
      <c r="AX33" s="436"/>
    </row>
    <row r="34" spans="1:50" ht="27" customHeight="1">
      <c r="A34" s="493"/>
      <c r="Z34"/>
      <c r="AA34" s="543">
        <f>+Milestones!A7</f>
        <v>4</v>
      </c>
      <c r="AB34" s="1336" t="str">
        <f>+Milestones!B7</f>
        <v>Complete Mobilization</v>
      </c>
      <c r="AC34" s="1337"/>
      <c r="AD34" s="544">
        <f>+Milestones!C7</f>
        <v>46014</v>
      </c>
      <c r="AE34" s="544">
        <f>+Milestones!D7</f>
        <v>46014</v>
      </c>
      <c r="AF34" s="544">
        <f>+Milestones!E7</f>
        <v>46014</v>
      </c>
      <c r="AG34" s="544" t="str">
        <f>+Milestones!F7</f>
        <v>A</v>
      </c>
      <c r="AH34" s="545">
        <f>+Milestones!G7</f>
        <v>0</v>
      </c>
      <c r="AN34" s="436"/>
      <c r="AO34" s="436"/>
      <c r="AP34" s="436"/>
      <c r="AQ34" s="436"/>
      <c r="AR34" s="436"/>
      <c r="AS34" s="436"/>
      <c r="AT34" s="436"/>
      <c r="AU34" s="436"/>
      <c r="AV34" s="436"/>
      <c r="AW34" s="436"/>
      <c r="AX34" s="436"/>
    </row>
    <row r="35" spans="1:50" ht="27" customHeight="1">
      <c r="A35" s="493"/>
      <c r="Z35"/>
      <c r="AA35" s="543">
        <f>+Milestones!A10</f>
        <v>7</v>
      </c>
      <c r="AB35" s="1336" t="str">
        <f>+Milestones!B10</f>
        <v>Complete delivery of all equipment and materials</v>
      </c>
      <c r="AC35" s="1337"/>
      <c r="AD35" s="544">
        <f>+Milestones!C10</f>
        <v>46387</v>
      </c>
      <c r="AE35" s="544">
        <f>+Milestones!D10</f>
        <v>46393</v>
      </c>
      <c r="AF35" s="544">
        <f>+Milestones!E10</f>
        <v>46301</v>
      </c>
      <c r="AG35" s="544" t="str">
        <f>+Milestones!F10</f>
        <v>A</v>
      </c>
      <c r="AH35" s="545">
        <f>+Milestones!G10</f>
        <v>92</v>
      </c>
      <c r="AK35" s="436"/>
      <c r="AL35" s="436"/>
      <c r="AM35" s="436"/>
      <c r="AN35" s="436"/>
      <c r="AO35" s="436"/>
      <c r="AP35" s="436"/>
      <c r="AQ35" s="436"/>
      <c r="AR35" s="436"/>
      <c r="AS35" s="436"/>
      <c r="AT35" s="436"/>
      <c r="AU35" s="436"/>
      <c r="AV35" s="436"/>
      <c r="AW35" s="436"/>
      <c r="AX35" s="436"/>
    </row>
    <row r="36" spans="1:50" ht="27" customHeight="1">
      <c r="A36" s="493"/>
      <c r="Z36"/>
      <c r="AA36" s="543">
        <f>+Milestones!A11</f>
        <v>8</v>
      </c>
      <c r="AB36" s="1336" t="str">
        <f>+Milestones!B11</f>
        <v>Complete Road Works</v>
      </c>
      <c r="AC36" s="1337"/>
      <c r="AD36" s="544">
        <f>+Milestones!C11</f>
        <v>46287</v>
      </c>
      <c r="AE36" s="544">
        <f>+Milestones!D11</f>
        <v>46373</v>
      </c>
      <c r="AF36" s="544">
        <f>+Milestones!E11</f>
        <v>46308</v>
      </c>
      <c r="AG36" s="544" t="str">
        <f>+Milestones!F11</f>
        <v xml:space="preserve"> </v>
      </c>
      <c r="AH36" s="545">
        <f>+Milestones!G11</f>
        <v>65</v>
      </c>
      <c r="AK36" s="436"/>
      <c r="AL36" s="436"/>
      <c r="AM36" s="436"/>
      <c r="AN36" s="436"/>
      <c r="AO36" s="436"/>
      <c r="AP36" s="436"/>
      <c r="AQ36" s="436"/>
      <c r="AR36" s="436"/>
      <c r="AS36" s="436"/>
      <c r="AT36" s="436"/>
      <c r="AU36" s="436"/>
      <c r="AV36" s="436"/>
      <c r="AW36" s="436"/>
      <c r="AX36" s="436"/>
    </row>
    <row r="37" spans="1:50" ht="27" customHeight="1">
      <c r="A37" s="493"/>
      <c r="Z37"/>
      <c r="AA37" s="543">
        <f>+Milestones!A12</f>
        <v>9</v>
      </c>
      <c r="AB37" s="1336" t="str">
        <f>+Milestones!B12</f>
        <v>Complete Electrical – Mv Distribution Network</v>
      </c>
      <c r="AC37" s="1337"/>
      <c r="AD37" s="544">
        <f>+Milestones!C12</f>
        <v>46513</v>
      </c>
      <c r="AE37" s="544">
        <f>+Milestones!D12</f>
        <v>46433</v>
      </c>
      <c r="AF37" s="544">
        <f>+Milestones!E12</f>
        <v>46308</v>
      </c>
      <c r="AG37" s="544" t="str">
        <f>+Milestones!F12</f>
        <v xml:space="preserve"> </v>
      </c>
      <c r="AH37" s="545">
        <f>+Milestones!G12</f>
        <v>125</v>
      </c>
      <c r="AK37" s="436"/>
      <c r="AL37" s="436"/>
      <c r="AM37" s="436"/>
      <c r="AN37" s="436"/>
      <c r="AO37" s="436"/>
      <c r="AP37" s="436"/>
      <c r="AQ37" s="436"/>
      <c r="AR37" s="436"/>
      <c r="AS37" s="436"/>
      <c r="AT37" s="436"/>
      <c r="AU37" s="436"/>
      <c r="AV37" s="436"/>
      <c r="AW37" s="436"/>
      <c r="AX37" s="436"/>
    </row>
    <row r="38" spans="1:50" ht="37.5" customHeight="1">
      <c r="A38" s="493"/>
      <c r="Z38"/>
      <c r="AA38" s="543">
        <f>+Milestones!A13</f>
        <v>10</v>
      </c>
      <c r="AB38" s="1336" t="str">
        <f>+Milestones!B13</f>
        <v>Completion of Potable Water Network</v>
      </c>
      <c r="AC38" s="1337"/>
      <c r="AD38" s="544">
        <f>+Milestones!C13</f>
        <v>46349</v>
      </c>
      <c r="AE38" s="544">
        <f>+Milestones!D13</f>
        <v>46406</v>
      </c>
      <c r="AF38" s="544">
        <f>+Milestones!E13</f>
        <v>46270</v>
      </c>
      <c r="AG38" s="544" t="str">
        <f>+Milestones!F13</f>
        <v>A</v>
      </c>
      <c r="AH38" s="545">
        <f>+Milestones!G13</f>
        <v>136</v>
      </c>
      <c r="AK38" s="436"/>
      <c r="AL38" s="436"/>
      <c r="AM38" s="436"/>
      <c r="AN38" s="436"/>
      <c r="AO38" s="436"/>
      <c r="AP38" s="436"/>
      <c r="AQ38" s="436"/>
      <c r="AR38" s="436"/>
      <c r="AS38" s="436"/>
      <c r="AT38" s="436"/>
      <c r="AU38" s="436"/>
      <c r="AV38" s="436"/>
      <c r="AW38" s="436"/>
      <c r="AX38" s="436"/>
    </row>
    <row r="39" spans="1:50" ht="27" customHeight="1">
      <c r="A39" s="493"/>
      <c r="Z39"/>
      <c r="AA39" s="543">
        <f>+Milestones!A14</f>
        <v>11</v>
      </c>
      <c r="AB39" s="1336" t="str">
        <f>+Milestones!B14</f>
        <v>Complete all Works including Testing &amp; Commissioning, Cleanup, Closeout Documentation and Ready for Initial Handover</v>
      </c>
      <c r="AC39" s="1337"/>
      <c r="AD39" s="544">
        <f>+Milestones!C14</f>
        <v>46530</v>
      </c>
      <c r="AE39" s="544">
        <f>+Milestones!D14</f>
        <v>46539</v>
      </c>
      <c r="AF39" s="544">
        <f>+Milestones!E14</f>
        <v>46393</v>
      </c>
      <c r="AG39" s="544" t="str">
        <f>+Milestones!F14</f>
        <v xml:space="preserve"> </v>
      </c>
      <c r="AH39" s="545">
        <f>+Milestones!G14</f>
        <v>146</v>
      </c>
      <c r="AN39" s="436"/>
      <c r="AO39" s="497"/>
      <c r="AP39" s="436"/>
      <c r="AQ39" s="436"/>
      <c r="AR39" s="436"/>
      <c r="AS39" s="436"/>
      <c r="AT39" s="436"/>
      <c r="AU39" s="436"/>
      <c r="AV39" s="436"/>
      <c r="AW39" s="436"/>
      <c r="AX39" s="436"/>
    </row>
    <row r="40" spans="1:50" ht="27" customHeight="1">
      <c r="A40" s="493"/>
      <c r="Z40"/>
      <c r="AA40" s="543">
        <f>+Milestones!A15</f>
        <v>12</v>
      </c>
      <c r="AB40" s="1336" t="str">
        <f>+Milestones!B15</f>
        <v>Complete Demobilization</v>
      </c>
      <c r="AC40" s="1337"/>
      <c r="AD40" s="544">
        <f>+Milestones!C15</f>
        <v>46530</v>
      </c>
      <c r="AE40" s="544">
        <f>+Milestones!D15</f>
        <v>46552</v>
      </c>
      <c r="AF40" s="544">
        <f>+Milestones!E15</f>
        <v>46406</v>
      </c>
      <c r="AG40" s="544" t="str">
        <f>+Milestones!F15</f>
        <v xml:space="preserve"> </v>
      </c>
      <c r="AH40" s="545">
        <f>+Milestones!G15</f>
        <v>146</v>
      </c>
      <c r="AN40" s="436"/>
      <c r="AO40" s="497"/>
      <c r="AP40" s="436"/>
      <c r="AQ40" s="436"/>
      <c r="AR40" s="436"/>
      <c r="AS40" s="436"/>
      <c r="AT40" s="436"/>
      <c r="AU40" s="436"/>
      <c r="AV40" s="436"/>
      <c r="AW40" s="436"/>
      <c r="AX40" s="436"/>
    </row>
    <row r="41" spans="1:50" ht="14.7" customHeight="1">
      <c r="A41" s="493"/>
      <c r="Z41"/>
      <c r="AA41" s="546"/>
      <c r="AB41" s="547"/>
      <c r="AC41" s="547"/>
      <c r="AD41" s="547"/>
      <c r="AE41" s="547"/>
      <c r="AF41" s="547"/>
      <c r="AG41" s="547"/>
      <c r="AH41" s="548"/>
      <c r="AN41" s="436"/>
      <c r="AO41" s="497"/>
      <c r="AP41" s="436"/>
      <c r="AQ41" s="436"/>
      <c r="AR41" s="436"/>
      <c r="AS41" s="436"/>
      <c r="AT41" s="436"/>
      <c r="AU41" s="436"/>
      <c r="AV41" s="436"/>
      <c r="AW41" s="436"/>
      <c r="AX41" s="436"/>
    </row>
    <row r="42" spans="1:50" s="501" customFormat="1" ht="14.4" customHeight="1">
      <c r="A42" s="500"/>
      <c r="T42" s="314"/>
      <c r="U42" s="314"/>
      <c r="V42" s="314"/>
      <c r="W42" s="314"/>
      <c r="X42" s="314"/>
      <c r="Y42" s="314"/>
      <c r="Z42"/>
      <c r="AA42" s="502"/>
      <c r="AB42" s="498"/>
      <c r="AC42" s="498"/>
      <c r="AD42" s="498"/>
      <c r="AE42" s="498"/>
      <c r="AF42" s="498"/>
      <c r="AG42" s="498"/>
      <c r="AH42" s="499"/>
      <c r="AN42" s="503"/>
      <c r="AO42" s="497"/>
      <c r="AP42" s="504"/>
      <c r="AQ42" s="436"/>
      <c r="AR42" s="436"/>
      <c r="AS42" s="436"/>
      <c r="AT42" s="436"/>
      <c r="AU42" s="436"/>
      <c r="AV42" s="436"/>
      <c r="AW42" s="436"/>
      <c r="AX42" s="436"/>
    </row>
    <row r="43" spans="1:50">
      <c r="A43" s="493"/>
      <c r="Z43"/>
      <c r="AA43" s="502"/>
      <c r="AB43" s="498"/>
      <c r="AC43" s="498"/>
      <c r="AD43" s="498"/>
      <c r="AE43" s="498"/>
      <c r="AF43" s="498"/>
      <c r="AG43" s="498"/>
      <c r="AH43" s="499"/>
      <c r="AN43" s="503"/>
      <c r="AO43" s="497"/>
      <c r="AP43" s="504"/>
      <c r="AQ43" s="436"/>
      <c r="AR43" s="436"/>
      <c r="AS43" s="436"/>
      <c r="AT43" s="436"/>
      <c r="AU43" s="436"/>
      <c r="AV43" s="436"/>
      <c r="AW43" s="436"/>
      <c r="AX43" s="436"/>
    </row>
    <row r="44" spans="1:50">
      <c r="A44" s="493"/>
      <c r="Z44"/>
      <c r="AA44" s="502"/>
      <c r="AB44" s="498"/>
      <c r="AC44" s="498"/>
      <c r="AD44" s="498"/>
      <c r="AE44" s="498"/>
      <c r="AF44" s="498"/>
      <c r="AG44" s="498"/>
      <c r="AH44" s="499"/>
      <c r="AN44" s="505"/>
      <c r="AO44" s="497"/>
      <c r="AP44" s="504"/>
      <c r="AQ44" s="436"/>
      <c r="AR44" s="436"/>
      <c r="AS44" s="436"/>
      <c r="AT44" s="436"/>
      <c r="AU44" s="436"/>
      <c r="AV44" s="436"/>
      <c r="AW44" s="436"/>
      <c r="AX44" s="436"/>
    </row>
    <row r="45" spans="1:50" ht="14.4" customHeight="1">
      <c r="A45" s="493"/>
      <c r="Z45"/>
      <c r="AA45" s="502"/>
      <c r="AB45" s="498"/>
      <c r="AC45" s="498"/>
      <c r="AD45" s="498"/>
      <c r="AE45" s="498"/>
      <c r="AF45" s="498"/>
      <c r="AG45" s="498"/>
      <c r="AH45" s="499"/>
      <c r="AN45" s="436"/>
      <c r="AO45" s="436"/>
      <c r="AP45" s="436"/>
      <c r="AQ45" s="436"/>
      <c r="AR45" s="436"/>
      <c r="AS45" s="436"/>
      <c r="AT45" s="436"/>
      <c r="AU45" s="436"/>
      <c r="AV45" s="436"/>
      <c r="AW45" s="436"/>
      <c r="AX45" s="436"/>
    </row>
    <row r="46" spans="1:50" ht="14.4" customHeight="1">
      <c r="A46" s="493"/>
      <c r="Z46"/>
      <c r="AA46" s="502"/>
      <c r="AB46" s="498"/>
      <c r="AC46" s="498"/>
      <c r="AD46" s="498"/>
      <c r="AE46" s="498"/>
      <c r="AF46" s="498"/>
      <c r="AG46" s="498"/>
      <c r="AH46" s="499"/>
      <c r="AM46" s="492"/>
      <c r="AN46" s="436"/>
      <c r="AO46" s="436"/>
      <c r="AP46" s="436"/>
      <c r="AQ46" s="436"/>
      <c r="AR46" s="436"/>
      <c r="AS46" s="436"/>
      <c r="AT46" s="436"/>
      <c r="AU46" s="436"/>
      <c r="AV46" s="436"/>
      <c r="AW46" s="436"/>
      <c r="AX46" s="436"/>
    </row>
    <row r="47" spans="1:50" ht="14.4" customHeight="1">
      <c r="A47" s="493"/>
      <c r="Z47"/>
      <c r="AA47" s="502"/>
      <c r="AB47" s="498"/>
      <c r="AC47" s="498"/>
      <c r="AD47" s="498"/>
      <c r="AE47" s="498"/>
      <c r="AF47" s="498"/>
      <c r="AG47" s="498"/>
      <c r="AH47" s="499"/>
      <c r="AN47" s="436"/>
      <c r="AO47" s="436"/>
      <c r="AP47" s="436"/>
      <c r="AQ47" s="436"/>
      <c r="AR47" s="436"/>
      <c r="AS47" s="436"/>
      <c r="AT47" s="436"/>
      <c r="AU47" s="436"/>
      <c r="AV47" s="436"/>
      <c r="AW47" s="436"/>
      <c r="AX47" s="436"/>
    </row>
    <row r="48" spans="1:50">
      <c r="A48" s="493"/>
      <c r="Z48"/>
      <c r="AA48" s="502"/>
      <c r="AB48" s="498"/>
      <c r="AC48" s="498"/>
      <c r="AD48" s="498"/>
      <c r="AE48" s="498"/>
      <c r="AF48" s="498"/>
      <c r="AG48" s="498"/>
      <c r="AH48" s="499"/>
      <c r="AN48" s="436"/>
      <c r="AO48" s="436"/>
      <c r="AP48" s="436"/>
      <c r="AQ48" s="436"/>
      <c r="AR48" s="436"/>
      <c r="AS48" s="436"/>
      <c r="AT48" s="436"/>
      <c r="AU48" s="436"/>
      <c r="AV48" s="436"/>
      <c r="AW48" s="436"/>
      <c r="AX48" s="436"/>
    </row>
    <row r="49" spans="1:50" ht="15" customHeight="1">
      <c r="A49" s="493"/>
      <c r="Z49"/>
      <c r="AA49" s="502"/>
      <c r="AB49" s="498"/>
      <c r="AC49" s="498"/>
      <c r="AD49" s="498"/>
      <c r="AE49" s="498"/>
      <c r="AF49" s="498"/>
      <c r="AG49" s="498"/>
      <c r="AH49" s="499"/>
      <c r="AN49" s="436"/>
      <c r="AO49" s="436"/>
      <c r="AP49" s="436"/>
      <c r="AQ49" s="436"/>
      <c r="AR49" s="436"/>
      <c r="AS49" s="436"/>
      <c r="AT49" s="436"/>
      <c r="AU49" s="436"/>
      <c r="AV49" s="436"/>
      <c r="AW49" s="436"/>
      <c r="AX49" s="436"/>
    </row>
    <row r="50" spans="1:50" ht="15" customHeight="1">
      <c r="A50" s="493"/>
      <c r="Z50"/>
      <c r="AA50" s="502"/>
      <c r="AB50" s="498"/>
      <c r="AC50" s="498"/>
      <c r="AD50" s="498"/>
      <c r="AE50" s="498"/>
      <c r="AF50" s="498"/>
      <c r="AG50" s="498"/>
      <c r="AH50" s="499"/>
    </row>
    <row r="51" spans="1:50" ht="15" customHeight="1">
      <c r="A51" s="493"/>
      <c r="Z51"/>
      <c r="AA51" s="502"/>
      <c r="AB51" s="498"/>
      <c r="AC51" s="498"/>
      <c r="AD51" s="498"/>
      <c r="AE51" s="498"/>
      <c r="AF51" s="498"/>
      <c r="AG51" s="498"/>
      <c r="AH51" s="499"/>
    </row>
    <row r="52" spans="1:50" ht="15" customHeight="1">
      <c r="A52" s="493"/>
      <c r="Z52"/>
      <c r="AA52" s="502"/>
      <c r="AB52" s="498"/>
      <c r="AC52" s="498"/>
      <c r="AD52" s="498"/>
      <c r="AE52" s="498"/>
      <c r="AF52" s="498"/>
      <c r="AG52" s="498"/>
      <c r="AH52" s="499"/>
    </row>
    <row r="53" spans="1:50" ht="15" customHeight="1">
      <c r="A53" s="493"/>
      <c r="X53" s="506"/>
      <c r="Z53"/>
      <c r="AA53" s="502"/>
      <c r="AB53" s="498"/>
      <c r="AC53" s="498"/>
      <c r="AD53" s="498"/>
      <c r="AE53" s="498"/>
      <c r="AF53" s="498"/>
      <c r="AG53" s="498"/>
      <c r="AH53" s="499"/>
    </row>
    <row r="54" spans="1:50" ht="4.95" customHeight="1">
      <c r="A54" s="493"/>
      <c r="AA54" s="507"/>
      <c r="AB54" s="508"/>
      <c r="AC54" s="508"/>
      <c r="AD54" s="508"/>
      <c r="AE54" s="508"/>
      <c r="AH54" s="435"/>
      <c r="AJ54" s="314" t="s">
        <v>96</v>
      </c>
    </row>
    <row r="55" spans="1:50" ht="20.100000000000001" customHeight="1">
      <c r="A55" s="493"/>
      <c r="AA55" s="509"/>
      <c r="AB55" s="508"/>
      <c r="AC55" s="508"/>
      <c r="AD55" s="508"/>
      <c r="AE55" s="508"/>
      <c r="AH55" s="435"/>
    </row>
    <row r="56" spans="1:50" s="425" customFormat="1" ht="28.95" customHeight="1" thickBot="1">
      <c r="A56" s="287" t="s">
        <v>97</v>
      </c>
      <c r="B56" s="288"/>
      <c r="C56" s="288"/>
      <c r="D56" s="288"/>
      <c r="E56" s="288"/>
      <c r="F56" s="288"/>
      <c r="G56" s="288"/>
      <c r="H56" s="288"/>
      <c r="I56" s="288"/>
      <c r="J56" s="288"/>
      <c r="K56" s="288"/>
      <c r="L56" s="288"/>
      <c r="M56" s="288"/>
      <c r="N56" s="288"/>
      <c r="O56" s="288"/>
      <c r="P56" s="288"/>
      <c r="Q56" s="288"/>
      <c r="R56" s="288"/>
      <c r="S56" s="288"/>
      <c r="T56" s="288"/>
      <c r="U56" s="288"/>
      <c r="V56" s="288"/>
      <c r="W56" s="288"/>
      <c r="X56" s="288"/>
      <c r="Y56" s="288"/>
      <c r="Z56" s="288"/>
      <c r="AA56" s="288"/>
      <c r="AB56" s="288"/>
      <c r="AC56" s="288"/>
      <c r="AD56" s="288"/>
      <c r="AE56" s="288"/>
      <c r="AF56" s="288"/>
      <c r="AG56" s="288"/>
      <c r="AH56" s="289"/>
      <c r="AM56" s="427"/>
      <c r="AN56" s="427"/>
      <c r="AO56" s="427"/>
      <c r="AP56" s="427"/>
      <c r="AQ56" s="427"/>
      <c r="AR56" s="427"/>
      <c r="AS56" s="427"/>
      <c r="AT56" s="427"/>
      <c r="AU56" s="427"/>
      <c r="AV56" s="427"/>
      <c r="AW56" s="427"/>
    </row>
    <row r="57" spans="1:50" s="399" customFormat="1" ht="19.95" customHeight="1" thickBot="1">
      <c r="A57" s="290" t="s">
        <v>98</v>
      </c>
      <c r="B57" s="291"/>
      <c r="C57" s="291"/>
      <c r="D57" s="291"/>
      <c r="E57" s="291"/>
      <c r="F57" s="291"/>
      <c r="G57" s="291"/>
      <c r="H57" s="291"/>
      <c r="I57" s="291"/>
      <c r="J57" s="291"/>
      <c r="K57" s="291"/>
      <c r="L57" s="292" t="s">
        <v>99</v>
      </c>
      <c r="M57" s="291"/>
      <c r="N57" s="291"/>
      <c r="O57" s="291"/>
      <c r="P57" s="291"/>
      <c r="Q57" s="291"/>
      <c r="R57" s="291"/>
      <c r="S57" s="291"/>
      <c r="T57" s="291"/>
      <c r="U57" s="291"/>
      <c r="V57" s="293"/>
      <c r="W57" s="294" t="s">
        <v>100</v>
      </c>
      <c r="X57" s="294"/>
      <c r="Y57" s="294"/>
      <c r="Z57" s="294"/>
      <c r="AA57" s="294"/>
      <c r="AB57" s="294"/>
      <c r="AC57" s="294"/>
      <c r="AD57" s="294"/>
      <c r="AE57" s="294"/>
      <c r="AF57" s="294"/>
      <c r="AG57" s="294"/>
      <c r="AH57" s="295"/>
      <c r="AI57" s="431"/>
      <c r="AJ57" s="431"/>
      <c r="AK57" s="431"/>
      <c r="AL57" s="431"/>
      <c r="AM57" s="431"/>
      <c r="AN57" s="431"/>
      <c r="AO57" s="431"/>
      <c r="AP57" s="431"/>
      <c r="AQ57" s="431"/>
    </row>
    <row r="58" spans="1:50" s="511" customFormat="1" ht="19.95" customHeight="1" thickBot="1">
      <c r="A58" s="258" t="s">
        <v>101</v>
      </c>
      <c r="B58" s="259"/>
      <c r="C58" s="259"/>
      <c r="D58" s="259"/>
      <c r="E58" s="259"/>
      <c r="F58" s="259"/>
      <c r="G58" s="259"/>
      <c r="H58" s="259"/>
      <c r="I58" s="259"/>
      <c r="J58" s="259"/>
      <c r="K58" s="268"/>
      <c r="L58" s="1455" t="s">
        <v>102</v>
      </c>
      <c r="M58" s="1455"/>
      <c r="N58" s="1455"/>
      <c r="O58" s="1455"/>
      <c r="P58" s="1455"/>
      <c r="Q58" s="1455"/>
      <c r="R58" s="1455"/>
      <c r="S58" s="1455"/>
      <c r="T58" s="1455"/>
      <c r="U58" s="1455"/>
      <c r="V58" s="1456"/>
      <c r="W58" s="269" t="s">
        <v>103</v>
      </c>
      <c r="X58" s="269"/>
      <c r="Y58" s="269"/>
      <c r="Z58" s="269"/>
      <c r="AA58" s="269"/>
      <c r="AB58" s="269"/>
      <c r="AC58" s="269"/>
      <c r="AD58" s="269"/>
      <c r="AE58" s="1345" t="s">
        <v>104</v>
      </c>
      <c r="AF58" s="1345"/>
      <c r="AG58" s="1345"/>
      <c r="AH58" s="1346"/>
      <c r="AI58" s="510"/>
      <c r="AJ58" s="510"/>
      <c r="AK58" s="510"/>
      <c r="AL58" s="510"/>
      <c r="AM58" s="510"/>
      <c r="AN58" s="510"/>
    </row>
    <row r="59" spans="1:50" ht="15.75" customHeight="1">
      <c r="A59" s="1461" t="s">
        <v>105</v>
      </c>
      <c r="B59" s="1462"/>
      <c r="C59" s="1420" t="s">
        <v>88</v>
      </c>
      <c r="D59" s="264" t="s">
        <v>106</v>
      </c>
      <c r="E59" s="265"/>
      <c r="F59" s="265"/>
      <c r="G59" s="265"/>
      <c r="H59" s="266"/>
      <c r="I59" s="1471" t="s">
        <v>107</v>
      </c>
      <c r="J59" s="1471" t="s">
        <v>108</v>
      </c>
      <c r="K59" s="1469" t="s">
        <v>109</v>
      </c>
      <c r="L59" s="1475" t="s">
        <v>102</v>
      </c>
      <c r="M59" s="1476"/>
      <c r="N59" s="1473" t="s">
        <v>110</v>
      </c>
      <c r="O59" s="1480" t="s">
        <v>111</v>
      </c>
      <c r="P59" s="1480" t="s">
        <v>112</v>
      </c>
      <c r="Q59" s="1479" t="s">
        <v>113</v>
      </c>
      <c r="R59" s="1381" t="s">
        <v>108</v>
      </c>
      <c r="S59" s="1382"/>
      <c r="T59" s="1382"/>
      <c r="U59" s="1382"/>
      <c r="V59" s="1382"/>
      <c r="W59" s="1459" t="s">
        <v>114</v>
      </c>
      <c r="X59" s="1393" t="s">
        <v>115</v>
      </c>
      <c r="Y59" s="1394"/>
      <c r="Z59" s="1393" t="s">
        <v>116</v>
      </c>
      <c r="AA59" s="1394"/>
      <c r="AB59" s="1374" t="s">
        <v>117</v>
      </c>
      <c r="AC59" s="1374" t="s">
        <v>118</v>
      </c>
      <c r="AD59" s="1376" t="s">
        <v>119</v>
      </c>
      <c r="AF59"/>
      <c r="AG59"/>
      <c r="AH59" s="296"/>
      <c r="AI59"/>
      <c r="AJ59"/>
      <c r="AK59"/>
      <c r="AL59"/>
    </row>
    <row r="60" spans="1:50" ht="15" customHeight="1">
      <c r="A60" s="1463"/>
      <c r="B60" s="1464"/>
      <c r="C60" s="1421"/>
      <c r="D60" s="267" t="s">
        <v>120</v>
      </c>
      <c r="E60" s="267" t="s">
        <v>121</v>
      </c>
      <c r="F60" s="267" t="s">
        <v>122</v>
      </c>
      <c r="G60" s="267" t="s">
        <v>123</v>
      </c>
      <c r="H60" s="267" t="s">
        <v>124</v>
      </c>
      <c r="I60" s="1472"/>
      <c r="J60" s="1472"/>
      <c r="K60" s="1470"/>
      <c r="L60" s="1477"/>
      <c r="M60" s="1478"/>
      <c r="N60" s="1474"/>
      <c r="O60" s="1481"/>
      <c r="P60" s="1481"/>
      <c r="Q60" s="1386"/>
      <c r="R60" s="1385" t="s">
        <v>125</v>
      </c>
      <c r="S60" s="1385" t="s">
        <v>126</v>
      </c>
      <c r="T60" s="1385" t="s">
        <v>127</v>
      </c>
      <c r="U60" s="1385" t="s">
        <v>128</v>
      </c>
      <c r="V60" s="1383" t="s">
        <v>129</v>
      </c>
      <c r="W60" s="1460"/>
      <c r="X60" s="1457"/>
      <c r="Y60" s="1458"/>
      <c r="Z60" s="1395"/>
      <c r="AA60" s="1396"/>
      <c r="AB60" s="1375"/>
      <c r="AC60" s="1375"/>
      <c r="AD60" s="1377"/>
      <c r="AF60"/>
      <c r="AG60"/>
      <c r="AH60" s="296"/>
      <c r="AI60"/>
      <c r="AJ60"/>
      <c r="AK60"/>
      <c r="AL60"/>
    </row>
    <row r="61" spans="1:50" s="501" customFormat="1" ht="18.600000000000001" customHeight="1">
      <c r="A61" s="1310" t="str">
        <f>'Quality-Stat'!$A$13</f>
        <v>General</v>
      </c>
      <c r="B61" s="1311"/>
      <c r="C61" s="358">
        <f>IF('Quality-Stat'!D13="","",'Quality-Stat'!D13)</f>
        <v>1</v>
      </c>
      <c r="D61" s="358">
        <f>IF('Quality-Stat'!E13="","",'Quality-Stat'!E13)</f>
        <v>0</v>
      </c>
      <c r="E61" s="358">
        <f>IF('Quality-Stat'!F13="","",'Quality-Stat'!F13)</f>
        <v>1</v>
      </c>
      <c r="F61" s="358">
        <f>IF('Quality-Stat'!G13="","",'Quality-Stat'!G13)</f>
        <v>0</v>
      </c>
      <c r="G61" s="358">
        <f>IF('Quality-Stat'!H13="","",'Quality-Stat'!H13)</f>
        <v>0</v>
      </c>
      <c r="H61" s="358">
        <f>IF('Quality-Stat'!I13="","",'Quality-Stat'!I13)</f>
        <v>1</v>
      </c>
      <c r="I61" s="358">
        <f>IF('Quality-Stat'!J13="","",'Quality-Stat'!J13)</f>
        <v>0</v>
      </c>
      <c r="J61" s="358">
        <f>IF('Quality-Stat'!K13="","",'Quality-Stat'!K13)</f>
        <v>0</v>
      </c>
      <c r="K61" s="358">
        <f>IF('Quality-Stat'!L13="","",'Quality-Stat'!L13)</f>
        <v>1</v>
      </c>
      <c r="L61" s="1477"/>
      <c r="M61" s="1478"/>
      <c r="N61" s="1474"/>
      <c r="O61" s="1481"/>
      <c r="P61" s="1481"/>
      <c r="Q61" s="1386"/>
      <c r="R61" s="1386"/>
      <c r="S61" s="1386"/>
      <c r="T61" s="1386"/>
      <c r="U61" s="1386"/>
      <c r="V61" s="1384"/>
      <c r="W61" s="1338" t="s">
        <v>130</v>
      </c>
      <c r="X61" s="1370" t="str">
        <f>'HSE-Stat'!B4</f>
        <v>Total Hours Worked</v>
      </c>
      <c r="Y61" s="1371"/>
      <c r="Z61" s="1360">
        <f>'HSE-Stat'!D4</f>
        <v>11376</v>
      </c>
      <c r="AA61" s="1361"/>
      <c r="AB61" s="297">
        <f>'HSE-Stat'!E4</f>
        <v>22752</v>
      </c>
      <c r="AC61" s="298">
        <f>'HSE-Stat'!F4</f>
        <v>491606</v>
      </c>
      <c r="AD61" s="299">
        <f>'HSE-Stat'!G4</f>
        <v>504766</v>
      </c>
      <c r="AF61"/>
      <c r="AG61" t="s">
        <v>131</v>
      </c>
      <c r="AH61" s="300">
        <f>+SUM(AD72:AD76)</f>
        <v>392</v>
      </c>
      <c r="AI61"/>
      <c r="AJ61"/>
      <c r="AK61"/>
      <c r="AL61"/>
      <c r="AM61"/>
    </row>
    <row r="62" spans="1:50" ht="18.600000000000001" customHeight="1">
      <c r="A62" s="1302" t="str">
        <f>'Quality-Stat'!$A$14</f>
        <v>Road Works</v>
      </c>
      <c r="B62" s="1303"/>
      <c r="C62" s="358">
        <f>IF('Quality-Stat'!D14="","",'Quality-Stat'!D14)</f>
        <v>264</v>
      </c>
      <c r="D62" s="358">
        <f>IF('Quality-Stat'!E14="","",'Quality-Stat'!E14)</f>
        <v>50</v>
      </c>
      <c r="E62" s="358">
        <f>IF('Quality-Stat'!F14="","",'Quality-Stat'!F14)</f>
        <v>210</v>
      </c>
      <c r="F62" s="358">
        <f>IF('Quality-Stat'!G14="","",'Quality-Stat'!G14)</f>
        <v>0</v>
      </c>
      <c r="G62" s="358">
        <f>IF('Quality-Stat'!H14="","",'Quality-Stat'!H14)</f>
        <v>0</v>
      </c>
      <c r="H62" s="358">
        <f>IF('Quality-Stat'!I14="","",'Quality-Stat'!I14)</f>
        <v>264</v>
      </c>
      <c r="I62" s="358">
        <f>IF('Quality-Stat'!J14="","",'Quality-Stat'!J14)</f>
        <v>0</v>
      </c>
      <c r="J62" s="358">
        <f>IF('Quality-Stat'!K14="","",'Quality-Stat'!K14)</f>
        <v>4</v>
      </c>
      <c r="K62" s="358">
        <f>IF('Quality-Stat'!L14="","",'Quality-Stat'!L14)</f>
        <v>264</v>
      </c>
      <c r="L62" s="1414" t="s">
        <v>132</v>
      </c>
      <c r="M62" s="1415"/>
      <c r="N62" s="301">
        <f>'Quality-Stat'!D5</f>
        <v>43</v>
      </c>
      <c r="O62" s="301">
        <f>'Quality-Stat'!E5</f>
        <v>43</v>
      </c>
      <c r="P62" s="301">
        <f>'Quality-Stat'!F5</f>
        <v>0</v>
      </c>
      <c r="Q62" s="301">
        <f>'Quality-Stat'!G5</f>
        <v>0</v>
      </c>
      <c r="R62" s="301">
        <f>'Quality-Stat'!H5</f>
        <v>0</v>
      </c>
      <c r="S62" s="301">
        <f>'Quality-Stat'!I5</f>
        <v>0</v>
      </c>
      <c r="T62" s="301">
        <f>'Quality-Stat'!J5</f>
        <v>0</v>
      </c>
      <c r="U62" s="301">
        <f>'Quality-Stat'!K5</f>
        <v>0</v>
      </c>
      <c r="V62" s="301">
        <f>'Quality-Stat'!L5</f>
        <v>0</v>
      </c>
      <c r="W62" s="1339"/>
      <c r="X62" s="1343" t="str">
        <f>'HSE-Stat'!B5</f>
        <v>Safe Hours Worked</v>
      </c>
      <c r="Y62" s="1344"/>
      <c r="Z62" s="1378">
        <f>'HSE-Stat'!D5</f>
        <v>11376</v>
      </c>
      <c r="AA62" s="1379"/>
      <c r="AB62" s="302">
        <f>'HSE-Stat'!E5</f>
        <v>22752</v>
      </c>
      <c r="AC62" s="303">
        <f>'HSE-Stat'!F5</f>
        <v>491606</v>
      </c>
      <c r="AD62" s="304">
        <f>'HSE-Stat'!G5</f>
        <v>504766</v>
      </c>
      <c r="AF62"/>
      <c r="AG62" t="s">
        <v>133</v>
      </c>
      <c r="AH62" s="300">
        <f>SUM(AD63:AD71)</f>
        <v>0</v>
      </c>
      <c r="AI62"/>
      <c r="AJ62"/>
      <c r="AK62"/>
      <c r="AL62"/>
      <c r="AM62"/>
    </row>
    <row r="63" spans="1:50" ht="18.600000000000001" customHeight="1">
      <c r="A63" s="1302" t="str">
        <f>'Quality-Stat'!$A$15</f>
        <v>Civil</v>
      </c>
      <c r="B63" s="1303"/>
      <c r="C63" s="358">
        <f>IF('Quality-Stat'!D15="","",'Quality-Stat'!D15)</f>
        <v>46</v>
      </c>
      <c r="D63" s="358">
        <f>IF('Quality-Stat'!E15="","",'Quality-Stat'!E15)</f>
        <v>7</v>
      </c>
      <c r="E63" s="358">
        <f>IF('Quality-Stat'!F15="","",'Quality-Stat'!F15)</f>
        <v>39</v>
      </c>
      <c r="F63" s="358">
        <f>IF('Quality-Stat'!G15="","",'Quality-Stat'!G15)</f>
        <v>0</v>
      </c>
      <c r="G63" s="358">
        <f>IF('Quality-Stat'!H15="","",'Quality-Stat'!H15)</f>
        <v>0</v>
      </c>
      <c r="H63" s="358">
        <f>IF('Quality-Stat'!I15="","",'Quality-Stat'!I15)</f>
        <v>46</v>
      </c>
      <c r="I63" s="358">
        <f>IF('Quality-Stat'!J15="","",'Quality-Stat'!J15)</f>
        <v>0</v>
      </c>
      <c r="J63" s="358">
        <f>IF('Quality-Stat'!K15="","",'Quality-Stat'!K15)</f>
        <v>0</v>
      </c>
      <c r="K63" s="358">
        <f>IF('Quality-Stat'!L15="","",'Quality-Stat'!L15)</f>
        <v>46</v>
      </c>
      <c r="L63" s="1312" t="s">
        <v>134</v>
      </c>
      <c r="M63" s="1313"/>
      <c r="N63" s="301">
        <f>'Quality-Stat'!D6</f>
        <v>10</v>
      </c>
      <c r="O63" s="301">
        <f>'Quality-Stat'!E6</f>
        <v>10</v>
      </c>
      <c r="P63" s="301">
        <f>'Quality-Stat'!F6</f>
        <v>0</v>
      </c>
      <c r="Q63" s="301">
        <f>'Quality-Stat'!G6</f>
        <v>0</v>
      </c>
      <c r="R63" s="301">
        <f>'Quality-Stat'!H6</f>
        <v>0</v>
      </c>
      <c r="S63" s="301">
        <f>'Quality-Stat'!I6</f>
        <v>0</v>
      </c>
      <c r="T63" s="301">
        <f>'Quality-Stat'!J6</f>
        <v>0</v>
      </c>
      <c r="U63" s="301">
        <f>'Quality-Stat'!K6</f>
        <v>0</v>
      </c>
      <c r="V63" s="301">
        <f>'Quality-Stat'!L6</f>
        <v>0</v>
      </c>
      <c r="W63" s="1338" t="s">
        <v>133</v>
      </c>
      <c r="X63" s="1343" t="str">
        <f>'HSE-Stat'!B6</f>
        <v>LTI</v>
      </c>
      <c r="Y63" s="1344"/>
      <c r="Z63" s="1378">
        <f>'HSE-Stat'!D6</f>
        <v>0</v>
      </c>
      <c r="AA63" s="1379"/>
      <c r="AB63" s="302">
        <f>'HSE-Stat'!E6</f>
        <v>0</v>
      </c>
      <c r="AC63" s="303">
        <f>'HSE-Stat'!F6</f>
        <v>0</v>
      </c>
      <c r="AD63" s="304">
        <f>'HSE-Stat'!G6</f>
        <v>0</v>
      </c>
      <c r="AF63"/>
      <c r="AG63"/>
      <c r="AH63" s="296"/>
      <c r="AI63"/>
      <c r="AJ63"/>
      <c r="AK63"/>
      <c r="AL63"/>
      <c r="AM63"/>
    </row>
    <row r="64" spans="1:50" ht="18.600000000000001" customHeight="1">
      <c r="A64" s="1302" t="str">
        <f>'Quality-Stat'!$A$16</f>
        <v>Mechanical</v>
      </c>
      <c r="B64" s="1303"/>
      <c r="C64" s="358">
        <f>IF('Quality-Stat'!D16="","",'Quality-Stat'!D16)</f>
        <v>9</v>
      </c>
      <c r="D64" s="358">
        <f>IF('Quality-Stat'!E16="","",'Quality-Stat'!E16)</f>
        <v>0</v>
      </c>
      <c r="E64" s="358">
        <f>IF('Quality-Stat'!F16="","",'Quality-Stat'!F16)</f>
        <v>9</v>
      </c>
      <c r="F64" s="358">
        <f>IF('Quality-Stat'!G16="","",'Quality-Stat'!G16)</f>
        <v>0</v>
      </c>
      <c r="G64" s="358">
        <f>IF('Quality-Stat'!H16="","",'Quality-Stat'!H16)</f>
        <v>0</v>
      </c>
      <c r="H64" s="358">
        <f>IF('Quality-Stat'!I16="","",'Quality-Stat'!I16)</f>
        <v>9</v>
      </c>
      <c r="I64" s="358">
        <f>IF('Quality-Stat'!J16="","",'Quality-Stat'!J16)</f>
        <v>0</v>
      </c>
      <c r="J64" s="358">
        <f>IF('Quality-Stat'!K16="","",'Quality-Stat'!K16)</f>
        <v>0</v>
      </c>
      <c r="K64" s="358">
        <f>IF('Quality-Stat'!L16="","",'Quality-Stat'!L16)</f>
        <v>9</v>
      </c>
      <c r="L64" s="1312" t="s">
        <v>135</v>
      </c>
      <c r="M64" s="1313"/>
      <c r="N64" s="301">
        <f>'Quality-Stat'!D7</f>
        <v>116</v>
      </c>
      <c r="O64" s="301">
        <f>'Quality-Stat'!E7</f>
        <v>116</v>
      </c>
      <c r="P64" s="301">
        <f>'Quality-Stat'!F7</f>
        <v>0</v>
      </c>
      <c r="Q64" s="301">
        <f>'Quality-Stat'!G7</f>
        <v>0</v>
      </c>
      <c r="R64" s="301">
        <f>'Quality-Stat'!H7</f>
        <v>0</v>
      </c>
      <c r="S64" s="301">
        <f>'Quality-Stat'!I7</f>
        <v>0</v>
      </c>
      <c r="T64" s="301">
        <f>'Quality-Stat'!J7</f>
        <v>0</v>
      </c>
      <c r="U64" s="301">
        <f>'Quality-Stat'!K7</f>
        <v>0</v>
      </c>
      <c r="V64" s="301">
        <f>'Quality-Stat'!L7</f>
        <v>0</v>
      </c>
      <c r="W64" s="1339"/>
      <c r="X64" s="1372" t="str">
        <f>'HSE-Stat'!B7</f>
        <v>MTC (Healed w/o Disability)</v>
      </c>
      <c r="Y64" s="1373"/>
      <c r="Z64" s="1378">
        <f>'HSE-Stat'!D7</f>
        <v>0</v>
      </c>
      <c r="AA64" s="1379"/>
      <c r="AB64" s="302">
        <f>'HSE-Stat'!E7</f>
        <v>0</v>
      </c>
      <c r="AC64" s="303">
        <f>'HSE-Stat'!F7</f>
        <v>0</v>
      </c>
      <c r="AD64" s="304">
        <f>'HSE-Stat'!G7</f>
        <v>0</v>
      </c>
      <c r="AF64"/>
      <c r="AG64"/>
      <c r="AH64" s="296"/>
      <c r="AI64"/>
      <c r="AJ64"/>
      <c r="AK64"/>
      <c r="AL64"/>
      <c r="AM64"/>
    </row>
    <row r="65" spans="1:39" ht="18.600000000000001" customHeight="1">
      <c r="A65" s="1304" t="str">
        <f>'Quality-Stat'!$A$17</f>
        <v>Electrical</v>
      </c>
      <c r="B65" s="1305"/>
      <c r="C65" s="358">
        <f>IF('Quality-Stat'!D17="","",'Quality-Stat'!D17)</f>
        <v>73</v>
      </c>
      <c r="D65" s="358">
        <f>IF('Quality-Stat'!E17="","",'Quality-Stat'!E17)</f>
        <v>6</v>
      </c>
      <c r="E65" s="358">
        <f>IF('Quality-Stat'!F17="","",'Quality-Stat'!F17)</f>
        <v>67</v>
      </c>
      <c r="F65" s="358">
        <f>IF('Quality-Stat'!G17="","",'Quality-Stat'!G17)</f>
        <v>0</v>
      </c>
      <c r="G65" s="358">
        <f>IF('Quality-Stat'!H17="","",'Quality-Stat'!H17)</f>
        <v>0</v>
      </c>
      <c r="H65" s="358">
        <f>IF('Quality-Stat'!I17="","",'Quality-Stat'!I17)</f>
        <v>73</v>
      </c>
      <c r="I65" s="358">
        <f>IF('Quality-Stat'!J17="","",'Quality-Stat'!J17)</f>
        <v>0</v>
      </c>
      <c r="J65" s="358">
        <f>IF('Quality-Stat'!K17="","",'Quality-Stat'!K17)</f>
        <v>0</v>
      </c>
      <c r="K65" s="358">
        <f>IF('Quality-Stat'!L17="","",'Quality-Stat'!L17)</f>
        <v>73</v>
      </c>
      <c r="L65" s="1314" t="s">
        <v>136</v>
      </c>
      <c r="M65" s="1315"/>
      <c r="N65" s="301">
        <f>'Quality-Stat'!D8</f>
        <v>1571</v>
      </c>
      <c r="O65" s="301">
        <f>'Quality-Stat'!E8</f>
        <v>1551</v>
      </c>
      <c r="P65" s="301">
        <f>'Quality-Stat'!F8</f>
        <v>20</v>
      </c>
      <c r="Q65" s="301">
        <f>'Quality-Stat'!G8</f>
        <v>0</v>
      </c>
      <c r="R65" s="301">
        <f>'Quality-Stat'!H8</f>
        <v>0</v>
      </c>
      <c r="S65" s="301">
        <f>'Quality-Stat'!I8</f>
        <v>0</v>
      </c>
      <c r="T65" s="301">
        <f>'Quality-Stat'!J8</f>
        <v>0</v>
      </c>
      <c r="U65" s="301">
        <f>'Quality-Stat'!K8</f>
        <v>0</v>
      </c>
      <c r="V65" s="301">
        <f>'Quality-Stat'!L8</f>
        <v>0</v>
      </c>
      <c r="W65" s="1339"/>
      <c r="X65" s="1372" t="str">
        <f>'HSE-Stat'!B8</f>
        <v>MTC (Healed w/ Disability)</v>
      </c>
      <c r="Y65" s="1373"/>
      <c r="Z65" s="1378">
        <f>'HSE-Stat'!D8</f>
        <v>0</v>
      </c>
      <c r="AA65" s="1379"/>
      <c r="AB65" s="302">
        <f>'HSE-Stat'!E8</f>
        <v>0</v>
      </c>
      <c r="AC65" s="303">
        <f>'HSE-Stat'!F8</f>
        <v>0</v>
      </c>
      <c r="AD65" s="304">
        <f>'HSE-Stat'!G8</f>
        <v>0</v>
      </c>
      <c r="AF65"/>
      <c r="AG65"/>
      <c r="AH65" s="296"/>
      <c r="AI65"/>
      <c r="AJ65"/>
      <c r="AK65"/>
      <c r="AL65"/>
      <c r="AM65"/>
    </row>
    <row r="66" spans="1:39" ht="18.600000000000001" customHeight="1" thickBot="1">
      <c r="A66" s="1300" t="s">
        <v>137</v>
      </c>
      <c r="B66" s="1301"/>
      <c r="C66" s="305">
        <f t="shared" ref="C66:K66" si="46">SUM(C61:C65)</f>
        <v>393</v>
      </c>
      <c r="D66" s="305">
        <f t="shared" si="46"/>
        <v>63</v>
      </c>
      <c r="E66" s="305">
        <f t="shared" si="46"/>
        <v>326</v>
      </c>
      <c r="F66" s="305">
        <f t="shared" si="46"/>
        <v>0</v>
      </c>
      <c r="G66" s="305">
        <f t="shared" si="46"/>
        <v>0</v>
      </c>
      <c r="H66" s="305">
        <f t="shared" si="46"/>
        <v>393</v>
      </c>
      <c r="I66" s="305">
        <f t="shared" si="46"/>
        <v>0</v>
      </c>
      <c r="J66" s="305">
        <f t="shared" si="46"/>
        <v>4</v>
      </c>
      <c r="K66" s="305">
        <f t="shared" si="46"/>
        <v>393</v>
      </c>
      <c r="L66" s="306" t="s">
        <v>138</v>
      </c>
      <c r="M66" s="307"/>
      <c r="N66" s="308"/>
      <c r="O66" s="309"/>
      <c r="P66" s="309"/>
      <c r="Q66" s="309"/>
      <c r="R66" s="309"/>
      <c r="S66" s="309"/>
      <c r="T66" s="309"/>
      <c r="U66" s="310"/>
      <c r="V66" s="311"/>
      <c r="W66" s="1339"/>
      <c r="X66" s="1343" t="str">
        <f>'HSE-Stat'!B9</f>
        <v>Near Miss</v>
      </c>
      <c r="Y66" s="1344"/>
      <c r="Z66" s="1378">
        <f>'HSE-Stat'!D9</f>
        <v>0</v>
      </c>
      <c r="AA66" s="1379"/>
      <c r="AB66" s="302">
        <f>'HSE-Stat'!E9</f>
        <v>0</v>
      </c>
      <c r="AC66" s="303">
        <f>'HSE-Stat'!F9</f>
        <v>0</v>
      </c>
      <c r="AD66" s="304">
        <f>'HSE-Stat'!G9</f>
        <v>0</v>
      </c>
      <c r="AF66"/>
      <c r="AG66"/>
      <c r="AH66" s="296"/>
      <c r="AI66"/>
      <c r="AJ66"/>
      <c r="AK66"/>
      <c r="AL66"/>
      <c r="AM66"/>
    </row>
    <row r="67" spans="1:39" ht="15" customHeight="1" thickBot="1">
      <c r="A67" s="258" t="s">
        <v>139</v>
      </c>
      <c r="B67" s="259"/>
      <c r="C67" s="259"/>
      <c r="D67" s="259"/>
      <c r="E67" s="259"/>
      <c r="F67" s="259"/>
      <c r="G67" s="259"/>
      <c r="H67" s="259"/>
      <c r="I67" s="259"/>
      <c r="J67" s="259"/>
      <c r="K67" s="261"/>
      <c r="L67" s="1316" t="s">
        <v>140</v>
      </c>
      <c r="M67" s="1317"/>
      <c r="N67" s="1317"/>
      <c r="O67" s="1327">
        <f>+'General Information'!C27</f>
        <v>46039</v>
      </c>
      <c r="P67" s="1328"/>
      <c r="Q67" s="1387" t="s">
        <v>141</v>
      </c>
      <c r="R67" s="1321"/>
      <c r="S67" s="1321"/>
      <c r="T67" s="1321"/>
      <c r="U67" s="1341">
        <f>'General Information'!C39</f>
        <v>46012</v>
      </c>
      <c r="V67" s="1341"/>
      <c r="W67" s="1339"/>
      <c r="X67" s="1343" t="str">
        <f>'HSE-Stat'!B10</f>
        <v>First Aid Cases</v>
      </c>
      <c r="Y67" s="1344"/>
      <c r="Z67" s="1378">
        <f>'HSE-Stat'!D10</f>
        <v>0</v>
      </c>
      <c r="AA67" s="1379"/>
      <c r="AB67" s="302">
        <f>'HSE-Stat'!E10</f>
        <v>0</v>
      </c>
      <c r="AC67" s="303">
        <f>'HSE-Stat'!F10</f>
        <v>0</v>
      </c>
      <c r="AD67" s="304">
        <f>'HSE-Stat'!G10</f>
        <v>0</v>
      </c>
      <c r="AE67" s="1324" t="s">
        <v>142</v>
      </c>
      <c r="AF67" s="1325"/>
      <c r="AG67" s="1325"/>
      <c r="AH67" s="1326"/>
    </row>
    <row r="68" spans="1:39" ht="15.45" customHeight="1">
      <c r="A68" s="1397" t="s">
        <v>105</v>
      </c>
      <c r="B68" s="1398"/>
      <c r="C68" s="1332" t="s">
        <v>88</v>
      </c>
      <c r="D68" s="262" t="s">
        <v>143</v>
      </c>
      <c r="E68" s="262"/>
      <c r="F68" s="262"/>
      <c r="G68" s="262"/>
      <c r="H68" s="262"/>
      <c r="I68" s="1334" t="s">
        <v>144</v>
      </c>
      <c r="J68" s="1330" t="s">
        <v>108</v>
      </c>
      <c r="K68" s="1318" t="s">
        <v>109</v>
      </c>
      <c r="L68" s="1320" t="s">
        <v>145</v>
      </c>
      <c r="M68" s="1321"/>
      <c r="N68" s="1321"/>
      <c r="O68" s="1329">
        <f>+'General Information'!C28</f>
        <v>1</v>
      </c>
      <c r="P68" s="1329"/>
      <c r="Q68" s="1387" t="s">
        <v>146</v>
      </c>
      <c r="R68" s="1321"/>
      <c r="S68" s="1321"/>
      <c r="T68" s="1321"/>
      <c r="U68" s="1329">
        <f>'General Information'!C40</f>
        <v>1</v>
      </c>
      <c r="V68" s="1329"/>
      <c r="W68" s="1339"/>
      <c r="X68" s="1343" t="str">
        <f>'HSE-Stat'!B11</f>
        <v>Fatality</v>
      </c>
      <c r="Y68" s="1344"/>
      <c r="Z68" s="1378">
        <f>'HSE-Stat'!D11</f>
        <v>0</v>
      </c>
      <c r="AA68" s="1379"/>
      <c r="AB68" s="302">
        <f>'HSE-Stat'!E11</f>
        <v>0</v>
      </c>
      <c r="AC68" s="303">
        <f>'HSE-Stat'!F11</f>
        <v>0</v>
      </c>
      <c r="AD68" s="304">
        <f>'HSE-Stat'!G11</f>
        <v>0</v>
      </c>
      <c r="AE68" s="1324"/>
      <c r="AF68" s="1325"/>
      <c r="AG68" s="1325"/>
      <c r="AH68" s="1326"/>
    </row>
    <row r="69" spans="1:39" ht="15.75" customHeight="1">
      <c r="A69" s="1399"/>
      <c r="B69" s="1400"/>
      <c r="C69" s="1333"/>
      <c r="D69" s="263" t="s">
        <v>120</v>
      </c>
      <c r="E69" s="263" t="s">
        <v>121</v>
      </c>
      <c r="F69" s="263" t="s">
        <v>122</v>
      </c>
      <c r="G69" s="263" t="s">
        <v>123</v>
      </c>
      <c r="H69" s="263" t="s">
        <v>124</v>
      </c>
      <c r="I69" s="1335" t="s">
        <v>147</v>
      </c>
      <c r="J69" s="1331"/>
      <c r="K69" s="1319"/>
      <c r="L69" s="1320" t="s">
        <v>148</v>
      </c>
      <c r="M69" s="1321"/>
      <c r="N69" s="1321"/>
      <c r="O69" s="1327">
        <f>+'General Information'!C31</f>
        <v>46019</v>
      </c>
      <c r="P69" s="1328"/>
      <c r="Q69" s="1387" t="s">
        <v>149</v>
      </c>
      <c r="R69" s="1321"/>
      <c r="S69" s="1321"/>
      <c r="T69" s="1321"/>
      <c r="U69" s="1341">
        <f>'General Information'!C41</f>
        <v>46012</v>
      </c>
      <c r="V69" s="1342"/>
      <c r="W69" s="1339"/>
      <c r="X69" s="1343" t="str">
        <f>'HSE-Stat'!B12</f>
        <v>Fire Incident Cases</v>
      </c>
      <c r="Y69" s="1344"/>
      <c r="Z69" s="1378">
        <f>'HSE-Stat'!D12</f>
        <v>0</v>
      </c>
      <c r="AA69" s="1379"/>
      <c r="AB69" s="302">
        <f>'HSE-Stat'!E12</f>
        <v>0</v>
      </c>
      <c r="AC69" s="303">
        <f>'HSE-Stat'!F12</f>
        <v>0</v>
      </c>
      <c r="AD69" s="304">
        <f>'HSE-Stat'!G12</f>
        <v>0</v>
      </c>
      <c r="AF69"/>
      <c r="AG69"/>
      <c r="AH69" s="296"/>
    </row>
    <row r="70" spans="1:39" ht="18.600000000000001" customHeight="1">
      <c r="A70" s="1306" t="str">
        <f>'Quality-Stat'!$A$31</f>
        <v>General</v>
      </c>
      <c r="B70" s="1307"/>
      <c r="C70" s="358">
        <f>IF('Quality-Stat'!D31="","",'Quality-Stat'!D31)</f>
        <v>0</v>
      </c>
      <c r="D70" s="358">
        <f>IF('Quality-Stat'!E31="","",'Quality-Stat'!E31)</f>
        <v>0</v>
      </c>
      <c r="E70" s="358">
        <f>IF('Quality-Stat'!F31="","",'Quality-Stat'!F31)</f>
        <v>0</v>
      </c>
      <c r="F70" s="358">
        <f>IF('Quality-Stat'!G31="","",'Quality-Stat'!G31)</f>
        <v>0</v>
      </c>
      <c r="G70" s="358">
        <f>IF('Quality-Stat'!H31="","",'Quality-Stat'!H31)</f>
        <v>0</v>
      </c>
      <c r="H70" s="358">
        <f>IF('Quality-Stat'!I31="","",'Quality-Stat'!I31)</f>
        <v>0</v>
      </c>
      <c r="I70" s="358">
        <f>IF('Quality-Stat'!J31="","",'Quality-Stat'!J31)</f>
        <v>0</v>
      </c>
      <c r="J70" s="358">
        <f>IF('Quality-Stat'!K31="","",'Quality-Stat'!K31)</f>
        <v>0</v>
      </c>
      <c r="K70" s="358">
        <f>IF('Quality-Stat'!L31="","",'Quality-Stat'!L31)</f>
        <v>0</v>
      </c>
      <c r="L70" s="1320" t="s">
        <v>150</v>
      </c>
      <c r="M70" s="1321"/>
      <c r="N70" s="1321"/>
      <c r="O70" s="1329">
        <f>+'General Information'!C32</f>
        <v>1</v>
      </c>
      <c r="P70" s="1329"/>
      <c r="Q70" s="1387" t="s">
        <v>151</v>
      </c>
      <c r="R70" s="1321"/>
      <c r="S70" s="1321"/>
      <c r="T70" s="1321"/>
      <c r="U70" s="1341">
        <f>+'General Information'!C44</f>
        <v>45985</v>
      </c>
      <c r="V70" s="1342"/>
      <c r="W70" s="1339"/>
      <c r="X70" s="1343" t="str">
        <f>'HSE-Stat'!B13</f>
        <v>Vehicle Incident</v>
      </c>
      <c r="Y70" s="1344"/>
      <c r="Z70" s="1378">
        <f>'HSE-Stat'!D13</f>
        <v>0</v>
      </c>
      <c r="AA70" s="1379"/>
      <c r="AB70" s="302">
        <f>'HSE-Stat'!E13</f>
        <v>0</v>
      </c>
      <c r="AC70" s="303">
        <f>'HSE-Stat'!F13</f>
        <v>0</v>
      </c>
      <c r="AD70" s="304">
        <f>'HSE-Stat'!G13</f>
        <v>0</v>
      </c>
      <c r="AF70"/>
      <c r="AG70"/>
      <c r="AH70" s="296"/>
    </row>
    <row r="71" spans="1:39" ht="18.600000000000001" customHeight="1">
      <c r="A71" s="1308" t="str">
        <f>'Quality-Stat'!$A$32</f>
        <v>Road Works</v>
      </c>
      <c r="B71" s="1309"/>
      <c r="C71" s="358">
        <f>IF('Quality-Stat'!D32="","",'Quality-Stat'!D32)</f>
        <v>0</v>
      </c>
      <c r="D71" s="358">
        <f>IF('Quality-Stat'!E32="","",'Quality-Stat'!E32)</f>
        <v>0</v>
      </c>
      <c r="E71" s="358">
        <f>IF('Quality-Stat'!F32="","",'Quality-Stat'!F32)</f>
        <v>0</v>
      </c>
      <c r="F71" s="358">
        <f>IF('Quality-Stat'!G32="","",'Quality-Stat'!G32)</f>
        <v>0</v>
      </c>
      <c r="G71" s="358">
        <f>IF('Quality-Stat'!H32="","",'Quality-Stat'!H32)</f>
        <v>0</v>
      </c>
      <c r="H71" s="358">
        <f>IF('Quality-Stat'!I32="","",'Quality-Stat'!I32)</f>
        <v>0</v>
      </c>
      <c r="I71" s="358">
        <f>IF('Quality-Stat'!J32="","",'Quality-Stat'!J32)</f>
        <v>0</v>
      </c>
      <c r="J71" s="358">
        <f>IF('Quality-Stat'!K32="","",'Quality-Stat'!K32)</f>
        <v>0</v>
      </c>
      <c r="K71" s="358">
        <f>IF('Quality-Stat'!L32="","",'Quality-Stat'!L32)</f>
        <v>0</v>
      </c>
      <c r="L71" s="1320" t="s">
        <v>1140</v>
      </c>
      <c r="M71" s="1321"/>
      <c r="N71" s="1321"/>
      <c r="O71" s="1327">
        <f>+'General Information'!C48</f>
        <v>46034</v>
      </c>
      <c r="P71" s="1328"/>
      <c r="Q71" s="1387" t="s">
        <v>152</v>
      </c>
      <c r="R71" s="1321"/>
      <c r="S71" s="1321"/>
      <c r="T71" s="1321"/>
      <c r="U71" s="1329">
        <f>'General Information'!C45</f>
        <v>1</v>
      </c>
      <c r="V71" s="1329"/>
      <c r="W71" s="1340"/>
      <c r="X71" s="1343" t="str">
        <f>'HSE-Stat'!B14</f>
        <v>Property Damages</v>
      </c>
      <c r="Y71" s="1344"/>
      <c r="Z71" s="1378">
        <f>'HSE-Stat'!D14</f>
        <v>0</v>
      </c>
      <c r="AA71" s="1379"/>
      <c r="AB71" s="302">
        <f>'HSE-Stat'!E14</f>
        <v>0</v>
      </c>
      <c r="AC71" s="303">
        <f>'HSE-Stat'!F14</f>
        <v>0</v>
      </c>
      <c r="AD71" s="304">
        <f>'HSE-Stat'!G14</f>
        <v>0</v>
      </c>
      <c r="AF71"/>
      <c r="AG71"/>
      <c r="AH71" s="296"/>
    </row>
    <row r="72" spans="1:39" ht="18.600000000000001" customHeight="1">
      <c r="A72" s="1308" t="str">
        <f>'Quality-Stat'!$A$33</f>
        <v>Civil</v>
      </c>
      <c r="B72" s="1309"/>
      <c r="C72" s="358">
        <f>IF('Quality-Stat'!D33="","",'Quality-Stat'!D33)</f>
        <v>54</v>
      </c>
      <c r="D72" s="358">
        <f>IF('Quality-Stat'!E33="","",'Quality-Stat'!E33)</f>
        <v>54</v>
      </c>
      <c r="E72" s="358">
        <f>IF('Quality-Stat'!F33="","",'Quality-Stat'!F33)</f>
        <v>0</v>
      </c>
      <c r="F72" s="358">
        <f>IF('Quality-Stat'!G33="","",'Quality-Stat'!G33)</f>
        <v>0</v>
      </c>
      <c r="G72" s="358" t="str">
        <f>IF('Quality-Stat'!H33="","",'Quality-Stat'!H33)</f>
        <v/>
      </c>
      <c r="H72" s="358">
        <f>IF('Quality-Stat'!I33="","",'Quality-Stat'!I33)</f>
        <v>54</v>
      </c>
      <c r="I72" s="358">
        <f>IF('Quality-Stat'!J33="","",'Quality-Stat'!J33)</f>
        <v>0</v>
      </c>
      <c r="J72" s="358">
        <f>IF('Quality-Stat'!K33="","",'Quality-Stat'!K33)</f>
        <v>0</v>
      </c>
      <c r="K72" s="358">
        <f>IF('Quality-Stat'!L33="","",'Quality-Stat'!L33)</f>
        <v>54</v>
      </c>
      <c r="L72" s="1388" t="s">
        <v>153</v>
      </c>
      <c r="M72" s="1389"/>
      <c r="N72" s="1389"/>
      <c r="O72" s="1389"/>
      <c r="P72" s="1389"/>
      <c r="Q72" s="1389"/>
      <c r="R72" s="1389"/>
      <c r="S72" s="1389"/>
      <c r="T72" s="1389"/>
      <c r="U72" s="1389"/>
      <c r="V72" s="1390"/>
      <c r="W72" s="1338" t="s">
        <v>131</v>
      </c>
      <c r="X72" s="1343" t="str">
        <f>'HSE-Stat'!B15</f>
        <v xml:space="preserve">Induction Training </v>
      </c>
      <c r="Y72" s="1344"/>
      <c r="Z72" s="1378">
        <f>'HSE-Stat'!D15</f>
        <v>0</v>
      </c>
      <c r="AA72" s="1379"/>
      <c r="AB72" s="302">
        <f>'HSE-Stat'!E15</f>
        <v>0</v>
      </c>
      <c r="AC72" s="303">
        <f>'HSE-Stat'!F15</f>
        <v>69</v>
      </c>
      <c r="AD72" s="304">
        <f>'HSE-Stat'!G15</f>
        <v>80</v>
      </c>
      <c r="AF72"/>
      <c r="AG72"/>
      <c r="AH72" s="296"/>
    </row>
    <row r="73" spans="1:39" ht="18.600000000000001" customHeight="1" thickBot="1">
      <c r="A73" s="1308" t="str">
        <f>'Quality-Stat'!$A$34</f>
        <v>Mechanical</v>
      </c>
      <c r="B73" s="1309"/>
      <c r="C73" s="358">
        <f>IF('Quality-Stat'!D34="","",'Quality-Stat'!D34)</f>
        <v>59</v>
      </c>
      <c r="D73" s="358">
        <f>IF('Quality-Stat'!E34="","",'Quality-Stat'!E34)</f>
        <v>55</v>
      </c>
      <c r="E73" s="358">
        <f>IF('Quality-Stat'!F34="","",'Quality-Stat'!F34)</f>
        <v>4</v>
      </c>
      <c r="F73" s="358">
        <f>IF('Quality-Stat'!G34="","",'Quality-Stat'!G34)</f>
        <v>0</v>
      </c>
      <c r="G73" s="358">
        <f>IF('Quality-Stat'!H34="","",'Quality-Stat'!H34)</f>
        <v>0</v>
      </c>
      <c r="H73" s="358">
        <f>IF('Quality-Stat'!I34="","",'Quality-Stat'!I34)</f>
        <v>59</v>
      </c>
      <c r="I73" s="358">
        <f>IF('Quality-Stat'!J34="","",'Quality-Stat'!J34)</f>
        <v>0</v>
      </c>
      <c r="J73" s="358">
        <f>IF('Quality-Stat'!K34="","",'Quality-Stat'!K34)</f>
        <v>0</v>
      </c>
      <c r="K73" s="358">
        <f>IF('Quality-Stat'!L34="","",'Quality-Stat'!L34)</f>
        <v>59</v>
      </c>
      <c r="L73" s="1299" t="s">
        <v>154</v>
      </c>
      <c r="M73" s="1299"/>
      <c r="N73" s="312">
        <f>'Invoice Log'!U3</f>
        <v>8</v>
      </c>
      <c r="O73" s="1391" t="s">
        <v>155</v>
      </c>
      <c r="P73" s="1392"/>
      <c r="Q73" s="1392"/>
      <c r="R73" s="313">
        <f>'Invoice Log'!Y3</f>
        <v>40499983.457999997</v>
      </c>
      <c r="T73" s="315" t="s">
        <v>156</v>
      </c>
      <c r="U73" s="316">
        <f>O4</f>
        <v>57304347.860000007</v>
      </c>
      <c r="V73" s="317"/>
      <c r="W73" s="1339"/>
      <c r="X73" s="1343" t="str">
        <f>'HSE-Stat'!B16</f>
        <v>No.of Internal Training</v>
      </c>
      <c r="Y73" s="1344"/>
      <c r="Z73" s="1378">
        <f>'HSE-Stat'!D16</f>
        <v>5</v>
      </c>
      <c r="AA73" s="1379"/>
      <c r="AB73" s="302">
        <f>'HSE-Stat'!E16</f>
        <v>12</v>
      </c>
      <c r="AC73" s="303">
        <f>'HSE-Stat'!F16</f>
        <v>264</v>
      </c>
      <c r="AD73" s="304">
        <f>'HSE-Stat'!G16</f>
        <v>269</v>
      </c>
      <c r="AF73"/>
      <c r="AG73"/>
      <c r="AH73" s="296"/>
    </row>
    <row r="74" spans="1:39" ht="18.600000000000001" customHeight="1" thickBot="1">
      <c r="A74" s="1357" t="str">
        <f>'Quality-Stat'!$A$35</f>
        <v>Electrical</v>
      </c>
      <c r="B74" s="1358"/>
      <c r="C74" s="358">
        <f>IF('Quality-Stat'!D35="","",'Quality-Stat'!D35)</f>
        <v>33</v>
      </c>
      <c r="D74" s="358">
        <f>IF('Quality-Stat'!E35="","",'Quality-Stat'!E35)</f>
        <v>0</v>
      </c>
      <c r="E74" s="358">
        <f>IF('Quality-Stat'!F35="","",'Quality-Stat'!F35)</f>
        <v>33</v>
      </c>
      <c r="F74" s="358">
        <f>IF('Quality-Stat'!G35="","",'Quality-Stat'!G35)</f>
        <v>0</v>
      </c>
      <c r="G74" s="358">
        <f>IF('Quality-Stat'!H35="","",'Quality-Stat'!H35)</f>
        <v>0</v>
      </c>
      <c r="H74" s="358">
        <f>IF('Quality-Stat'!I35="","",'Quality-Stat'!I35)</f>
        <v>33</v>
      </c>
      <c r="I74" s="358">
        <f>IF('Quality-Stat'!J35="","",'Quality-Stat'!J35)</f>
        <v>0</v>
      </c>
      <c r="J74" s="358">
        <f>IF('Quality-Stat'!K35="","",'Quality-Stat'!K35)</f>
        <v>0</v>
      </c>
      <c r="K74" s="358">
        <f>IF('Quality-Stat'!L35="","",'Quality-Stat'!L35)</f>
        <v>33</v>
      </c>
      <c r="L74" s="1299" t="s">
        <v>157</v>
      </c>
      <c r="M74" s="1299"/>
      <c r="N74" s="312">
        <f>'Invoice Log'!U5</f>
        <v>7</v>
      </c>
      <c r="O74" s="1391" t="s">
        <v>158</v>
      </c>
      <c r="P74" s="1392"/>
      <c r="Q74" s="1392"/>
      <c r="R74" s="318">
        <f>'Invoice Log'!Y5</f>
        <v>33617268.486999996</v>
      </c>
      <c r="T74" s="314" t="s">
        <v>159</v>
      </c>
      <c r="U74" s="319">
        <f>H28</f>
        <v>34293976.350000001</v>
      </c>
      <c r="V74" s="320"/>
      <c r="W74" s="1339"/>
      <c r="X74" s="1343" t="str">
        <f>'HSE-Stat'!B17</f>
        <v>No.of Internal Audit</v>
      </c>
      <c r="Y74" s="1344"/>
      <c r="Z74" s="1378">
        <f>'HSE-Stat'!D17</f>
        <v>0</v>
      </c>
      <c r="AA74" s="1379"/>
      <c r="AB74" s="302">
        <f>'HSE-Stat'!E17</f>
        <v>0</v>
      </c>
      <c r="AC74" s="303">
        <f>'HSE-Stat'!F17</f>
        <v>0</v>
      </c>
      <c r="AD74" s="304">
        <f>'HSE-Stat'!G17</f>
        <v>0</v>
      </c>
      <c r="AF74"/>
      <c r="AG74"/>
      <c r="AH74" s="296"/>
    </row>
    <row r="75" spans="1:39" ht="18.600000000000001" customHeight="1" thickBot="1">
      <c r="A75" s="1300" t="s">
        <v>137</v>
      </c>
      <c r="B75" s="1301"/>
      <c r="C75" s="321">
        <f t="shared" ref="C75:K75" si="47">SUM(C70:C74)</f>
        <v>146</v>
      </c>
      <c r="D75" s="321">
        <f t="shared" si="47"/>
        <v>109</v>
      </c>
      <c r="E75" s="321">
        <f t="shared" si="47"/>
        <v>37</v>
      </c>
      <c r="F75" s="321">
        <f t="shared" si="47"/>
        <v>0</v>
      </c>
      <c r="G75" s="321">
        <f t="shared" si="47"/>
        <v>0</v>
      </c>
      <c r="H75" s="321">
        <f t="shared" si="47"/>
        <v>146</v>
      </c>
      <c r="I75" s="321">
        <f t="shared" si="47"/>
        <v>0</v>
      </c>
      <c r="J75" s="321">
        <f t="shared" si="47"/>
        <v>0</v>
      </c>
      <c r="K75" s="322">
        <f t="shared" si="47"/>
        <v>146</v>
      </c>
      <c r="L75" s="1298" t="s">
        <v>160</v>
      </c>
      <c r="M75" s="1299"/>
      <c r="N75" s="312">
        <f>'Invoice Log'!U6</f>
        <v>3</v>
      </c>
      <c r="O75" s="1391" t="s">
        <v>161</v>
      </c>
      <c r="P75" s="1392"/>
      <c r="Q75" s="1392"/>
      <c r="R75" s="318">
        <f>'Invoice Log'!Y6</f>
        <v>27469388.637499999</v>
      </c>
      <c r="T75" s="323" t="s">
        <v>162</v>
      </c>
      <c r="U75" s="319">
        <f>I28</f>
        <v>53468556.349999994</v>
      </c>
      <c r="V75" s="320"/>
      <c r="W75" s="1339"/>
      <c r="X75" s="1343" t="str">
        <f>'HSE-Stat'!B18</f>
        <v>No. of Toolbox Talks</v>
      </c>
      <c r="Y75" s="1344"/>
      <c r="Z75" s="1378">
        <f>'HSE-Stat'!D18</f>
        <v>1</v>
      </c>
      <c r="AA75" s="1379"/>
      <c r="AB75" s="302">
        <f>'HSE-Stat'!E18</f>
        <v>2</v>
      </c>
      <c r="AC75" s="303">
        <f>'HSE-Stat'!F18</f>
        <v>42</v>
      </c>
      <c r="AD75" s="304">
        <f>'HSE-Stat'!G18</f>
        <v>43</v>
      </c>
      <c r="AF75"/>
      <c r="AG75"/>
      <c r="AH75" s="296"/>
    </row>
    <row r="76" spans="1:39" ht="14.4" customHeight="1" thickBot="1">
      <c r="A76" s="258" t="s">
        <v>163</v>
      </c>
      <c r="B76" s="259"/>
      <c r="C76" s="259"/>
      <c r="D76" s="259"/>
      <c r="E76" s="259"/>
      <c r="F76" s="259"/>
      <c r="G76" s="259"/>
      <c r="H76" s="259"/>
      <c r="I76" s="259"/>
      <c r="J76" s="259"/>
      <c r="K76" s="260"/>
      <c r="L76" s="1299" t="s">
        <v>164</v>
      </c>
      <c r="M76" s="1299"/>
      <c r="N76" s="312">
        <f>N74-N75</f>
        <v>4</v>
      </c>
      <c r="O76" s="1391" t="s">
        <v>165</v>
      </c>
      <c r="P76" s="1392"/>
      <c r="Q76" s="1392"/>
      <c r="R76" s="324"/>
      <c r="T76" s="323" t="s">
        <v>166</v>
      </c>
      <c r="U76" s="325">
        <f>R73</f>
        <v>40499983.457999997</v>
      </c>
      <c r="V76" s="326"/>
      <c r="W76" s="1359"/>
      <c r="X76" s="1368" t="str">
        <f>'HSE-Stat'!B19</f>
        <v>Safety Awards/Incentives</v>
      </c>
      <c r="Y76" s="1369"/>
      <c r="Z76" s="1538">
        <f>'HSE-Stat'!D19</f>
        <v>0</v>
      </c>
      <c r="AA76" s="1539"/>
      <c r="AB76" s="327">
        <f>'HSE-Stat'!E19</f>
        <v>0</v>
      </c>
      <c r="AC76" s="328">
        <f>'HSE-Stat'!F19</f>
        <v>0</v>
      </c>
      <c r="AD76" s="329">
        <f>'HSE-Stat'!G19</f>
        <v>0</v>
      </c>
      <c r="AF76"/>
      <c r="AG76"/>
      <c r="AH76" s="296"/>
    </row>
    <row r="77" spans="1:39" ht="14.4" customHeight="1" thickBot="1">
      <c r="A77" s="1522" t="s">
        <v>105</v>
      </c>
      <c r="B77" s="1523"/>
      <c r="C77" s="1355" t="s">
        <v>167</v>
      </c>
      <c r="D77" s="1355" t="s">
        <v>168</v>
      </c>
      <c r="E77" s="1355" t="s">
        <v>169</v>
      </c>
      <c r="F77" s="1355" t="s">
        <v>170</v>
      </c>
      <c r="G77" s="1355" t="s">
        <v>171</v>
      </c>
      <c r="H77" s="1355" t="s">
        <v>172</v>
      </c>
      <c r="I77" s="1412" t="s">
        <v>173</v>
      </c>
      <c r="J77" s="1412"/>
      <c r="K77" s="1412"/>
      <c r="L77" s="1299" t="s">
        <v>174</v>
      </c>
      <c r="M77" s="1299"/>
      <c r="N77" s="330">
        <f>'Invoice Log'!M3</f>
        <v>0</v>
      </c>
      <c r="O77" s="1391" t="s">
        <v>175</v>
      </c>
      <c r="P77" s="1392"/>
      <c r="Q77" s="1392"/>
      <c r="R77" s="318">
        <f>'Invoice Log'!Q3</f>
        <v>0</v>
      </c>
      <c r="T77" s="323" t="s">
        <v>176</v>
      </c>
      <c r="U77" s="325">
        <f>R74</f>
        <v>33617268.486999996</v>
      </c>
      <c r="V77" s="331"/>
      <c r="W77" s="1529" t="s">
        <v>177</v>
      </c>
      <c r="X77" s="1530"/>
      <c r="Y77" s="1530"/>
      <c r="Z77" s="1530"/>
      <c r="AA77" s="1530"/>
      <c r="AB77" s="1530"/>
      <c r="AC77" s="1530"/>
      <c r="AD77" s="1530"/>
      <c r="AE77" s="1530"/>
      <c r="AF77" s="1530"/>
      <c r="AG77" s="1530"/>
      <c r="AH77" s="1531"/>
    </row>
    <row r="78" spans="1:39" ht="14.4" customHeight="1" thickBot="1">
      <c r="A78" s="1524"/>
      <c r="B78" s="1525"/>
      <c r="C78" s="1356"/>
      <c r="D78" s="1356" t="s">
        <v>120</v>
      </c>
      <c r="E78" s="1356" t="s">
        <v>121</v>
      </c>
      <c r="F78" s="1356" t="s">
        <v>122</v>
      </c>
      <c r="G78" s="1356" t="s">
        <v>123</v>
      </c>
      <c r="H78" s="1356" t="s">
        <v>124</v>
      </c>
      <c r="I78" s="1413"/>
      <c r="J78" s="1413"/>
      <c r="K78" s="1413"/>
      <c r="L78" s="1299" t="s">
        <v>178</v>
      </c>
      <c r="M78" s="1299"/>
      <c r="N78" s="330">
        <f>'Invoice Log'!M4</f>
        <v>0</v>
      </c>
      <c r="O78" s="1391" t="s">
        <v>179</v>
      </c>
      <c r="P78" s="1392"/>
      <c r="Q78" s="1392"/>
      <c r="R78" s="318">
        <f>'Invoice Log'!Q4</f>
        <v>0</v>
      </c>
      <c r="T78" s="323" t="s">
        <v>180</v>
      </c>
      <c r="U78" s="325">
        <f>R75</f>
        <v>27469388.637499999</v>
      </c>
      <c r="V78" s="331"/>
      <c r="W78" s="1532"/>
      <c r="X78" s="1533"/>
      <c r="Y78" s="1533"/>
      <c r="Z78" s="1533"/>
      <c r="AA78" s="1533"/>
      <c r="AB78" s="1533"/>
      <c r="AC78" s="1533"/>
      <c r="AD78" s="1533"/>
      <c r="AE78" s="1533"/>
      <c r="AF78" s="1533"/>
      <c r="AG78" s="1533"/>
      <c r="AH78" s="1534"/>
    </row>
    <row r="79" spans="1:39" ht="18.600000000000001" customHeight="1" thickBot="1">
      <c r="A79" s="1306" t="str">
        <f>'Quality-Stat'!$A$41</f>
        <v>General</v>
      </c>
      <c r="B79" s="1307"/>
      <c r="C79" s="358">
        <f>IF('Quality-Stat'!D41="","",'Quality-Stat'!D41)</f>
        <v>0</v>
      </c>
      <c r="D79" s="358">
        <f>IF('Quality-Stat'!E41="","",'Quality-Stat'!E41)</f>
        <v>0</v>
      </c>
      <c r="E79" s="358" t="str">
        <f>IF('Quality-Stat'!F41="","",'Quality-Stat'!F41)</f>
        <v/>
      </c>
      <c r="F79" s="358">
        <f>IF('Quality-Stat'!G41="","",'Quality-Stat'!G41)</f>
        <v>0</v>
      </c>
      <c r="G79" s="358">
        <f>IF('Quality-Stat'!H41="","",'Quality-Stat'!H41)</f>
        <v>0</v>
      </c>
      <c r="H79" s="358">
        <f>IF('Quality-Stat'!I41="","",'Quality-Stat'!I41)</f>
        <v>0</v>
      </c>
      <c r="I79" s="1347">
        <f>'Quality-Stat'!J41</f>
        <v>46081</v>
      </c>
      <c r="J79" s="1347"/>
      <c r="K79" s="1348"/>
      <c r="L79" s="1299" t="s">
        <v>181</v>
      </c>
      <c r="M79" s="1299"/>
      <c r="N79" s="332">
        <f>'Invoice Log'!M5</f>
        <v>0</v>
      </c>
      <c r="O79" s="1391" t="s">
        <v>182</v>
      </c>
      <c r="P79" s="1392"/>
      <c r="Q79" s="1392"/>
      <c r="R79" s="333">
        <f>'Invoice Log'!M6</f>
        <v>0</v>
      </c>
      <c r="S79" s="334"/>
      <c r="T79" s="335"/>
      <c r="U79" s="336"/>
      <c r="V79" s="337"/>
      <c r="W79" s="1535" t="s">
        <v>183</v>
      </c>
      <c r="X79" s="1486" t="s">
        <v>184</v>
      </c>
      <c r="Y79" s="1556" t="s">
        <v>185</v>
      </c>
      <c r="Z79" s="1556"/>
      <c r="AA79" s="1556"/>
      <c r="AB79" s="1556"/>
      <c r="AC79" s="1556"/>
      <c r="AD79" s="1486" t="s">
        <v>50</v>
      </c>
      <c r="AE79" s="1486" t="s">
        <v>186</v>
      </c>
      <c r="AF79" s="1486" t="s">
        <v>187</v>
      </c>
      <c r="AG79" s="1486" t="s">
        <v>188</v>
      </c>
      <c r="AH79" s="1488" t="s">
        <v>189</v>
      </c>
    </row>
    <row r="80" spans="1:39" ht="18.600000000000001" customHeight="1">
      <c r="A80" s="1308" t="str">
        <f>'Quality-Stat'!$A$42</f>
        <v>Road Works</v>
      </c>
      <c r="B80" s="1309"/>
      <c r="C80" s="358">
        <f>IF('Quality-Stat'!D42="","",'Quality-Stat'!D42)</f>
        <v>0</v>
      </c>
      <c r="D80" s="358">
        <f>IF('Quality-Stat'!E42="","",'Quality-Stat'!E42)</f>
        <v>0</v>
      </c>
      <c r="E80" s="358" t="str">
        <f>IF('Quality-Stat'!F42="","",'Quality-Stat'!F42)</f>
        <v/>
      </c>
      <c r="F80" s="358">
        <f>IF('Quality-Stat'!G42="","",'Quality-Stat'!G42)</f>
        <v>0</v>
      </c>
      <c r="G80" s="358">
        <f>IF('Quality-Stat'!H42="","",'Quality-Stat'!H42)</f>
        <v>0</v>
      </c>
      <c r="H80" s="358">
        <f>IF('Quality-Stat'!I42="","",'Quality-Stat'!I42)</f>
        <v>0</v>
      </c>
      <c r="I80" s="1347">
        <f>'Quality-Stat'!J42</f>
        <v>46081</v>
      </c>
      <c r="J80" s="1347"/>
      <c r="K80" s="1348"/>
      <c r="L80" s="1528" t="s">
        <v>190</v>
      </c>
      <c r="M80" s="1528"/>
      <c r="N80" s="1528"/>
      <c r="O80" s="1528"/>
      <c r="P80" s="1528"/>
      <c r="Q80" s="1528"/>
      <c r="R80" s="1528"/>
      <c r="S80" s="1528"/>
      <c r="T80" s="1528"/>
      <c r="U80" s="1528"/>
      <c r="V80" s="1528"/>
      <c r="W80" s="1536"/>
      <c r="X80" s="1487"/>
      <c r="Y80" s="1487"/>
      <c r="Z80" s="1487"/>
      <c r="AA80" s="1487"/>
      <c r="AB80" s="1487"/>
      <c r="AC80" s="1487"/>
      <c r="AD80" s="1487"/>
      <c r="AE80" s="1487"/>
      <c r="AF80" s="1487"/>
      <c r="AG80" s="1487"/>
      <c r="AH80" s="1489"/>
    </row>
    <row r="81" spans="1:48" ht="18.600000000000001" customHeight="1">
      <c r="A81" s="1308" t="str">
        <f>'Quality-Stat'!$A$43</f>
        <v>Civil</v>
      </c>
      <c r="B81" s="1309"/>
      <c r="C81" s="358">
        <f>IF('Quality-Stat'!D43="","",'Quality-Stat'!D43)</f>
        <v>0</v>
      </c>
      <c r="D81" s="358">
        <f>IF('Quality-Stat'!E43="","",'Quality-Stat'!E43)</f>
        <v>0</v>
      </c>
      <c r="E81" s="358">
        <f>IF('Quality-Stat'!F43="","",'Quality-Stat'!F43)</f>
        <v>0</v>
      </c>
      <c r="F81" s="358">
        <f>IF('Quality-Stat'!G43="","",'Quality-Stat'!G43)</f>
        <v>0</v>
      </c>
      <c r="G81" s="358">
        <f>IF('Quality-Stat'!H43="","",'Quality-Stat'!H43)</f>
        <v>0</v>
      </c>
      <c r="H81" s="358">
        <f>IF('Quality-Stat'!I43="","",'Quality-Stat'!I43)</f>
        <v>0</v>
      </c>
      <c r="I81" s="1347">
        <f>'Quality-Stat'!J43</f>
        <v>46081</v>
      </c>
      <c r="J81" s="1347"/>
      <c r="K81" s="1348"/>
      <c r="L81" s="338" t="s">
        <v>191</v>
      </c>
      <c r="M81" s="339"/>
      <c r="N81" s="339"/>
      <c r="O81" s="339"/>
      <c r="P81" s="340" t="s">
        <v>192</v>
      </c>
      <c r="Q81" s="340"/>
      <c r="R81" s="339"/>
      <c r="S81" s="341"/>
      <c r="T81" s="1512" t="s">
        <v>193</v>
      </c>
      <c r="U81" s="1513"/>
      <c r="V81" s="1513"/>
      <c r="W81" s="1537">
        <f>CCO!A3</f>
        <v>0</v>
      </c>
      <c r="X81" s="1503">
        <f>CCO!B3</f>
        <v>0</v>
      </c>
      <c r="Y81" s="1490">
        <f>CCO!C3</f>
        <v>0</v>
      </c>
      <c r="Z81" s="1490"/>
      <c r="AA81" s="1490"/>
      <c r="AB81" s="1490"/>
      <c r="AC81" s="1490"/>
      <c r="AD81" s="1498">
        <f>CCO!D3</f>
        <v>0</v>
      </c>
      <c r="AE81" s="1497">
        <f>CCO!E3</f>
        <v>0</v>
      </c>
      <c r="AF81" s="1498">
        <f>CCO!F3</f>
        <v>0</v>
      </c>
      <c r="AG81" s="1499">
        <f>CCO!G3</f>
        <v>0</v>
      </c>
      <c r="AH81" s="1501">
        <f>CCO!H3</f>
        <v>0</v>
      </c>
    </row>
    <row r="82" spans="1:48" ht="18.600000000000001" customHeight="1" thickBot="1">
      <c r="A82" s="1308" t="str">
        <f>'Quality-Stat'!$A$44</f>
        <v>Mechanical</v>
      </c>
      <c r="B82" s="1309"/>
      <c r="C82" s="358">
        <f>IF('Quality-Stat'!D44="","",'Quality-Stat'!D44)</f>
        <v>18</v>
      </c>
      <c r="D82" s="358">
        <f>IF('Quality-Stat'!E44="","",'Quality-Stat'!E44)</f>
        <v>18</v>
      </c>
      <c r="E82" s="358">
        <f>IF('Quality-Stat'!F44="","",'Quality-Stat'!F44)</f>
        <v>18</v>
      </c>
      <c r="F82" s="358">
        <f>IF('Quality-Stat'!G44="","",'Quality-Stat'!G44)</f>
        <v>0</v>
      </c>
      <c r="G82" s="358">
        <f>IF('Quality-Stat'!H44="","",'Quality-Stat'!H44)</f>
        <v>15</v>
      </c>
      <c r="H82" s="358">
        <f>IF('Quality-Stat'!I44="","",'Quality-Stat'!I44)</f>
        <v>3</v>
      </c>
      <c r="I82" s="1347">
        <f>'Quality-Stat'!J44</f>
        <v>46280</v>
      </c>
      <c r="J82" s="1347"/>
      <c r="K82" s="1348"/>
      <c r="L82" s="248" t="s">
        <v>78</v>
      </c>
      <c r="M82" s="249" t="s">
        <v>194</v>
      </c>
      <c r="N82" s="517" t="s">
        <v>195</v>
      </c>
      <c r="O82" s="250" t="s">
        <v>14</v>
      </c>
      <c r="P82" s="249" t="s">
        <v>78</v>
      </c>
      <c r="Q82" s="249" t="s">
        <v>194</v>
      </c>
      <c r="R82" s="517" t="s">
        <v>195</v>
      </c>
      <c r="S82" s="250" t="s">
        <v>14</v>
      </c>
      <c r="T82" s="342" t="s">
        <v>196</v>
      </c>
      <c r="U82" s="343" t="s">
        <v>197</v>
      </c>
      <c r="V82" s="344" t="s">
        <v>56</v>
      </c>
      <c r="W82" s="1508"/>
      <c r="X82" s="1504"/>
      <c r="Y82" s="1491"/>
      <c r="Z82" s="1491"/>
      <c r="AA82" s="1491"/>
      <c r="AB82" s="1491"/>
      <c r="AC82" s="1491"/>
      <c r="AD82" s="1493"/>
      <c r="AE82" s="1495"/>
      <c r="AF82" s="1493"/>
      <c r="AG82" s="1500"/>
      <c r="AH82" s="1484"/>
    </row>
    <row r="83" spans="1:48" ht="18.600000000000001" customHeight="1">
      <c r="A83" s="1357" t="str">
        <f>'Quality-Stat'!$A$45</f>
        <v>Electrical</v>
      </c>
      <c r="B83" s="1358"/>
      <c r="C83" s="358">
        <f>IF('Quality-Stat'!D45="","",'Quality-Stat'!D45)</f>
        <v>16</v>
      </c>
      <c r="D83" s="358">
        <f>IF('Quality-Stat'!E45="","",'Quality-Stat'!E45)</f>
        <v>16</v>
      </c>
      <c r="E83" s="358">
        <f>IF('Quality-Stat'!F45="","",'Quality-Stat'!F45)</f>
        <v>16</v>
      </c>
      <c r="F83" s="358">
        <f>IF('Quality-Stat'!G45="","",'Quality-Stat'!G45)</f>
        <v>0</v>
      </c>
      <c r="G83" s="358">
        <f>IF('Quality-Stat'!H45="","",'Quality-Stat'!H45)</f>
        <v>12</v>
      </c>
      <c r="H83" s="358">
        <f>IF('Quality-Stat'!I45="","",'Quality-Stat'!I45)</f>
        <v>4</v>
      </c>
      <c r="I83" s="1347">
        <f>'Quality-Stat'!J45</f>
        <v>46280</v>
      </c>
      <c r="J83" s="1347"/>
      <c r="K83" s="1348"/>
      <c r="L83" s="345">
        <f>Manpower!A20</f>
        <v>12</v>
      </c>
      <c r="M83" s="346">
        <f>Manpower!B20</f>
        <v>49</v>
      </c>
      <c r="N83" s="346">
        <f>Manpower!F20</f>
        <v>12</v>
      </c>
      <c r="O83" s="346">
        <f>Manpower!H20</f>
        <v>0</v>
      </c>
      <c r="P83" s="347">
        <f>M93</f>
        <v>61</v>
      </c>
      <c r="Q83" s="346">
        <f>N93</f>
        <v>181</v>
      </c>
      <c r="R83" s="346">
        <f>Manpower!F24</f>
        <v>47</v>
      </c>
      <c r="S83" s="348">
        <f>Manpower!H24</f>
        <v>0</v>
      </c>
      <c r="T83" s="349">
        <f>L83+P83</f>
        <v>73</v>
      </c>
      <c r="U83" s="350">
        <f>M83+Q83</f>
        <v>230</v>
      </c>
      <c r="V83" s="351">
        <f>+U83-T83</f>
        <v>157</v>
      </c>
      <c r="W83" s="1508" t="str">
        <f>CCO!A4</f>
        <v/>
      </c>
      <c r="X83" s="1504" t="str">
        <f>CCO!B4</f>
        <v/>
      </c>
      <c r="Y83" s="1491" t="str">
        <f>CCO!C4</f>
        <v/>
      </c>
      <c r="Z83" s="1491"/>
      <c r="AA83" s="1491"/>
      <c r="AB83" s="1491"/>
      <c r="AC83" s="1491"/>
      <c r="AD83" s="1493" t="str">
        <f>IF(CCO!D4="","",CCO!D4)</f>
        <v/>
      </c>
      <c r="AE83" s="1495" t="str">
        <f>CCO!E4</f>
        <v/>
      </c>
      <c r="AF83" s="1493" t="str">
        <f>CCO!F4</f>
        <v/>
      </c>
      <c r="AG83" s="1500" t="str">
        <f>CCO!G4</f>
        <v/>
      </c>
      <c r="AH83" s="1484" t="str">
        <f>CCO!H4</f>
        <v/>
      </c>
    </row>
    <row r="84" spans="1:48" ht="18.600000000000001" customHeight="1" thickBot="1">
      <c r="A84" s="1300" t="s">
        <v>137</v>
      </c>
      <c r="B84" s="1301"/>
      <c r="C84" s="321">
        <f>IF('Quality-Stat'!D46="","",'Quality-Stat'!D46)</f>
        <v>34</v>
      </c>
      <c r="D84" s="321">
        <f>IF('Quality-Stat'!E46="","",'Quality-Stat'!E46)</f>
        <v>34</v>
      </c>
      <c r="E84" s="321">
        <f>IF('Quality-Stat'!F46="","",'Quality-Stat'!F46)</f>
        <v>34</v>
      </c>
      <c r="F84" s="321">
        <f>IF('Quality-Stat'!G46="","",'Quality-Stat'!G46)</f>
        <v>0</v>
      </c>
      <c r="G84" s="321">
        <f>IF('Quality-Stat'!H46="","",'Quality-Stat'!H46)</f>
        <v>27</v>
      </c>
      <c r="H84" s="321">
        <f>IF('Quality-Stat'!I46="","",'Quality-Stat'!I46)</f>
        <v>7</v>
      </c>
      <c r="I84" s="1409">
        <f>MAX(I79:I83)</f>
        <v>46280</v>
      </c>
      <c r="J84" s="1410"/>
      <c r="K84" s="1411"/>
      <c r="L84" s="352" t="s">
        <v>198</v>
      </c>
      <c r="M84" s="353"/>
      <c r="N84" s="353"/>
      <c r="O84" s="353"/>
      <c r="P84" s="353"/>
      <c r="Q84" s="353"/>
      <c r="R84" s="353"/>
      <c r="S84" s="1407" t="s">
        <v>199</v>
      </c>
      <c r="T84" s="1408"/>
      <c r="U84" s="1408"/>
      <c r="V84" s="1408"/>
      <c r="W84" s="1508"/>
      <c r="X84" s="1504"/>
      <c r="Y84" s="1491"/>
      <c r="Z84" s="1491"/>
      <c r="AA84" s="1491"/>
      <c r="AB84" s="1491"/>
      <c r="AC84" s="1491"/>
      <c r="AD84" s="1493"/>
      <c r="AE84" s="1495"/>
      <c r="AF84" s="1493"/>
      <c r="AG84" s="1500"/>
      <c r="AH84" s="1484"/>
    </row>
    <row r="85" spans="1:48" ht="18.600000000000001" customHeight="1" thickBot="1">
      <c r="A85" s="1349" t="str">
        <f>Schedule!A1</f>
        <v>Primavera P6 Schedule Status</v>
      </c>
      <c r="B85" s="1350"/>
      <c r="C85" s="1350"/>
      <c r="D85" s="1350"/>
      <c r="E85" s="1350"/>
      <c r="F85" s="1350"/>
      <c r="G85" s="1350"/>
      <c r="H85" s="1350"/>
      <c r="I85" s="1350"/>
      <c r="J85" s="1350"/>
      <c r="K85" s="1351"/>
      <c r="L85" s="354" t="s">
        <v>200</v>
      </c>
      <c r="M85" s="355" t="s">
        <v>78</v>
      </c>
      <c r="N85" s="356" t="s">
        <v>194</v>
      </c>
      <c r="S85" s="354" t="s">
        <v>201</v>
      </c>
      <c r="T85" s="355" t="s">
        <v>78</v>
      </c>
      <c r="U85" s="356" t="s">
        <v>194</v>
      </c>
      <c r="V85" s="356" t="s">
        <v>202</v>
      </c>
      <c r="W85" s="1508" t="str">
        <f>CCO!A5</f>
        <v/>
      </c>
      <c r="X85" s="1504" t="str">
        <f>CCO!B5</f>
        <v/>
      </c>
      <c r="Y85" s="1491" t="str">
        <f>CCO!C5</f>
        <v/>
      </c>
      <c r="Z85" s="1491"/>
      <c r="AA85" s="1491"/>
      <c r="AB85" s="1491"/>
      <c r="AC85" s="1491"/>
      <c r="AD85" s="1493" t="str">
        <f>IF(CCO!D5="","",CCO!D5)</f>
        <v/>
      </c>
      <c r="AE85" s="1495" t="str">
        <f>CCO!E5</f>
        <v/>
      </c>
      <c r="AF85" s="1493" t="str">
        <f>CCO!F5</f>
        <v/>
      </c>
      <c r="AG85" s="1500" t="str">
        <f>CCO!G5</f>
        <v/>
      </c>
      <c r="AH85" s="1484" t="str">
        <f>CCO!H5</f>
        <v/>
      </c>
    </row>
    <row r="86" spans="1:48" ht="18.600000000000001" customHeight="1">
      <c r="A86" s="1352" t="str">
        <f>Schedule!A2</f>
        <v>Project Activities Overview</v>
      </c>
      <c r="B86" s="1353"/>
      <c r="C86" s="1353"/>
      <c r="D86" s="1353"/>
      <c r="E86" s="1353"/>
      <c r="F86" s="1353"/>
      <c r="G86" s="1353"/>
      <c r="H86" s="1353"/>
      <c r="I86" s="1353"/>
      <c r="J86" s="1353"/>
      <c r="K86" s="1354"/>
      <c r="L86" s="357" t="str">
        <f>+Manpower!N23</f>
        <v>General Labor</v>
      </c>
      <c r="M86" s="358">
        <f>Manpower!N24</f>
        <v>14</v>
      </c>
      <c r="N86" s="359">
        <f>Manpower!N25</f>
        <v>16</v>
      </c>
      <c r="S86" s="357" t="str">
        <f>+Manpower!$B$49</f>
        <v>Excavator</v>
      </c>
      <c r="T86" s="358">
        <f>+Manpower!B50</f>
        <v>2</v>
      </c>
      <c r="U86" s="358">
        <f>+Manpower!B51</f>
        <v>15</v>
      </c>
      <c r="V86" s="359">
        <f>+Manpower!B52</f>
        <v>0</v>
      </c>
      <c r="W86" s="1509"/>
      <c r="X86" s="1510"/>
      <c r="Y86" s="1492"/>
      <c r="Z86" s="1492"/>
      <c r="AA86" s="1492"/>
      <c r="AB86" s="1492"/>
      <c r="AC86" s="1492"/>
      <c r="AD86" s="1494"/>
      <c r="AE86" s="1496"/>
      <c r="AF86" s="1494"/>
      <c r="AG86" s="1502"/>
      <c r="AH86" s="1485"/>
    </row>
    <row r="87" spans="1:48" ht="18.600000000000001" customHeight="1">
      <c r="A87" s="1401" t="str">
        <f>Schedule!A3</f>
        <v>Schedule Statistics</v>
      </c>
      <c r="B87" s="1402"/>
      <c r="C87" s="1402"/>
      <c r="D87" s="1402"/>
      <c r="E87" s="1403"/>
      <c r="F87" s="1404" t="str">
        <f>Schedule!F3</f>
        <v>Active Schedule Activities</v>
      </c>
      <c r="G87" s="1402"/>
      <c r="H87" s="1402"/>
      <c r="I87" s="1402"/>
      <c r="J87" s="1402"/>
      <c r="K87" s="1403"/>
      <c r="L87" s="357" t="str">
        <f>+Manpower!P23</f>
        <v>Carpenter</v>
      </c>
      <c r="M87" s="358">
        <f>Manpower!P24</f>
        <v>0</v>
      </c>
      <c r="N87" s="359">
        <f>Manpower!P25</f>
        <v>0</v>
      </c>
      <c r="S87" s="357" t="str">
        <f>+Manpower!$D$49</f>
        <v>Loader</v>
      </c>
      <c r="T87" s="358">
        <f>+Manpower!D50</f>
        <v>3</v>
      </c>
      <c r="U87" s="358">
        <f>+Manpower!D51</f>
        <v>8</v>
      </c>
      <c r="V87" s="359">
        <f>+Manpower!D52</f>
        <v>0</v>
      </c>
      <c r="W87" s="251" t="s">
        <v>203</v>
      </c>
      <c r="X87" s="252"/>
      <c r="Y87" s="252"/>
      <c r="Z87" s="252"/>
      <c r="AA87" s="252"/>
      <c r="AB87" s="253"/>
      <c r="AC87" s="253"/>
      <c r="AD87" s="252"/>
      <c r="AE87" s="252"/>
      <c r="AF87" s="252"/>
      <c r="AG87" s="252"/>
      <c r="AH87" s="254"/>
    </row>
    <row r="88" spans="1:48" ht="18.600000000000001" customHeight="1">
      <c r="A88" s="360" t="str">
        <f>Schedule!A4</f>
        <v>Total Act.</v>
      </c>
      <c r="B88" s="107" t="str">
        <f>Schedule!B4</f>
        <v>Not Started</v>
      </c>
      <c r="C88" s="107" t="str">
        <f>Schedule!C4</f>
        <v>In Progress</v>
      </c>
      <c r="D88" s="107" t="str">
        <f>Schedule!D4</f>
        <v>Completed</v>
      </c>
      <c r="E88" s="108" t="str">
        <f>Schedule!E4</f>
        <v>%</v>
      </c>
      <c r="F88" s="106" t="str">
        <f>Schedule!F4</f>
        <v xml:space="preserve">Active </v>
      </c>
      <c r="G88" s="107" t="str">
        <f>Schedule!G4</f>
        <v>Ahead</v>
      </c>
      <c r="H88" s="107" t="str">
        <f>Schedule!H4</f>
        <v>On</v>
      </c>
      <c r="I88" s="107" t="str">
        <f>Schedule!I4</f>
        <v>Behind</v>
      </c>
      <c r="J88" s="107" t="str">
        <f>Schedule!J4</f>
        <v>Flag</v>
      </c>
      <c r="K88" s="108">
        <f>Schedule!K4</f>
        <v>0</v>
      </c>
      <c r="L88" s="357" t="str">
        <f>+Manpower!R23</f>
        <v>Plumber</v>
      </c>
      <c r="M88" s="358">
        <f>+Manpower!R24</f>
        <v>0</v>
      </c>
      <c r="N88" s="359">
        <f>Manpower!R25</f>
        <v>0</v>
      </c>
      <c r="S88" s="357" t="str">
        <f>+Manpower!$F$49</f>
        <v>Dozer</v>
      </c>
      <c r="T88" s="358">
        <f>+Manpower!F50</f>
        <v>2</v>
      </c>
      <c r="U88" s="358">
        <f>+Manpower!F51</f>
        <v>7</v>
      </c>
      <c r="V88" s="359">
        <f>+Manpower!F52</f>
        <v>0</v>
      </c>
      <c r="W88" s="255" t="s">
        <v>204</v>
      </c>
      <c r="X88" s="1513" t="s">
        <v>205</v>
      </c>
      <c r="Y88" s="1513"/>
      <c r="Z88" s="1513"/>
      <c r="AA88" s="1513"/>
      <c r="AB88" s="1513"/>
      <c r="AC88" s="256" t="s">
        <v>206</v>
      </c>
      <c r="AD88" s="256" t="s">
        <v>207</v>
      </c>
      <c r="AE88" s="256" t="s">
        <v>208</v>
      </c>
      <c r="AF88" s="256" t="s">
        <v>209</v>
      </c>
      <c r="AG88" s="256" t="s">
        <v>210</v>
      </c>
      <c r="AH88" s="257" t="s">
        <v>56</v>
      </c>
    </row>
    <row r="89" spans="1:48" ht="18.600000000000001" customHeight="1">
      <c r="A89" s="361">
        <f>Schedule!A5</f>
        <v>1218</v>
      </c>
      <c r="B89" s="362">
        <f>Schedule!B5</f>
        <v>24</v>
      </c>
      <c r="C89" s="362">
        <f>Schedule!C5</f>
        <v>21</v>
      </c>
      <c r="D89" s="362">
        <f>Schedule!D5</f>
        <v>1164</v>
      </c>
      <c r="E89" s="363">
        <f>Schedule!E5</f>
        <v>0.95566502463054193</v>
      </c>
      <c r="F89" s="115">
        <f>Schedule!F5</f>
        <v>21</v>
      </c>
      <c r="G89" s="362">
        <f>Schedule!G5</f>
        <v>21</v>
      </c>
      <c r="H89" s="362">
        <f>Schedule!H5</f>
        <v>0</v>
      </c>
      <c r="I89" s="116">
        <f>Schedule!I5</f>
        <v>0</v>
      </c>
      <c r="J89" s="1405">
        <f>Schedule!J5</f>
        <v>21</v>
      </c>
      <c r="K89" s="1406"/>
      <c r="L89" s="357" t="str">
        <f>+Manpower!T23</f>
        <v>Operator</v>
      </c>
      <c r="M89" s="358">
        <f>Manpower!T24</f>
        <v>42</v>
      </c>
      <c r="N89" s="359">
        <f>Manpower!T25</f>
        <v>99</v>
      </c>
      <c r="S89" s="357" t="str">
        <f>+Manpower!$H$49</f>
        <v>Dump Truck</v>
      </c>
      <c r="T89" s="358">
        <f>+Manpower!H50</f>
        <v>20</v>
      </c>
      <c r="U89" s="358">
        <f>+Manpower!H51</f>
        <v>40</v>
      </c>
      <c r="V89" s="518">
        <f>+Manpower!H52</f>
        <v>0</v>
      </c>
      <c r="W89" s="520" t="str">
        <f>'Major Quantities'!A2</f>
        <v>B1.31 22 00.03</v>
      </c>
      <c r="X89" s="1552" t="str">
        <f>'Major Quantities'!B2</f>
        <v>Road backfilling</v>
      </c>
      <c r="Y89" s="1552"/>
      <c r="Z89" s="1552"/>
      <c r="AA89" s="1552"/>
      <c r="AB89" s="1552"/>
      <c r="AC89" s="521">
        <f>'Major Quantities'!C2</f>
        <v>329706.66200000007</v>
      </c>
      <c r="AD89" s="521" t="str">
        <f>'Major Quantities'!D2</f>
        <v>m³</v>
      </c>
      <c r="AE89" s="521">
        <f>'Major Quantities'!E2</f>
        <v>329706.66200000007</v>
      </c>
      <c r="AF89" s="521">
        <f>'Major Quantities'!F2</f>
        <v>329706.66200000007</v>
      </c>
      <c r="AG89" s="521">
        <f>'Major Quantities'!G2</f>
        <v>0</v>
      </c>
      <c r="AH89" s="521">
        <f>'Major Quantities'!H2</f>
        <v>0</v>
      </c>
    </row>
    <row r="90" spans="1:48" ht="18.600000000000001" customHeight="1">
      <c r="A90" s="1516" t="str">
        <f>Schedule!A6</f>
        <v xml:space="preserve">Critical Path Activities </v>
      </c>
      <c r="B90" s="1517"/>
      <c r="C90" s="1518"/>
      <c r="D90" s="1526" t="str">
        <f>Schedule!D6</f>
        <v>Free Float Management (Total)</v>
      </c>
      <c r="E90" s="1517"/>
      <c r="F90" s="1517"/>
      <c r="G90" s="1518"/>
      <c r="H90" s="1526" t="str">
        <f>Schedule!H6</f>
        <v xml:space="preserve">Failed Start Activities </v>
      </c>
      <c r="I90" s="1517"/>
      <c r="J90" s="1517"/>
      <c r="K90" s="1518"/>
      <c r="L90" s="357" t="str">
        <f>+Manpower!V23</f>
        <v>Steel Fixer</v>
      </c>
      <c r="M90" s="358">
        <f>+Manpower!V24</f>
        <v>0</v>
      </c>
      <c r="N90" s="359">
        <f>+Manpower!V25</f>
        <v>0</v>
      </c>
      <c r="S90" s="357" t="str">
        <f>+Manpower!$J$49</f>
        <v>Crane</v>
      </c>
      <c r="T90" s="358">
        <f>+Manpower!J50</f>
        <v>1</v>
      </c>
      <c r="U90" s="358">
        <f>+Manpower!J51</f>
        <v>1</v>
      </c>
      <c r="V90" s="518">
        <f>+Manpower!J52</f>
        <v>0</v>
      </c>
      <c r="W90" s="522" t="str">
        <f>'Major Quantities'!A3</f>
        <v>B1.31 22 00.04</v>
      </c>
      <c r="X90" s="1553" t="str">
        <f>'Major Quantities'!B3</f>
        <v>Plots backfilling</v>
      </c>
      <c r="Y90" s="1554"/>
      <c r="Z90" s="1554"/>
      <c r="AA90" s="1554"/>
      <c r="AB90" s="1555"/>
      <c r="AC90" s="523">
        <f>'Major Quantities'!C3</f>
        <v>718628.27</v>
      </c>
      <c r="AD90" s="523" t="str">
        <f>'Major Quantities'!D3</f>
        <v>m³</v>
      </c>
      <c r="AE90" s="523">
        <f>'Major Quantities'!E3</f>
        <v>485631</v>
      </c>
      <c r="AF90" s="523">
        <f>'Major Quantities'!F3</f>
        <v>654314</v>
      </c>
      <c r="AG90" s="523">
        <f>'Major Quantities'!G3</f>
        <v>64314.270000000019</v>
      </c>
      <c r="AH90" s="523">
        <f>'Major Quantities'!H3</f>
        <v>168683</v>
      </c>
    </row>
    <row r="91" spans="1:48" ht="18.600000000000001" customHeight="1">
      <c r="A91" s="1519"/>
      <c r="B91" s="1520"/>
      <c r="C91" s="1521"/>
      <c r="D91" s="1541" t="str">
        <f>Schedule!D7</f>
        <v>Greater Than 14 Days</v>
      </c>
      <c r="E91" s="1447"/>
      <c r="F91" s="1447" t="str">
        <f>Schedule!F7</f>
        <v>Less Than 14 Days</v>
      </c>
      <c r="G91" s="1448"/>
      <c r="H91" s="1527"/>
      <c r="I91" s="1520"/>
      <c r="J91" s="1520"/>
      <c r="K91" s="1521"/>
      <c r="L91" s="357" t="str">
        <f>+Manpower!X23</f>
        <v>Mason</v>
      </c>
      <c r="M91" s="358">
        <f>+Manpower!X24</f>
        <v>0</v>
      </c>
      <c r="N91" s="359">
        <f>+Manpower!X25</f>
        <v>0</v>
      </c>
      <c r="S91" s="357" t="str">
        <f>+Manpower!$L$49</f>
        <v>Grader</v>
      </c>
      <c r="T91" s="358">
        <f>+Manpower!L50</f>
        <v>2</v>
      </c>
      <c r="U91" s="358">
        <f>+Manpower!L51</f>
        <v>8</v>
      </c>
      <c r="V91" s="518">
        <f>+Manpower!L52</f>
        <v>0</v>
      </c>
      <c r="W91" s="522" t="str">
        <f>'Major Quantities'!A4</f>
        <v>B1.31 22 00.05</v>
      </c>
      <c r="X91" s="1553" t="str">
        <f>'Major Quantities'!B4</f>
        <v xml:space="preserve"> Subgrade</v>
      </c>
      <c r="Y91" s="1554"/>
      <c r="Z91" s="1554"/>
      <c r="AA91" s="1554"/>
      <c r="AB91" s="1555"/>
      <c r="AC91" s="523">
        <f>'Major Quantities'!C4</f>
        <v>30811.51</v>
      </c>
      <c r="AD91" s="523" t="str">
        <f>'Major Quantities'!D4</f>
        <v>m³</v>
      </c>
      <c r="AE91" s="523">
        <f>'Major Quantities'!E4</f>
        <v>30811.51</v>
      </c>
      <c r="AF91" s="523">
        <f>'Major Quantities'!F4</f>
        <v>30811.51</v>
      </c>
      <c r="AG91" s="523">
        <f>'Major Quantities'!G4</f>
        <v>0</v>
      </c>
      <c r="AH91" s="523">
        <f>'Major Quantities'!H4</f>
        <v>0</v>
      </c>
    </row>
    <row r="92" spans="1:48" ht="18.600000000000001" customHeight="1">
      <c r="A92" s="360" t="str">
        <f>Schedule!A8</f>
        <v>Last Week</v>
      </c>
      <c r="B92" s="107" t="str">
        <f>Schedule!B8</f>
        <v>This Week</v>
      </c>
      <c r="C92" s="108" t="str">
        <f>Schedule!C8</f>
        <v>Diff</v>
      </c>
      <c r="D92" s="106" t="str">
        <f>Schedule!D8</f>
        <v>Last Week</v>
      </c>
      <c r="E92" s="107" t="str">
        <f>Schedule!E8</f>
        <v>This Week</v>
      </c>
      <c r="F92" s="107" t="str">
        <f>Schedule!F8</f>
        <v>Last Week</v>
      </c>
      <c r="G92" s="108" t="str">
        <f>Schedule!G8</f>
        <v>This Week</v>
      </c>
      <c r="H92" s="106" t="str">
        <f>Schedule!H8</f>
        <v>Last Week</v>
      </c>
      <c r="I92" s="107" t="str">
        <f>Schedule!I8</f>
        <v>This Week</v>
      </c>
      <c r="J92" s="107" t="str">
        <f>Schedule!J8</f>
        <v>Flag</v>
      </c>
      <c r="K92" s="108">
        <f>Schedule!K8</f>
        <v>0</v>
      </c>
      <c r="L92" s="364" t="str">
        <f>+Manpower!Z23</f>
        <v>Others</v>
      </c>
      <c r="M92" s="346">
        <f>+Manpower!Z24</f>
        <v>5</v>
      </c>
      <c r="N92" s="365">
        <f>+Manpower!Z25</f>
        <v>66</v>
      </c>
      <c r="S92" s="364" t="str">
        <f>+Manpower!$N$49</f>
        <v>Other</v>
      </c>
      <c r="T92" s="346">
        <f>+Manpower!N50</f>
        <v>0</v>
      </c>
      <c r="U92" s="346">
        <f>+Manpower!N51</f>
        <v>34</v>
      </c>
      <c r="V92" s="519">
        <f>+Manpower!N52</f>
        <v>0</v>
      </c>
      <c r="W92" s="522" t="str">
        <f>'Major Quantities'!A5</f>
        <v>B1.32 11 23.01</v>
      </c>
      <c r="X92" s="1553" t="str">
        <f>'Major Quantities'!B5</f>
        <v xml:space="preserve"> Aggregate base course</v>
      </c>
      <c r="Y92" s="1554"/>
      <c r="Z92" s="1554"/>
      <c r="AA92" s="1554"/>
      <c r="AB92" s="1555"/>
      <c r="AC92" s="523">
        <f>'Major Quantities'!C5</f>
        <v>19162</v>
      </c>
      <c r="AD92" s="523" t="str">
        <f>'Major Quantities'!D5</f>
        <v>m³</v>
      </c>
      <c r="AE92" s="523">
        <f>'Major Quantities'!E5</f>
        <v>19162</v>
      </c>
      <c r="AF92" s="523">
        <f>'Major Quantities'!F5</f>
        <v>19162</v>
      </c>
      <c r="AG92" s="523">
        <f>'Major Quantities'!G5</f>
        <v>0</v>
      </c>
      <c r="AH92" s="523">
        <f>'Major Quantities'!H5</f>
        <v>0</v>
      </c>
      <c r="AI92" s="436"/>
      <c r="AJ92" s="436"/>
    </row>
    <row r="93" spans="1:48" customFormat="1" ht="18.600000000000001" customHeight="1">
      <c r="A93" s="366">
        <f>Schedule!A9</f>
        <v>0</v>
      </c>
      <c r="B93" s="346">
        <f>Schedule!B9</f>
        <v>0</v>
      </c>
      <c r="C93" s="112">
        <f>Schedule!C9</f>
        <v>0</v>
      </c>
      <c r="D93" s="367">
        <f>Schedule!D9</f>
        <v>4</v>
      </c>
      <c r="E93" s="346">
        <f>Schedule!E9</f>
        <v>4</v>
      </c>
      <c r="F93" s="346">
        <f>Schedule!F9</f>
        <v>8</v>
      </c>
      <c r="G93" s="368">
        <f>Schedule!G9</f>
        <v>8</v>
      </c>
      <c r="H93" s="367">
        <f>Schedule!H9</f>
        <v>4</v>
      </c>
      <c r="I93" s="346">
        <f>Schedule!I9</f>
        <v>2</v>
      </c>
      <c r="J93" s="1405">
        <f>Schedule!J9</f>
        <v>2</v>
      </c>
      <c r="K93" s="1406"/>
      <c r="L93" s="369" t="s">
        <v>88</v>
      </c>
      <c r="M93" s="370">
        <f>SUM(M86:M92)</f>
        <v>61</v>
      </c>
      <c r="N93" s="371">
        <f>SUM(N86:N92)</f>
        <v>181</v>
      </c>
      <c r="S93" s="369" t="s">
        <v>88</v>
      </c>
      <c r="T93" s="370">
        <f>SUM(T86:T92)</f>
        <v>30</v>
      </c>
      <c r="U93" s="370">
        <f>SUM(U86:U92)</f>
        <v>113</v>
      </c>
      <c r="V93" s="370">
        <f>SUM(V86:V92)</f>
        <v>0</v>
      </c>
      <c r="W93" s="522" t="str">
        <f>'Major Quantities'!A6</f>
        <v>B1.32 11 26.01</v>
      </c>
      <c r="X93" s="1553" t="str">
        <f>'Major Quantities'!B6</f>
        <v>Bituminous base course (Grading I - Class A), including Prime Coat (MC1) and tack coat (RC2) (if any)</v>
      </c>
      <c r="Y93" s="1554"/>
      <c r="Z93" s="1554"/>
      <c r="AA93" s="1554"/>
      <c r="AB93" s="1555"/>
      <c r="AC93" s="523">
        <f>'Major Quantities'!C6</f>
        <v>7129</v>
      </c>
      <c r="AD93" s="523" t="str">
        <f>'Major Quantities'!D6</f>
        <v>m³</v>
      </c>
      <c r="AE93" s="523">
        <f>'Major Quantities'!E6</f>
        <v>5865</v>
      </c>
      <c r="AF93" s="523">
        <f>'Major Quantities'!F6</f>
        <v>7129</v>
      </c>
      <c r="AG93" s="523">
        <f>'Major Quantities'!G6</f>
        <v>0</v>
      </c>
      <c r="AH93" s="523">
        <f>'Major Quantities'!H6</f>
        <v>1264</v>
      </c>
    </row>
    <row r="94" spans="1:48" s="399" customFormat="1" ht="25.8">
      <c r="A94" s="287" t="s">
        <v>211</v>
      </c>
      <c r="B94" s="373"/>
      <c r="C94" s="373"/>
      <c r="D94" s="373"/>
      <c r="E94" s="373"/>
      <c r="F94" s="373"/>
      <c r="G94" s="373"/>
      <c r="H94" s="373"/>
      <c r="I94" s="373"/>
      <c r="J94" s="373"/>
      <c r="K94" s="373"/>
      <c r="L94" s="373"/>
      <c r="M94" s="373"/>
      <c r="N94" s="373"/>
      <c r="O94" s="373"/>
      <c r="P94" s="373"/>
      <c r="Q94" s="372" t="s">
        <v>212</v>
      </c>
      <c r="R94" s="373"/>
      <c r="S94" s="373"/>
      <c r="T94" s="373"/>
      <c r="U94" s="373"/>
      <c r="V94" s="373"/>
      <c r="W94" s="373"/>
      <c r="X94" s="373"/>
      <c r="Y94" s="373"/>
      <c r="Z94" s="373"/>
      <c r="AA94" s="373"/>
      <c r="AB94" s="373"/>
      <c r="AC94" s="373"/>
      <c r="AD94" s="373"/>
      <c r="AE94" s="373"/>
      <c r="AF94" s="373"/>
      <c r="AG94" s="373"/>
      <c r="AH94" s="374"/>
      <c r="AL94" s="431"/>
      <c r="AM94" s="431"/>
      <c r="AN94" s="431"/>
      <c r="AO94" s="431"/>
      <c r="AP94" s="431"/>
      <c r="AQ94" s="431"/>
      <c r="AR94" s="431"/>
      <c r="AS94" s="431"/>
      <c r="AT94" s="431"/>
      <c r="AU94" s="431"/>
      <c r="AV94" s="431"/>
    </row>
    <row r="95" spans="1:48" s="513" customFormat="1" ht="18.600000000000001" thickBot="1">
      <c r="A95" s="1514" t="str">
        <f>'Weekly Photos'!B23</f>
        <v>MV Cable Work at Existing Zone</v>
      </c>
      <c r="B95" s="1515"/>
      <c r="C95" s="1515"/>
      <c r="D95" s="1515"/>
      <c r="E95" s="1515"/>
      <c r="F95" s="1515" t="str">
        <f>'Weekly Photos'!L23</f>
        <v>Installation of AC in Lift Station</v>
      </c>
      <c r="G95" s="1515"/>
      <c r="H95" s="1515"/>
      <c r="I95" s="1515"/>
      <c r="J95" s="1515"/>
      <c r="K95" s="1515"/>
      <c r="L95" s="1515" t="str">
        <f>'Weekly Photos'!B4</f>
        <v>Land Backfilling</v>
      </c>
      <c r="M95" s="1515"/>
      <c r="N95" s="1515"/>
      <c r="O95" s="1515"/>
      <c r="P95" s="1540"/>
      <c r="Q95" s="375" t="s">
        <v>213</v>
      </c>
      <c r="R95" s="376"/>
      <c r="S95" s="376"/>
      <c r="T95" s="376"/>
      <c r="U95" s="376"/>
      <c r="V95" s="376"/>
      <c r="W95" s="376"/>
      <c r="X95" s="376"/>
      <c r="Y95" s="376"/>
      <c r="Z95" s="376"/>
      <c r="AA95" s="376"/>
      <c r="AB95" s="376"/>
      <c r="AC95" s="376"/>
      <c r="AD95" s="376"/>
      <c r="AE95" s="376"/>
      <c r="AF95" s="376"/>
      <c r="AG95" s="376"/>
      <c r="AH95" s="377"/>
      <c r="AI95" s="512"/>
      <c r="AJ95" s="512"/>
    </row>
    <row r="96" spans="1:48" s="515" customFormat="1" ht="31.2">
      <c r="A96" s="421"/>
      <c r="B96"/>
      <c r="C96" s="95"/>
      <c r="D96" s="95"/>
      <c r="E96" s="96"/>
      <c r="F96" s="94"/>
      <c r="G96" s="95"/>
      <c r="H96" s="95"/>
      <c r="I96" s="95"/>
      <c r="J96" s="95"/>
      <c r="K96" s="96"/>
      <c r="L96" s="94"/>
      <c r="M96" s="95"/>
      <c r="N96" s="95"/>
      <c r="O96" s="95"/>
      <c r="P96" s="96"/>
      <c r="Q96" s="378" t="s">
        <v>214</v>
      </c>
      <c r="R96" s="378" t="s">
        <v>215</v>
      </c>
      <c r="S96" s="1511" t="s">
        <v>216</v>
      </c>
      <c r="T96" s="1511"/>
      <c r="U96" s="1511"/>
      <c r="V96" s="1511"/>
      <c r="W96" s="378" t="s">
        <v>217</v>
      </c>
      <c r="X96" s="1511" t="s">
        <v>218</v>
      </c>
      <c r="Y96" s="1511"/>
      <c r="Z96" s="1511"/>
      <c r="AA96" s="1511" t="s">
        <v>219</v>
      </c>
      <c r="AB96" s="1511"/>
      <c r="AC96" s="1511"/>
      <c r="AD96" s="1511"/>
      <c r="AE96" s="1511"/>
      <c r="AF96" s="378" t="s">
        <v>220</v>
      </c>
      <c r="AG96" s="379" t="s">
        <v>221</v>
      </c>
      <c r="AH96" s="380" t="s">
        <v>222</v>
      </c>
      <c r="AI96" s="514"/>
      <c r="AJ96" s="514"/>
    </row>
    <row r="97" spans="1:34" ht="38.25" customHeight="1">
      <c r="A97" s="421"/>
      <c r="B97"/>
      <c r="C97"/>
      <c r="D97"/>
      <c r="E97" s="98"/>
      <c r="F97" s="97"/>
      <c r="G97"/>
      <c r="H97"/>
      <c r="I97"/>
      <c r="J97"/>
      <c r="K97" s="98"/>
      <c r="L97" s="97"/>
      <c r="M97"/>
      <c r="N97"/>
      <c r="O97"/>
      <c r="P97" s="98"/>
      <c r="Q97" s="280">
        <f>'Issue '!A5</f>
        <v>1</v>
      </c>
      <c r="R97" s="281">
        <f>'Issue '!V5</f>
        <v>45992</v>
      </c>
      <c r="S97" s="1380" t="str">
        <f>'Issue '!O5</f>
        <v>Reducing the scope of works along Road No. 6, including all utility networks located within this road</v>
      </c>
      <c r="T97" s="1380"/>
      <c r="U97" s="1380"/>
      <c r="V97" s="1380"/>
      <c r="W97" s="282" t="e">
        <f>IF(+#REF!="","",+#REF!)</f>
        <v>#REF!</v>
      </c>
      <c r="X97" s="1505" t="str">
        <f>'Issue '!Y5</f>
        <v>Issuing a new scope of work to include all ongoing activities covered under the contract</v>
      </c>
      <c r="Y97" s="1506"/>
      <c r="Z97" s="1506"/>
      <c r="AA97" s="1506"/>
      <c r="AB97" s="1506"/>
      <c r="AC97" s="1506"/>
      <c r="AD97" s="1506"/>
      <c r="AE97" s="1507"/>
      <c r="AF97" s="283" t="str">
        <f>'Issue '!W5</f>
        <v>Closed</v>
      </c>
      <c r="AG97" s="284">
        <f>'Issue '!X5</f>
        <v>46047</v>
      </c>
      <c r="AH97" s="285">
        <f>AG97-R97</f>
        <v>55</v>
      </c>
    </row>
    <row r="98" spans="1:34" ht="38.25" customHeight="1">
      <c r="A98" s="421"/>
      <c r="B98"/>
      <c r="C98"/>
      <c r="D98"/>
      <c r="E98" s="98"/>
      <c r="F98" s="97"/>
      <c r="G98"/>
      <c r="H98"/>
      <c r="I98"/>
      <c r="J98"/>
      <c r="K98" s="98"/>
      <c r="L98" s="97"/>
      <c r="M98"/>
      <c r="N98"/>
      <c r="O98"/>
      <c r="P98" s="98"/>
      <c r="Q98" s="280">
        <f>'Issue '!A6</f>
        <v>2</v>
      </c>
      <c r="R98" s="281">
        <f>'Issue '!V6</f>
        <v>46019</v>
      </c>
      <c r="S98" s="1380" t="str">
        <f>'Issue '!O6</f>
        <v>Scope of Work for the Proposed Wadi Channel and Box Culvert
The proposed scope of work does not include the installation of rock protection at either the upstream or downstream ends to safeguard the soil against erosion resulting from water flow. Furthermore, the revised alignment of the wadi channel does not incorporate any rock protection measures along the direction of the water flow</v>
      </c>
      <c r="T98" s="1380"/>
      <c r="U98" s="1380"/>
      <c r="V98" s="1380"/>
      <c r="W98" s="283" t="e">
        <f>IF(+#REF!="","",+#REF!)</f>
        <v>#REF!</v>
      </c>
      <c r="X98" s="1505" t="str">
        <f>'Issue '!Y6</f>
        <v>There is a need to issue a decision regarding the implementation of grouted riprap works along the wadi, as well as at the inlet and outlet of the culvert</v>
      </c>
      <c r="Y98" s="1506"/>
      <c r="Z98" s="1506"/>
      <c r="AA98" s="1506"/>
      <c r="AB98" s="1506"/>
      <c r="AC98" s="1506"/>
      <c r="AD98" s="1506"/>
      <c r="AE98" s="1507"/>
      <c r="AF98" s="283" t="str">
        <f>'Issue '!W6</f>
        <v>Closed</v>
      </c>
      <c r="AG98" s="284">
        <f>'Issue '!X6</f>
        <v>46047</v>
      </c>
      <c r="AH98" s="285">
        <f t="shared" ref="AH98:AH101" si="48">AG98-R98</f>
        <v>28</v>
      </c>
    </row>
    <row r="99" spans="1:34" ht="38.25" customHeight="1">
      <c r="A99" s="421"/>
      <c r="B99"/>
      <c r="C99"/>
      <c r="D99"/>
      <c r="E99" s="98"/>
      <c r="F99" s="97"/>
      <c r="G99"/>
      <c r="H99"/>
      <c r="I99"/>
      <c r="J99"/>
      <c r="K99" s="98"/>
      <c r="L99" s="97"/>
      <c r="M99"/>
      <c r="N99"/>
      <c r="O99"/>
      <c r="P99" s="98"/>
      <c r="Q99" s="280">
        <f>'Issue '!A7</f>
        <v>3</v>
      </c>
      <c r="R99" s="281">
        <f>'Issue '!V7</f>
        <v>46019</v>
      </c>
      <c r="S99" s="1380" t="str">
        <f>'Issue '!O7</f>
        <v>Cross‑Section of the Wadi Channel
The wadi channel has a bottom width of 15 meters and a depth of 2 meters, while the top width reaches 24 meters.
According to the flow direction, the proposed box culvert CU‑02, with dimensions (3 × 2 × 1.5), provides a total bottom width of only 6.7 meters. This indicates a significant discrepancy between the width of the wadi channel and the width of the proposed culvert</v>
      </c>
      <c r="T99" s="1380"/>
      <c r="U99" s="1380"/>
      <c r="V99" s="1380"/>
      <c r="W99" s="283" t="e">
        <f>IF(+#REF!="","",+#REF!)</f>
        <v>#REF!</v>
      </c>
      <c r="X99" s="1505" t="str">
        <f>'Issue '!Y7</f>
        <v>The IFC is followed as shown in the drawings</v>
      </c>
      <c r="Y99" s="1506"/>
      <c r="Z99" s="1506"/>
      <c r="AA99" s="1506"/>
      <c r="AB99" s="1506"/>
      <c r="AC99" s="1506"/>
      <c r="AD99" s="1506"/>
      <c r="AE99" s="1507"/>
      <c r="AF99" s="283" t="str">
        <f>'Issue '!W7</f>
        <v>Closed</v>
      </c>
      <c r="AG99" s="284">
        <f>'Issue '!X7</f>
        <v>46021</v>
      </c>
      <c r="AH99" s="285">
        <f t="shared" si="48"/>
        <v>2</v>
      </c>
    </row>
    <row r="100" spans="1:34" customFormat="1" ht="38.25" customHeight="1">
      <c r="A100" s="421"/>
      <c r="E100" s="98"/>
      <c r="F100" s="97"/>
      <c r="K100" s="98"/>
      <c r="L100" s="97"/>
      <c r="P100" s="98"/>
      <c r="Q100" s="280">
        <f>'Issue '!A8</f>
        <v>4</v>
      </c>
      <c r="R100" s="281">
        <f>'Issue '!V8</f>
        <v>46019</v>
      </c>
      <c r="S100" s="1380" t="str">
        <f>'Issue '!O8</f>
        <v>In accordance with the scope of work for the existing underpasses—which includes the removal of portions of the side walls (upstream and downstream), the installation of retaining walls at the inlet and outlet, and the construction of a concrete slab at the opening of the existing road’s top slab—we would like to inform you of the following:
It is anticipated that, in the future, water leakage may occur, along with the emission of unpleasant odors, in addition to the potential emergence of health-related issues as a result of these works</v>
      </c>
      <c r="T100" s="1380"/>
      <c r="U100" s="1380"/>
      <c r="V100" s="1380"/>
      <c r="W100" s="283" t="e">
        <f>IF(+#REF!="","",+#REF!)</f>
        <v>#REF!</v>
      </c>
      <c r="X100" s="1505" t="str">
        <f>'Issue '!Y8</f>
        <v>The complete removal of the existing underpass concrete elements, followed by backfilling with selected and properly compacted fill materials in accordance with the approved technical specifications, in preparation for re‑establishing the road level and connecting it to the surrounding network</v>
      </c>
      <c r="Y100" s="1506"/>
      <c r="Z100" s="1506"/>
      <c r="AA100" s="1506"/>
      <c r="AB100" s="1506"/>
      <c r="AC100" s="1506"/>
      <c r="AD100" s="1506"/>
      <c r="AE100" s="1507"/>
      <c r="AF100" s="283" t="str">
        <f>'Issue '!W8</f>
        <v>Closed</v>
      </c>
      <c r="AG100" s="284">
        <f>'Issue '!X8</f>
        <v>46047</v>
      </c>
      <c r="AH100" s="285">
        <f t="shared" si="48"/>
        <v>28</v>
      </c>
    </row>
    <row r="101" spans="1:34" customFormat="1" ht="38.25" customHeight="1" thickBot="1">
      <c r="A101" s="524"/>
      <c r="B101" s="525"/>
      <c r="C101" s="525"/>
      <c r="D101" s="525"/>
      <c r="E101" s="526"/>
      <c r="F101" s="527"/>
      <c r="G101" s="525"/>
      <c r="H101" s="525"/>
      <c r="I101" s="525"/>
      <c r="J101" s="525"/>
      <c r="K101" s="526"/>
      <c r="L101" s="527"/>
      <c r="M101" s="525"/>
      <c r="N101" s="525"/>
      <c r="O101" s="525"/>
      <c r="P101" s="526"/>
      <c r="Q101" s="280">
        <f>'Issue '!A9</f>
        <v>5</v>
      </c>
      <c r="R101" s="281">
        <f>'Issue '!V9</f>
        <v>46021</v>
      </c>
      <c r="S101" s="1380" t="str">
        <f>'Issue '!O9</f>
        <v>Install and maintain hard barriers around all deep openings, enforce strict no-leaning/no-entry rules, conduct regular toolbox talks, ensure continuous supervision, and implement confined space controls if entry is required.</v>
      </c>
      <c r="T101" s="1380"/>
      <c r="U101" s="1380"/>
      <c r="V101" s="1380"/>
      <c r="W101" s="286" t="e">
        <f>IF(+#REF!="","",+#REF!)</f>
        <v>#REF!</v>
      </c>
      <c r="X101" s="1505" t="str">
        <f>'Issue '!Y9</f>
        <v>Provided hard barrications around the excavations, permit is obtained and excavation safety training has been delivered.</v>
      </c>
      <c r="Y101" s="1506"/>
      <c r="Z101" s="1506"/>
      <c r="AA101" s="1506"/>
      <c r="AB101" s="1506"/>
      <c r="AC101" s="1506"/>
      <c r="AD101" s="1506"/>
      <c r="AE101" s="1507"/>
      <c r="AF101" s="283" t="str">
        <f>'Issue '!W9</f>
        <v>Closed</v>
      </c>
      <c r="AG101" s="284">
        <f>'Issue '!X9</f>
        <v>46113</v>
      </c>
      <c r="AH101" s="285">
        <f t="shared" si="48"/>
        <v>92</v>
      </c>
    </row>
    <row r="102" spans="1:34" customFormat="1" ht="14.4"/>
    <row r="103" spans="1:34" customFormat="1">
      <c r="A103" s="314"/>
      <c r="B103" s="314"/>
      <c r="C103" s="314"/>
      <c r="D103" s="314"/>
      <c r="E103" s="314"/>
      <c r="F103" s="314"/>
      <c r="G103" s="314"/>
      <c r="H103" s="314"/>
      <c r="I103" s="314"/>
      <c r="J103" s="314"/>
      <c r="K103" s="314"/>
      <c r="L103" s="314"/>
    </row>
    <row r="104" spans="1:34" customFormat="1">
      <c r="A104" s="314"/>
      <c r="B104" s="314"/>
      <c r="C104" s="314"/>
      <c r="D104" s="314"/>
      <c r="E104" s="314"/>
      <c r="F104" s="314"/>
      <c r="G104" s="314"/>
      <c r="H104" s="314"/>
      <c r="I104" s="314"/>
      <c r="J104" s="314"/>
      <c r="K104" s="314"/>
      <c r="L104" s="314"/>
      <c r="W104" s="83"/>
    </row>
    <row r="105" spans="1:34" customFormat="1">
      <c r="A105" s="314"/>
      <c r="B105" s="314"/>
      <c r="C105" s="314"/>
      <c r="D105" s="314"/>
      <c r="E105" s="314"/>
      <c r="F105" s="314"/>
      <c r="G105" s="314"/>
      <c r="H105" s="314"/>
      <c r="I105" s="314"/>
      <c r="J105" s="314"/>
      <c r="K105" s="314"/>
      <c r="L105" s="314"/>
      <c r="W105" s="516"/>
    </row>
    <row r="106" spans="1:34" customFormat="1">
      <c r="A106" s="314"/>
      <c r="B106" s="314"/>
      <c r="C106" s="314"/>
      <c r="D106" s="314"/>
      <c r="E106" s="314"/>
      <c r="F106" s="314"/>
      <c r="G106" s="314"/>
      <c r="H106" s="314"/>
      <c r="I106" s="314"/>
      <c r="J106" s="314"/>
      <c r="K106" s="314"/>
      <c r="L106" s="314"/>
    </row>
    <row r="107" spans="1:34" customFormat="1">
      <c r="H107" s="314"/>
      <c r="I107" s="314"/>
      <c r="J107" s="314"/>
      <c r="K107" s="314"/>
    </row>
    <row r="108" spans="1:34" customFormat="1">
      <c r="H108" s="314"/>
      <c r="I108" s="314"/>
      <c r="J108" s="314"/>
      <c r="K108" s="314"/>
    </row>
    <row r="109" spans="1:34" customFormat="1">
      <c r="H109" s="314"/>
      <c r="I109" s="314"/>
      <c r="J109" s="314"/>
      <c r="K109" s="314"/>
    </row>
    <row r="110" spans="1:34" customFormat="1">
      <c r="H110" s="314"/>
      <c r="I110" s="314"/>
      <c r="J110" s="314"/>
      <c r="K110" s="314"/>
    </row>
    <row r="111" spans="1:34" customFormat="1" ht="14.4"/>
    <row r="112" spans="1:34"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sheetData>
  <sheetProtection formatCells="0" formatColumns="0" formatRows="0" insertHyperlinks="0" sort="0" autoFilter="0" pivotTables="0"/>
  <mergeCells count="266">
    <mergeCell ref="B5:C5"/>
    <mergeCell ref="E4:F4"/>
    <mergeCell ref="E5:F5"/>
    <mergeCell ref="E6:F6"/>
    <mergeCell ref="B6:C6"/>
    <mergeCell ref="X100:AE100"/>
    <mergeCell ref="X101:AE101"/>
    <mergeCell ref="AB30:AC30"/>
    <mergeCell ref="AB31:AC31"/>
    <mergeCell ref="AB32:AC32"/>
    <mergeCell ref="AB33:AC33"/>
    <mergeCell ref="AB34:AC34"/>
    <mergeCell ref="AB35:AC35"/>
    <mergeCell ref="AB36:AC36"/>
    <mergeCell ref="AB37:AC37"/>
    <mergeCell ref="X88:AB88"/>
    <mergeCell ref="X89:AB89"/>
    <mergeCell ref="X90:AB90"/>
    <mergeCell ref="X91:AB91"/>
    <mergeCell ref="X92:AB92"/>
    <mergeCell ref="X93:AB93"/>
    <mergeCell ref="Y79:AC80"/>
    <mergeCell ref="X83:X84"/>
    <mergeCell ref="X97:AE97"/>
    <mergeCell ref="X98:AE98"/>
    <mergeCell ref="AB38:AC38"/>
    <mergeCell ref="AB40:AC40"/>
    <mergeCell ref="Z72:AA72"/>
    <mergeCell ref="O77:Q77"/>
    <mergeCell ref="A79:B79"/>
    <mergeCell ref="A80:B80"/>
    <mergeCell ref="A81:B81"/>
    <mergeCell ref="A83:B83"/>
    <mergeCell ref="A82:B82"/>
    <mergeCell ref="AD81:AD82"/>
    <mergeCell ref="H77:H78"/>
    <mergeCell ref="Z73:AA73"/>
    <mergeCell ref="Z74:AA74"/>
    <mergeCell ref="Z76:AA76"/>
    <mergeCell ref="Z75:AA75"/>
    <mergeCell ref="X74:Y74"/>
    <mergeCell ref="X72:Y72"/>
    <mergeCell ref="X73:Y73"/>
    <mergeCell ref="L95:P95"/>
    <mergeCell ref="S97:V97"/>
    <mergeCell ref="AA96:AE96"/>
    <mergeCell ref="D90:G90"/>
    <mergeCell ref="D91:E91"/>
    <mergeCell ref="X99:AE99"/>
    <mergeCell ref="W85:W86"/>
    <mergeCell ref="X85:X86"/>
    <mergeCell ref="X96:Z96"/>
    <mergeCell ref="AE83:AE84"/>
    <mergeCell ref="T81:V81"/>
    <mergeCell ref="E77:E78"/>
    <mergeCell ref="F77:F78"/>
    <mergeCell ref="A95:E95"/>
    <mergeCell ref="A90:C91"/>
    <mergeCell ref="A77:B78"/>
    <mergeCell ref="H90:K91"/>
    <mergeCell ref="A84:B84"/>
    <mergeCell ref="S99:V99"/>
    <mergeCell ref="J93:K93"/>
    <mergeCell ref="O78:Q78"/>
    <mergeCell ref="O79:Q79"/>
    <mergeCell ref="L80:V80"/>
    <mergeCell ref="S96:V96"/>
    <mergeCell ref="W83:W84"/>
    <mergeCell ref="W77:AH78"/>
    <mergeCell ref="W79:W80"/>
    <mergeCell ref="W81:W82"/>
    <mergeCell ref="F95:K95"/>
    <mergeCell ref="AH85:AH86"/>
    <mergeCell ref="X79:X80"/>
    <mergeCell ref="AD79:AD80"/>
    <mergeCell ref="AE79:AE80"/>
    <mergeCell ref="AF79:AF80"/>
    <mergeCell ref="AG79:AG80"/>
    <mergeCell ref="AH79:AH80"/>
    <mergeCell ref="Y81:AC82"/>
    <mergeCell ref="Y83:AC84"/>
    <mergeCell ref="Y85:AC86"/>
    <mergeCell ref="AD85:AD86"/>
    <mergeCell ref="AE85:AE86"/>
    <mergeCell ref="AE81:AE82"/>
    <mergeCell ref="AF81:AF82"/>
    <mergeCell ref="AG81:AG82"/>
    <mergeCell ref="AH81:AH82"/>
    <mergeCell ref="AD83:AD84"/>
    <mergeCell ref="AF83:AF84"/>
    <mergeCell ref="AG83:AG84"/>
    <mergeCell ref="AH83:AH84"/>
    <mergeCell ref="AG85:AG86"/>
    <mergeCell ref="AF85:AF86"/>
    <mergeCell ref="X81:X82"/>
    <mergeCell ref="F91:G91"/>
    <mergeCell ref="G77:G78"/>
    <mergeCell ref="A10:B11"/>
    <mergeCell ref="A1:I1"/>
    <mergeCell ref="L58:V58"/>
    <mergeCell ref="X59:Y60"/>
    <mergeCell ref="W59:W60"/>
    <mergeCell ref="A59:B60"/>
    <mergeCell ref="O9:Z9"/>
    <mergeCell ref="E10:F10"/>
    <mergeCell ref="G10:N10"/>
    <mergeCell ref="A17:B17"/>
    <mergeCell ref="A27:B27"/>
    <mergeCell ref="K59:K60"/>
    <mergeCell ref="J59:J60"/>
    <mergeCell ref="N59:N61"/>
    <mergeCell ref="L59:M61"/>
    <mergeCell ref="Q59:Q61"/>
    <mergeCell ref="P59:P61"/>
    <mergeCell ref="O59:O61"/>
    <mergeCell ref="I59:I60"/>
    <mergeCell ref="A12:B12"/>
    <mergeCell ref="A13:B13"/>
    <mergeCell ref="Y5:Y6"/>
    <mergeCell ref="Y3:Y4"/>
    <mergeCell ref="D10:D11"/>
    <mergeCell ref="C59:C60"/>
    <mergeCell ref="P10:P11"/>
    <mergeCell ref="Q10:T10"/>
    <mergeCell ref="C10:C11"/>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B4:C4"/>
    <mergeCell ref="A14:B14"/>
    <mergeCell ref="S100:V100"/>
    <mergeCell ref="Z59:AA60"/>
    <mergeCell ref="Z62:AA62"/>
    <mergeCell ref="Z64:AA64"/>
    <mergeCell ref="Z65:AA65"/>
    <mergeCell ref="S98:V98"/>
    <mergeCell ref="X71:Y71"/>
    <mergeCell ref="A72:B72"/>
    <mergeCell ref="A73:B73"/>
    <mergeCell ref="A68:B69"/>
    <mergeCell ref="O70:P70"/>
    <mergeCell ref="O71:P71"/>
    <mergeCell ref="L70:N70"/>
    <mergeCell ref="L71:N71"/>
    <mergeCell ref="A87:E87"/>
    <mergeCell ref="F87:K87"/>
    <mergeCell ref="J89:K89"/>
    <mergeCell ref="S84:V84"/>
    <mergeCell ref="I84:K84"/>
    <mergeCell ref="I77:K78"/>
    <mergeCell ref="I79:K79"/>
    <mergeCell ref="I80:K80"/>
    <mergeCell ref="I81:K81"/>
    <mergeCell ref="L62:M62"/>
    <mergeCell ref="S101:V101"/>
    <mergeCell ref="R59:V59"/>
    <mergeCell ref="V60:V61"/>
    <mergeCell ref="U60:U61"/>
    <mergeCell ref="T60:T61"/>
    <mergeCell ref="S60:S61"/>
    <mergeCell ref="R60:R61"/>
    <mergeCell ref="Q67:T67"/>
    <mergeCell ref="Q68:T68"/>
    <mergeCell ref="Q69:T69"/>
    <mergeCell ref="Q70:T70"/>
    <mergeCell ref="Q71:T71"/>
    <mergeCell ref="L72:V72"/>
    <mergeCell ref="O73:Q73"/>
    <mergeCell ref="O74:Q74"/>
    <mergeCell ref="O75:Q75"/>
    <mergeCell ref="O76:Q76"/>
    <mergeCell ref="L76:M76"/>
    <mergeCell ref="L77:M77"/>
    <mergeCell ref="L78:M78"/>
    <mergeCell ref="L79:M79"/>
    <mergeCell ref="U67:V67"/>
    <mergeCell ref="U68:V68"/>
    <mergeCell ref="U69:V69"/>
    <mergeCell ref="W72:W76"/>
    <mergeCell ref="Z61:AA61"/>
    <mergeCell ref="AA3:AH6"/>
    <mergeCell ref="X75:Y75"/>
    <mergeCell ref="X76:Y76"/>
    <mergeCell ref="X61:Y61"/>
    <mergeCell ref="X62:Y62"/>
    <mergeCell ref="X63:Y63"/>
    <mergeCell ref="X64:Y64"/>
    <mergeCell ref="X65:Y65"/>
    <mergeCell ref="X66:Y66"/>
    <mergeCell ref="X67:Y67"/>
    <mergeCell ref="X68:Y68"/>
    <mergeCell ref="X69:Y69"/>
    <mergeCell ref="AB59:AB60"/>
    <mergeCell ref="AC59:AC60"/>
    <mergeCell ref="AD59:AD60"/>
    <mergeCell ref="Z63:AA63"/>
    <mergeCell ref="Z66:AA66"/>
    <mergeCell ref="Z67:AA67"/>
    <mergeCell ref="Z68:AA68"/>
    <mergeCell ref="Z69:AA69"/>
    <mergeCell ref="Z70:AA70"/>
    <mergeCell ref="Z71:AA71"/>
    <mergeCell ref="A18:B18"/>
    <mergeCell ref="A24:B24"/>
    <mergeCell ref="A25:B25"/>
    <mergeCell ref="A26:B26"/>
    <mergeCell ref="I82:K82"/>
    <mergeCell ref="I83:K83"/>
    <mergeCell ref="A85:K85"/>
    <mergeCell ref="A86:K86"/>
    <mergeCell ref="C77:C78"/>
    <mergeCell ref="D77:D78"/>
    <mergeCell ref="A74:B74"/>
    <mergeCell ref="A23:B23"/>
    <mergeCell ref="AE67:AH68"/>
    <mergeCell ref="L63:M63"/>
    <mergeCell ref="O67:P67"/>
    <mergeCell ref="O68:P68"/>
    <mergeCell ref="J68:J69"/>
    <mergeCell ref="O69:P69"/>
    <mergeCell ref="C68:C69"/>
    <mergeCell ref="I68:I69"/>
    <mergeCell ref="AB39:AC39"/>
    <mergeCell ref="W61:W62"/>
    <mergeCell ref="W63:W71"/>
    <mergeCell ref="U70:V70"/>
    <mergeCell ref="U71:V71"/>
    <mergeCell ref="X70:Y70"/>
    <mergeCell ref="AE58:AH58"/>
    <mergeCell ref="A15:B15"/>
    <mergeCell ref="L75:M75"/>
    <mergeCell ref="A75:B75"/>
    <mergeCell ref="A64:B64"/>
    <mergeCell ref="A65:B65"/>
    <mergeCell ref="A66:B66"/>
    <mergeCell ref="A70:B70"/>
    <mergeCell ref="A71:B71"/>
    <mergeCell ref="A61:B61"/>
    <mergeCell ref="A62:B62"/>
    <mergeCell ref="A63:B63"/>
    <mergeCell ref="L64:M64"/>
    <mergeCell ref="L65:M65"/>
    <mergeCell ref="L67:N67"/>
    <mergeCell ref="L73:M73"/>
    <mergeCell ref="L74:M74"/>
    <mergeCell ref="K68:K69"/>
    <mergeCell ref="L68:N68"/>
    <mergeCell ref="L69:N69"/>
    <mergeCell ref="A19:B19"/>
    <mergeCell ref="A20:B20"/>
    <mergeCell ref="A21:B21"/>
    <mergeCell ref="A22:B22"/>
    <mergeCell ref="A16:B16"/>
  </mergeCells>
  <conditionalFormatting sqref="D12:D28">
    <cfRule type="dataBar" priority="536">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9">
    <cfRule type="cellIs" dxfId="143" priority="23" operator="lessThan">
      <formula>0</formula>
    </cfRule>
  </conditionalFormatting>
  <conditionalFormatting sqref="J12:J27">
    <cfRule type="colorScale" priority="538">
      <colorScale>
        <cfvo type="min"/>
        <cfvo type="percentile" val="50"/>
        <cfvo type="max"/>
        <color theme="5" tint="0.59999389629810485"/>
        <color theme="7" tint="0.79998168889431442"/>
        <color theme="4" tint="0.59999389629810485"/>
      </colorScale>
    </cfRule>
  </conditionalFormatting>
  <conditionalFormatting sqref="J28">
    <cfRule type="colorScale" priority="8">
      <colorScale>
        <cfvo type="min"/>
        <cfvo type="percentile" val="50"/>
        <cfvo type="max"/>
        <color theme="5" tint="0.59999389629810485"/>
        <color theme="7" tint="0.79998168889431442"/>
        <color theme="4" tint="0.59999389629810485"/>
      </colorScale>
    </cfRule>
  </conditionalFormatting>
  <conditionalFormatting sqref="J89:K89">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J93:K93">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539">
      <colorScale>
        <cfvo type="min"/>
        <cfvo type="percentile" val="50"/>
        <cfvo type="max"/>
        <color theme="5" tint="0.59999389629810485"/>
        <color theme="7" tint="0.79998168889431442"/>
        <color theme="4" tint="0.59999389629810485"/>
      </colorScale>
    </cfRule>
  </conditionalFormatting>
  <conditionalFormatting sqref="M12:M27">
    <cfRule type="dataBar" priority="542">
      <dataBar>
        <cfvo type="min"/>
        <cfvo type="max"/>
        <color theme="0" tint="-0.249977111117893"/>
      </dataBar>
      <extLst>
        <ext xmlns:x14="http://schemas.microsoft.com/office/spreadsheetml/2009/9/main" uri="{B025F937-C7B1-47D3-B67F-A62EFF666E3E}">
          <x14:id>{9DE887E0-D252-4EC6-8D45-08DA8F54C581}</x14:id>
        </ext>
      </extLst>
    </cfRule>
    <cfRule type="cellIs" dxfId="142" priority="541" operator="lessThan">
      <formula>0</formula>
    </cfRule>
  </conditionalFormatting>
  <conditionalFormatting sqref="N12:N27 Z12:Z27">
    <cfRule type="expression" dxfId="141" priority="223">
      <formula>N12&gt;1</formula>
    </cfRule>
    <cfRule type="expression" dxfId="140" priority="222">
      <formula>N12=1</formula>
    </cfRule>
    <cfRule type="expression" dxfId="139" priority="221">
      <formula>N12&lt;1</formula>
    </cfRule>
  </conditionalFormatting>
  <conditionalFormatting sqref="N28">
    <cfRule type="expression" dxfId="138" priority="219">
      <formula>N28=1</formula>
    </cfRule>
    <cfRule type="expression" dxfId="137" priority="218">
      <formula>N28&lt;1</formula>
    </cfRule>
    <cfRule type="expression" dxfId="136" priority="220">
      <formula>N28&gt;1</formula>
    </cfRule>
  </conditionalFormatting>
  <conditionalFormatting sqref="O6:P6">
    <cfRule type="cellIs" dxfId="135" priority="165" operator="greaterThan">
      <formula>0</formula>
    </cfRule>
  </conditionalFormatting>
  <conditionalFormatting sqref="P12:P28">
    <cfRule type="dataBar" priority="543">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545">
      <colorScale>
        <cfvo type="min"/>
        <cfvo type="percentile" val="50"/>
        <cfvo type="max"/>
        <color theme="5" tint="0.59999389629810485"/>
        <color theme="7" tint="0.79998168889431442"/>
        <color theme="4" tint="0.59999389629810485"/>
      </colorScale>
    </cfRule>
  </conditionalFormatting>
  <conditionalFormatting sqref="S97:S101 AG97:AG101">
    <cfRule type="cellIs" dxfId="134" priority="66" stopIfTrue="1" operator="equal">
      <formula>"Threat"</formula>
    </cfRule>
    <cfRule type="cellIs" dxfId="133" priority="67" stopIfTrue="1" operator="equal">
      <formula>"Opportunity"</formula>
    </cfRule>
    <cfRule type="cellIs" dxfId="132" priority="68" stopIfTrue="1" operator="equal">
      <formula>"Issue"</formula>
    </cfRule>
  </conditionalFormatting>
  <conditionalFormatting sqref="T12:T28">
    <cfRule type="colorScale" priority="547">
      <colorScale>
        <cfvo type="min"/>
        <cfvo type="percentile" val="50"/>
        <cfvo type="max"/>
        <color theme="5" tint="0.59999389629810485"/>
        <color theme="7" tint="0.79998168889431442"/>
        <color theme="4" tint="0.59999389629810485"/>
      </colorScale>
    </cfRule>
  </conditionalFormatting>
  <conditionalFormatting sqref="V5">
    <cfRule type="cellIs" dxfId="131" priority="160" stopIfTrue="1" operator="greaterThanOrEqual">
      <formula>0</formula>
    </cfRule>
    <cfRule type="cellIs" dxfId="130" priority="161" stopIfTrue="1" operator="between">
      <formula>-0.1</formula>
      <formula>0</formula>
    </cfRule>
    <cfRule type="cellIs" dxfId="129" priority="162" stopIfTrue="1" operator="lessThan">
      <formula>-0.1</formula>
    </cfRule>
  </conditionalFormatting>
  <conditionalFormatting sqref="V6">
    <cfRule type="cellIs" dxfId="128" priority="159" operator="greaterThanOrEqual">
      <formula>0.9</formula>
    </cfRule>
    <cfRule type="cellIs" dxfId="127" priority="158" operator="lessThan">
      <formula>0.9</formula>
    </cfRule>
  </conditionalFormatting>
  <conditionalFormatting sqref="V83">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549">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41">
      <colorScale>
        <cfvo type="min"/>
        <cfvo type="percentile" val="50"/>
        <cfvo type="max"/>
        <color theme="5" tint="0.59999389629810485"/>
        <color theme="7" tint="0.79998168889431442"/>
        <color theme="4" tint="0.59999389629810485"/>
      </colorScale>
    </cfRule>
  </conditionalFormatting>
  <conditionalFormatting sqref="X5">
    <cfRule type="cellIs" dxfId="126" priority="2" stopIfTrue="1" operator="between">
      <formula>-0.1</formula>
      <formula>0</formula>
    </cfRule>
    <cfRule type="cellIs" dxfId="125" priority="3" stopIfTrue="1" operator="lessThan">
      <formula>-0.1</formula>
    </cfRule>
    <cfRule type="cellIs" dxfId="124" priority="1" stopIfTrue="1" operator="greaterThanOrEqual">
      <formula>0</formula>
    </cfRule>
  </conditionalFormatting>
  <conditionalFormatting sqref="X6">
    <cfRule type="cellIs" dxfId="123" priority="6" operator="lessThan">
      <formula>0.9</formula>
    </cfRule>
    <cfRule type="cellIs" dxfId="122" priority="7" operator="greaterThanOrEqual">
      <formula>0.9</formula>
    </cfRule>
  </conditionalFormatting>
  <conditionalFormatting sqref="X12:X28">
    <cfRule type="colorScale" priority="551">
      <colorScale>
        <cfvo type="min"/>
        <cfvo type="percentile" val="50"/>
        <cfvo type="max"/>
        <color theme="5" tint="0.59999389629810485"/>
        <color theme="7" tint="0.79998168889431442"/>
        <color theme="4" tint="0.59999389629810485"/>
      </colorScale>
    </cfRule>
  </conditionalFormatting>
  <conditionalFormatting sqref="Y12:Y27">
    <cfRule type="cellIs" dxfId="121" priority="553" operator="lessThan">
      <formula>0</formula>
    </cfRule>
    <cfRule type="dataBar" priority="554">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120" priority="141" stopIfTrue="1">
      <formula>IF(AND(Z$3&lt;0.8),TRUE,FALSE)</formula>
    </cfRule>
    <cfRule type="expression" dxfId="119" priority="140" stopIfTrue="1">
      <formula>IF(AND(Z$3&gt;0.8,Z$3&lt;0.9),TRUE,FALSE)</formula>
    </cfRule>
    <cfRule type="expression" dxfId="118" priority="139" stopIfTrue="1">
      <formula>IF(AND(Z$3&gt;=0.9),TRUE,FALSE)</formula>
    </cfRule>
  </conditionalFormatting>
  <conditionalFormatting sqref="Z5:Z6">
    <cfRule type="expression" dxfId="117" priority="33" stopIfTrue="1">
      <formula>IF(AND(Z$5&lt;0.8),TRUE,FALSE)</formula>
    </cfRule>
    <cfRule type="expression" dxfId="116" priority="32" stopIfTrue="1">
      <formula>IF(AND(Z$5&gt;0.8,Z$5&lt;0.9),TRUE,FALSE)</formula>
    </cfRule>
    <cfRule type="expression" dxfId="115" priority="31" stopIfTrue="1">
      <formula>IF(AND(Z$5&gt;=0.9),TRUE,FALSE)</formula>
    </cfRule>
  </conditionalFormatting>
  <conditionalFormatting sqref="Z28">
    <cfRule type="expression" dxfId="114" priority="202">
      <formula>Z28&lt;1</formula>
    </cfRule>
    <cfRule type="expression" dxfId="113" priority="203">
      <formula>Z28=1</formula>
    </cfRule>
    <cfRule type="expression" dxfId="112" priority="204">
      <formula>Z28&gt;1</formula>
    </cfRule>
  </conditionalFormatting>
  <conditionalFormatting sqref="AG31:AG40">
    <cfRule type="cellIs" dxfId="111" priority="28" stopIfTrue="1" operator="equal">
      <formula>$Y4</formula>
    </cfRule>
    <cfRule type="cellIs" dxfId="110" priority="27" stopIfTrue="1" operator="equal">
      <formula>"F"</formula>
    </cfRule>
    <cfRule type="cellIs" dxfId="109" priority="26" stopIfTrue="1" operator="equal">
      <formula>"A"</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2" xr:uid="{00000000-0002-0000-0000-000010000000}"/>
    <dataValidation allowBlank="1" showInputMessage="1" showErrorMessage="1" prompt="Material Inspection Report" sqref="L64" xr:uid="{00000000-0002-0000-0000-000012000000}"/>
    <dataValidation allowBlank="1" showInputMessage="1" showErrorMessage="1" prompt="Field Inspection Report" sqref="L65" xr:uid="{00000000-0002-0000-0000-000013000000}"/>
    <dataValidation type="list" allowBlank="1" showInputMessage="1" showErrorMessage="1" prompt="Select as loaded in P6 Schedule" sqref="O11" xr:uid="{00000000-0002-0000-0000-000020000000}">
      <formula1>"(Manhours),(Mandays)"</formula1>
    </dataValidation>
    <dataValidation allowBlank="1" sqref="L63:M63" xr:uid="{FEC5B7C1-E5CF-420F-B3CD-54AB34A74F74}"/>
  </dataValidations>
  <printOptions horizontalCentered="1" verticalCentered="1"/>
  <pageMargins left="0.15" right="0.15" top="0.15" bottom="0.15" header="0" footer="0"/>
  <pageSetup paperSize="8" scale="38" orientation="landscape" r:id="rId1"/>
  <headerFooter alignWithMargins="0">
    <oddFooter>&amp;L_x000D_&amp;1#&amp;"Calibri"&amp;10&amp;K000000 Data sensitivity - Public</oddFooter>
  </headerFooter>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J89:K89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J93:K93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V83</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K107"/>
  <sheetViews>
    <sheetView showGridLines="0" zoomScale="55" zoomScaleNormal="55" workbookViewId="0">
      <pane xSplit="9" ySplit="5" topLeftCell="J6" activePane="bottomRight" state="frozen"/>
      <selection pane="topRight" activeCell="J1" sqref="J1"/>
      <selection pane="bottomLeft" activeCell="A6" sqref="A6"/>
      <selection pane="bottomRight" activeCell="J21" sqref="J21"/>
    </sheetView>
  </sheetViews>
  <sheetFormatPr defaultColWidth="9.33203125" defaultRowHeight="12"/>
  <cols>
    <col min="1" max="1" width="20.6640625" style="714" customWidth="1"/>
    <col min="2" max="2" width="62.33203125" style="714" customWidth="1"/>
    <col min="3" max="3" width="38.88671875" style="715" bestFit="1" customWidth="1"/>
    <col min="4" max="4" width="17.88671875" style="1127" bestFit="1" customWidth="1"/>
    <col min="5" max="5" width="89.6640625" style="714" customWidth="1"/>
    <col min="6" max="6" width="10.6640625" style="707" customWidth="1"/>
    <col min="7" max="7" width="13.109375" style="716" bestFit="1" customWidth="1"/>
    <col min="8" max="8" width="14.6640625" style="716" customWidth="1"/>
    <col min="9" max="9" width="23.88671875" style="716" customWidth="1"/>
    <col min="10" max="10" width="24.109375" style="707" customWidth="1"/>
    <col min="11" max="11" width="19.109375" style="707" customWidth="1"/>
    <col min="12" max="12" width="12.44140625" style="707" bestFit="1" customWidth="1"/>
    <col min="13" max="15" width="9.33203125" style="707"/>
    <col min="16" max="16" width="12.33203125" style="707" bestFit="1" customWidth="1"/>
    <col min="17" max="16384" width="9.33203125" style="707"/>
  </cols>
  <sheetData>
    <row r="1" spans="1:11" s="695" customFormat="1" ht="40.5" customHeight="1">
      <c r="A1" s="1557" t="s">
        <v>30</v>
      </c>
      <c r="B1" s="1558"/>
      <c r="C1" s="1568" t="str">
        <f>+'General Information'!C3:I3</f>
        <v>LAND DEVELOPMENT OF JEDDAH OASIS</v>
      </c>
      <c r="D1" s="1569"/>
      <c r="E1" s="1569"/>
      <c r="F1" s="1570" t="s">
        <v>223</v>
      </c>
      <c r="G1" s="1571"/>
      <c r="H1" s="1572"/>
      <c r="I1" s="938">
        <f>+Total</f>
        <v>1103431.6391257099</v>
      </c>
      <c r="J1" s="819" t="s">
        <v>1219</v>
      </c>
      <c r="K1" s="819" t="s">
        <v>224</v>
      </c>
    </row>
    <row r="2" spans="1:11" s="695" customFormat="1" ht="20.100000000000001" customHeight="1">
      <c r="A2" s="1557" t="s">
        <v>40</v>
      </c>
      <c r="B2" s="1558"/>
      <c r="C2" s="1559" t="str">
        <f>+'General Information'!C4:I4</f>
        <v>JHD4-02-007</v>
      </c>
      <c r="D2" s="1560"/>
      <c r="E2" s="915" t="s">
        <v>225</v>
      </c>
      <c r="F2" s="1563">
        <v>57304347.829999998</v>
      </c>
      <c r="G2" s="1563"/>
      <c r="H2" s="1563"/>
      <c r="I2" s="1564"/>
      <c r="J2" s="820">
        <v>42652525.541797854</v>
      </c>
      <c r="K2" s="820">
        <f>'FIR sum'!C49</f>
        <v>53231723.454849944</v>
      </c>
    </row>
    <row r="3" spans="1:11" s="695" customFormat="1" ht="20.100000000000001" customHeight="1">
      <c r="A3" s="1557" t="s">
        <v>226</v>
      </c>
      <c r="B3" s="1558"/>
      <c r="C3" s="1565">
        <f>+F3-6</f>
        <v>46302</v>
      </c>
      <c r="D3" s="1566"/>
      <c r="E3" s="915" t="s">
        <v>227</v>
      </c>
      <c r="F3" s="1565">
        <f>+'General Information'!L1</f>
        <v>46308</v>
      </c>
      <c r="G3" s="1567"/>
      <c r="H3" s="1567"/>
      <c r="I3" s="1566"/>
      <c r="K3" s="982"/>
    </row>
    <row r="4" spans="1:11" s="695" customFormat="1">
      <c r="A4" s="696"/>
      <c r="B4" s="697"/>
      <c r="C4" s="698"/>
      <c r="D4" s="1122"/>
      <c r="E4" s="697"/>
      <c r="F4" s="699"/>
      <c r="G4" s="700"/>
      <c r="H4" s="700"/>
      <c r="I4" s="701"/>
      <c r="K4" s="823"/>
    </row>
    <row r="5" spans="1:11" s="695" customFormat="1" ht="24">
      <c r="A5" s="813" t="s">
        <v>228</v>
      </c>
      <c r="B5" s="702" t="s">
        <v>229</v>
      </c>
      <c r="C5" s="703" t="s">
        <v>230</v>
      </c>
      <c r="D5" s="1123" t="s">
        <v>231</v>
      </c>
      <c r="E5" s="813" t="s">
        <v>232</v>
      </c>
      <c r="F5" s="702" t="s">
        <v>233</v>
      </c>
      <c r="G5" s="702" t="s">
        <v>234</v>
      </c>
      <c r="H5" s="702" t="s">
        <v>235</v>
      </c>
      <c r="I5" s="702" t="s">
        <v>236</v>
      </c>
      <c r="K5" s="823"/>
    </row>
    <row r="6" spans="1:11" ht="15" customHeight="1">
      <c r="A6" s="1561"/>
      <c r="B6" s="1562"/>
      <c r="C6" s="704"/>
      <c r="D6" s="1124"/>
      <c r="E6" s="916"/>
      <c r="F6" s="705"/>
      <c r="G6" s="705"/>
      <c r="H6" s="986"/>
      <c r="I6" s="706"/>
    </row>
    <row r="7" spans="1:11" ht="52.2">
      <c r="A7" s="1219" t="s">
        <v>1220</v>
      </c>
      <c r="B7" s="1220" t="s">
        <v>1221</v>
      </c>
      <c r="C7" s="1222" t="s">
        <v>1234</v>
      </c>
      <c r="D7" s="1223">
        <v>46257</v>
      </c>
      <c r="E7" s="1221" t="s">
        <v>1255</v>
      </c>
      <c r="F7" s="708"/>
      <c r="G7" s="709">
        <v>56485.200391430502</v>
      </c>
      <c r="H7" s="989">
        <v>0.2</v>
      </c>
      <c r="I7" s="710">
        <v>11297.040078286102</v>
      </c>
      <c r="J7" s="822"/>
      <c r="K7" s="822"/>
    </row>
    <row r="8" spans="1:11" ht="52.2">
      <c r="A8" s="1219" t="s">
        <v>1220</v>
      </c>
      <c r="B8" s="1220" t="s">
        <v>1221</v>
      </c>
      <c r="C8" s="1222" t="s">
        <v>1235</v>
      </c>
      <c r="D8" s="1223">
        <v>46257</v>
      </c>
      <c r="E8" s="1221" t="s">
        <v>1256</v>
      </c>
      <c r="F8" s="708"/>
      <c r="G8" s="709">
        <v>56485.200391430502</v>
      </c>
      <c r="H8" s="989">
        <v>0.2</v>
      </c>
      <c r="I8" s="710">
        <v>11297.040078286102</v>
      </c>
      <c r="K8" s="822"/>
    </row>
    <row r="9" spans="1:11" ht="52.2">
      <c r="A9" s="1219" t="s">
        <v>1220</v>
      </c>
      <c r="B9" s="1220" t="s">
        <v>1221</v>
      </c>
      <c r="C9" s="1222" t="s">
        <v>1236</v>
      </c>
      <c r="D9" s="1223">
        <v>46166</v>
      </c>
      <c r="E9" s="1221" t="s">
        <v>1257</v>
      </c>
      <c r="F9" s="708"/>
      <c r="G9" s="709">
        <v>56485.200391430502</v>
      </c>
      <c r="H9" s="989">
        <v>0.2</v>
      </c>
      <c r="I9" s="710">
        <v>11297.040078286102</v>
      </c>
      <c r="K9" s="822"/>
    </row>
    <row r="10" spans="1:11" ht="52.2">
      <c r="A10" s="1219" t="s">
        <v>1220</v>
      </c>
      <c r="B10" s="1220" t="s">
        <v>1221</v>
      </c>
      <c r="C10" s="1222" t="s">
        <v>1237</v>
      </c>
      <c r="D10" s="1223">
        <v>46166</v>
      </c>
      <c r="E10" s="1221" t="s">
        <v>1258</v>
      </c>
      <c r="F10" s="708"/>
      <c r="G10" s="709">
        <v>56485.200391430502</v>
      </c>
      <c r="H10" s="989">
        <v>0.4</v>
      </c>
      <c r="I10" s="710">
        <v>22594.080156572203</v>
      </c>
    </row>
    <row r="11" spans="1:11" ht="52.2">
      <c r="A11" s="1219" t="s">
        <v>1222</v>
      </c>
      <c r="B11" s="1220" t="s">
        <v>1223</v>
      </c>
      <c r="C11" s="1222" t="s">
        <v>1238</v>
      </c>
      <c r="D11" s="1223">
        <v>46166</v>
      </c>
      <c r="E11" s="1221" t="s">
        <v>1259</v>
      </c>
      <c r="F11" s="708"/>
      <c r="G11" s="709">
        <v>28.242600195715202</v>
      </c>
      <c r="H11" s="989">
        <v>97.78</v>
      </c>
      <c r="I11" s="710">
        <v>2761.5614471370322</v>
      </c>
    </row>
    <row r="12" spans="1:11" ht="34.799999999999997">
      <c r="A12" s="1219" t="s">
        <v>1214</v>
      </c>
      <c r="B12" s="1220" t="s">
        <v>1215</v>
      </c>
      <c r="C12" s="1222" t="s">
        <v>1239</v>
      </c>
      <c r="D12" s="1223">
        <v>45893</v>
      </c>
      <c r="E12" s="1221" t="s">
        <v>1260</v>
      </c>
      <c r="F12" s="708"/>
      <c r="G12" s="709">
        <v>56.49</v>
      </c>
      <c r="H12" s="989">
        <v>783.36</v>
      </c>
      <c r="I12" s="710">
        <v>44252.006400000006</v>
      </c>
    </row>
    <row r="13" spans="1:11" ht="34.799999999999997">
      <c r="A13" s="1219" t="s">
        <v>923</v>
      </c>
      <c r="B13" s="1220" t="s">
        <v>924</v>
      </c>
      <c r="C13" s="1222" t="s">
        <v>1240</v>
      </c>
      <c r="D13" s="1223">
        <v>59408</v>
      </c>
      <c r="E13" s="1221" t="s">
        <v>1261</v>
      </c>
      <c r="F13" s="708"/>
      <c r="G13" s="709">
        <v>23.54</v>
      </c>
      <c r="H13" s="989">
        <v>8199.19</v>
      </c>
      <c r="I13" s="710">
        <v>193008.9326</v>
      </c>
    </row>
    <row r="14" spans="1:11" ht="34.799999999999997">
      <c r="A14" s="1219" t="s">
        <v>1224</v>
      </c>
      <c r="B14" s="1220" t="s">
        <v>1225</v>
      </c>
      <c r="C14" s="1222" t="s">
        <v>1241</v>
      </c>
      <c r="D14" s="1223">
        <v>46261</v>
      </c>
      <c r="E14" s="1221" t="s">
        <v>1262</v>
      </c>
      <c r="F14" s="708"/>
      <c r="G14" s="709">
        <v>56.485200391430503</v>
      </c>
      <c r="H14" s="989">
        <v>12</v>
      </c>
      <c r="I14" s="710">
        <v>677.82240469716601</v>
      </c>
    </row>
    <row r="15" spans="1:11" ht="34.799999999999997">
      <c r="A15" s="1219" t="s">
        <v>1224</v>
      </c>
      <c r="B15" s="1220" t="s">
        <v>1225</v>
      </c>
      <c r="C15" s="1222" t="s">
        <v>1242</v>
      </c>
      <c r="D15" s="1223">
        <v>46261</v>
      </c>
      <c r="E15" s="1221" t="s">
        <v>1263</v>
      </c>
      <c r="F15" s="708"/>
      <c r="G15" s="709">
        <v>56.485200391430503</v>
      </c>
      <c r="H15" s="989">
        <v>12</v>
      </c>
      <c r="I15" s="710">
        <v>677.82240469716601</v>
      </c>
    </row>
    <row r="16" spans="1:11" ht="34.799999999999997">
      <c r="A16" s="1219" t="s">
        <v>935</v>
      </c>
      <c r="B16" s="1220" t="s">
        <v>936</v>
      </c>
      <c r="C16" s="1222" t="s">
        <v>1243</v>
      </c>
      <c r="D16" s="1223">
        <v>46261</v>
      </c>
      <c r="E16" s="1221" t="s">
        <v>1264</v>
      </c>
      <c r="F16" s="708"/>
      <c r="G16" s="709">
        <v>70.61</v>
      </c>
      <c r="H16" s="989">
        <v>885.13</v>
      </c>
      <c r="I16" s="710">
        <v>62499.029300000002</v>
      </c>
    </row>
    <row r="17" spans="1:11" ht="34.799999999999997">
      <c r="A17" s="1219" t="s">
        <v>921</v>
      </c>
      <c r="B17" s="1220" t="s">
        <v>922</v>
      </c>
      <c r="C17" s="1222" t="s">
        <v>1244</v>
      </c>
      <c r="D17" s="1223">
        <v>46261</v>
      </c>
      <c r="E17" s="1221" t="s">
        <v>1265</v>
      </c>
      <c r="F17" s="708"/>
      <c r="G17" s="709">
        <v>23.54</v>
      </c>
      <c r="H17" s="989">
        <v>0</v>
      </c>
      <c r="I17" s="710">
        <v>0</v>
      </c>
    </row>
    <row r="18" spans="1:11" ht="34.799999999999997">
      <c r="A18" s="1219" t="s">
        <v>1217</v>
      </c>
      <c r="B18" s="1220" t="s">
        <v>1218</v>
      </c>
      <c r="C18" s="1222" t="s">
        <v>1245</v>
      </c>
      <c r="D18" s="1223">
        <v>46261</v>
      </c>
      <c r="E18" s="1221" t="s">
        <v>1266</v>
      </c>
      <c r="F18" s="708"/>
      <c r="G18" s="709">
        <v>26.36</v>
      </c>
      <c r="H18" s="989">
        <v>3699.99</v>
      </c>
      <c r="I18" s="710">
        <v>97531.736399999994</v>
      </c>
    </row>
    <row r="19" spans="1:11" ht="34.799999999999997">
      <c r="A19" s="1219" t="s">
        <v>1217</v>
      </c>
      <c r="B19" s="1220" t="s">
        <v>1218</v>
      </c>
      <c r="C19" s="1222" t="s">
        <v>1246</v>
      </c>
      <c r="D19" s="1223">
        <v>46261</v>
      </c>
      <c r="E19" s="1221" t="s">
        <v>1267</v>
      </c>
      <c r="F19" s="708"/>
      <c r="G19" s="709">
        <v>26.36</v>
      </c>
      <c r="H19" s="989">
        <v>307.50599999999997</v>
      </c>
      <c r="I19" s="710">
        <v>8105.8581599999989</v>
      </c>
      <c r="K19" s="918"/>
    </row>
    <row r="20" spans="1:11" ht="34.799999999999997">
      <c r="A20" s="1219" t="s">
        <v>1224</v>
      </c>
      <c r="B20" s="1220" t="s">
        <v>1225</v>
      </c>
      <c r="C20" s="1222" t="s">
        <v>1247</v>
      </c>
      <c r="D20" s="1223">
        <v>46261</v>
      </c>
      <c r="E20" s="1221" t="s">
        <v>1268</v>
      </c>
      <c r="F20" s="708"/>
      <c r="G20" s="709">
        <v>56.49</v>
      </c>
      <c r="H20" s="989">
        <v>30</v>
      </c>
      <c r="I20" s="710">
        <v>1694.7</v>
      </c>
      <c r="K20" s="918"/>
    </row>
    <row r="21" spans="1:11" ht="23.4" customHeight="1">
      <c r="A21" s="1219" t="s">
        <v>965</v>
      </c>
      <c r="B21" s="1220" t="s">
        <v>966</v>
      </c>
      <c r="C21" s="1222" t="s">
        <v>1248</v>
      </c>
      <c r="D21" s="1223">
        <v>46256</v>
      </c>
      <c r="E21" s="1221" t="s">
        <v>1269</v>
      </c>
      <c r="F21" s="713"/>
      <c r="G21" s="709">
        <v>235355.00163096</v>
      </c>
      <c r="H21" s="989">
        <v>0.9</v>
      </c>
      <c r="I21" s="710">
        <v>211819.501467864</v>
      </c>
    </row>
    <row r="22" spans="1:11" ht="23.4" customHeight="1">
      <c r="A22" s="1219" t="s">
        <v>1226</v>
      </c>
      <c r="B22" s="1221" t="s">
        <v>1227</v>
      </c>
      <c r="C22" s="1222" t="s">
        <v>1249</v>
      </c>
      <c r="D22" s="1223">
        <v>46256</v>
      </c>
      <c r="E22" s="1221" t="s">
        <v>1270</v>
      </c>
      <c r="F22" s="713"/>
      <c r="G22" s="709">
        <v>28242.6001957152</v>
      </c>
      <c r="H22" s="989">
        <v>0.9</v>
      </c>
      <c r="I22" s="710">
        <v>25418.34017614368</v>
      </c>
    </row>
    <row r="23" spans="1:11" ht="23.4" customHeight="1">
      <c r="A23" s="1219" t="s">
        <v>1228</v>
      </c>
      <c r="B23" s="1221" t="s">
        <v>1229</v>
      </c>
      <c r="C23" s="1222" t="s">
        <v>1250</v>
      </c>
      <c r="D23" s="1223">
        <v>46258</v>
      </c>
      <c r="E23" s="1221" t="s">
        <v>1271</v>
      </c>
      <c r="F23" s="713"/>
      <c r="G23" s="709">
        <v>42363.900293572799</v>
      </c>
      <c r="H23" s="989">
        <v>1</v>
      </c>
      <c r="I23" s="710">
        <v>42363.900293572799</v>
      </c>
    </row>
    <row r="24" spans="1:11" ht="23.4" customHeight="1">
      <c r="A24" s="1219" t="s">
        <v>965</v>
      </c>
      <c r="B24" s="1220" t="s">
        <v>966</v>
      </c>
      <c r="C24" s="1222" t="s">
        <v>1251</v>
      </c>
      <c r="D24" s="1223">
        <v>46260</v>
      </c>
      <c r="E24" s="1221" t="s">
        <v>1269</v>
      </c>
      <c r="F24" s="713"/>
      <c r="G24" s="709">
        <v>235355</v>
      </c>
      <c r="H24" s="989">
        <v>0.5</v>
      </c>
      <c r="I24" s="710">
        <v>117677.5</v>
      </c>
    </row>
    <row r="25" spans="1:11" ht="23.4" customHeight="1">
      <c r="A25" s="1219" t="s">
        <v>1226</v>
      </c>
      <c r="B25" s="1220" t="s">
        <v>1227</v>
      </c>
      <c r="C25" s="1222" t="s">
        <v>1252</v>
      </c>
      <c r="D25" s="1223">
        <v>46260</v>
      </c>
      <c r="E25" s="1221" t="s">
        <v>1270</v>
      </c>
      <c r="F25" s="713"/>
      <c r="G25" s="709">
        <v>28242.6</v>
      </c>
      <c r="H25" s="989">
        <v>0.9</v>
      </c>
      <c r="I25" s="710">
        <v>25418.34</v>
      </c>
    </row>
    <row r="26" spans="1:11" ht="23.4" customHeight="1">
      <c r="A26" s="987" t="s">
        <v>1230</v>
      </c>
      <c r="B26" s="988" t="s">
        <v>1231</v>
      </c>
      <c r="C26" s="711" t="s">
        <v>1253</v>
      </c>
      <c r="D26" s="1125">
        <v>46260</v>
      </c>
      <c r="E26" s="712" t="s">
        <v>1272</v>
      </c>
      <c r="F26" s="713"/>
      <c r="G26" s="709">
        <v>329.49700228334399</v>
      </c>
      <c r="H26" s="989">
        <v>127.57</v>
      </c>
      <c r="I26" s="710">
        <v>42033.932581286193</v>
      </c>
    </row>
    <row r="27" spans="1:11" ht="23.4" customHeight="1">
      <c r="A27" s="987" t="s">
        <v>1232</v>
      </c>
      <c r="B27" s="988" t="s">
        <v>1233</v>
      </c>
      <c r="C27" s="711" t="s">
        <v>1254</v>
      </c>
      <c r="D27" s="1125">
        <v>46260</v>
      </c>
      <c r="E27" s="712" t="s">
        <v>1273</v>
      </c>
      <c r="F27" s="713"/>
      <c r="G27" s="709">
        <v>37.659999999999997</v>
      </c>
      <c r="H27" s="989">
        <v>803.2</v>
      </c>
      <c r="I27" s="710">
        <v>30248.511999999999</v>
      </c>
    </row>
    <row r="28" spans="1:11" ht="23.4" customHeight="1">
      <c r="A28" s="987"/>
      <c r="B28" s="988"/>
      <c r="C28" s="711"/>
      <c r="D28" s="1125"/>
      <c r="E28" s="712"/>
      <c r="F28" s="713"/>
      <c r="G28" s="709"/>
      <c r="H28" s="989"/>
      <c r="I28" s="710"/>
    </row>
    <row r="29" spans="1:11" ht="23.4" customHeight="1">
      <c r="A29" s="987"/>
      <c r="B29" s="988"/>
      <c r="C29" s="711"/>
      <c r="D29" s="1125"/>
      <c r="E29" s="712"/>
      <c r="F29" s="713"/>
      <c r="G29" s="709"/>
      <c r="H29" s="989"/>
      <c r="I29" s="710"/>
    </row>
    <row r="30" spans="1:11" ht="23.4" customHeight="1">
      <c r="A30" s="987"/>
      <c r="B30" s="988"/>
      <c r="C30" s="711"/>
      <c r="D30" s="1125"/>
      <c r="E30" s="712"/>
      <c r="F30" s="713"/>
      <c r="G30" s="709"/>
      <c r="H30" s="989"/>
      <c r="I30" s="710"/>
    </row>
    <row r="31" spans="1:11" ht="23.4" customHeight="1">
      <c r="A31" s="987"/>
      <c r="B31" s="988"/>
      <c r="C31" s="711"/>
      <c r="D31" s="1125"/>
      <c r="E31" s="712"/>
      <c r="F31" s="713"/>
      <c r="G31" s="709"/>
      <c r="H31" s="989"/>
      <c r="I31" s="710"/>
    </row>
    <row r="32" spans="1:11" ht="23.4" customHeight="1">
      <c r="A32" s="987"/>
      <c r="B32" s="988"/>
      <c r="C32" s="711"/>
      <c r="D32" s="1125"/>
      <c r="E32" s="712"/>
      <c r="F32" s="713"/>
      <c r="G32" s="709"/>
      <c r="H32" s="989"/>
      <c r="I32" s="710"/>
    </row>
    <row r="33" spans="1:9" ht="23.4" customHeight="1">
      <c r="A33" s="987"/>
      <c r="B33" s="988"/>
      <c r="C33" s="711"/>
      <c r="D33" s="1090"/>
      <c r="E33" s="712"/>
      <c r="F33" s="713"/>
      <c r="G33" s="709"/>
      <c r="H33" s="989"/>
      <c r="I33" s="710"/>
    </row>
    <row r="34" spans="1:9" ht="23.4" customHeight="1">
      <c r="A34" s="987"/>
      <c r="B34" s="988"/>
      <c r="C34" s="711"/>
      <c r="D34" s="1090"/>
      <c r="E34" s="712"/>
      <c r="F34" s="713"/>
      <c r="G34" s="709"/>
      <c r="H34" s="989"/>
      <c r="I34" s="710"/>
    </row>
    <row r="35" spans="1:9" ht="23.4" customHeight="1">
      <c r="A35" s="987"/>
      <c r="B35" s="988"/>
      <c r="C35" s="711"/>
      <c r="D35" s="1090"/>
      <c r="E35" s="712"/>
      <c r="F35" s="713"/>
      <c r="G35" s="709"/>
      <c r="H35" s="989"/>
      <c r="I35" s="710"/>
    </row>
    <row r="36" spans="1:9" ht="23.4" customHeight="1">
      <c r="A36" s="987"/>
      <c r="B36" s="988"/>
      <c r="C36" s="711"/>
      <c r="D36" s="1090"/>
      <c r="E36" s="712"/>
      <c r="F36" s="713"/>
      <c r="G36" s="709"/>
      <c r="H36" s="989"/>
      <c r="I36" s="710"/>
    </row>
    <row r="37" spans="1:9" ht="23.4" customHeight="1">
      <c r="A37" s="987"/>
      <c r="B37" s="988"/>
      <c r="C37" s="711"/>
      <c r="D37" s="1090"/>
      <c r="E37" s="712"/>
      <c r="F37" s="713"/>
      <c r="G37" s="709"/>
      <c r="H37" s="989"/>
      <c r="I37" s="710"/>
    </row>
    <row r="38" spans="1:9" ht="23.4" customHeight="1">
      <c r="A38" s="987"/>
      <c r="B38" s="988"/>
      <c r="C38" s="711"/>
      <c r="D38" s="1125"/>
      <c r="E38" s="712"/>
      <c r="F38" s="713"/>
      <c r="G38" s="709"/>
      <c r="H38" s="989"/>
      <c r="I38" s="710"/>
    </row>
    <row r="39" spans="1:9" ht="23.4" customHeight="1">
      <c r="A39" s="987"/>
      <c r="B39" s="988"/>
      <c r="C39" s="711"/>
      <c r="D39" s="1125"/>
      <c r="E39" s="712"/>
      <c r="F39" s="713"/>
      <c r="G39" s="709"/>
      <c r="H39" s="989"/>
      <c r="I39" s="710"/>
    </row>
    <row r="40" spans="1:9" ht="23.4" customHeight="1">
      <c r="A40" s="987"/>
      <c r="B40" s="988"/>
      <c r="C40" s="711"/>
      <c r="D40" s="1090"/>
      <c r="E40" s="712"/>
      <c r="F40" s="713"/>
      <c r="G40" s="709"/>
      <c r="H40" s="989"/>
      <c r="I40" s="710"/>
    </row>
    <row r="41" spans="1:9" ht="23.4" customHeight="1">
      <c r="A41" s="987"/>
      <c r="B41" s="988"/>
      <c r="C41" s="711"/>
      <c r="D41" s="1125"/>
      <c r="E41" s="712"/>
      <c r="F41" s="713"/>
      <c r="G41" s="709"/>
      <c r="H41" s="989"/>
      <c r="I41" s="710"/>
    </row>
    <row r="42" spans="1:9" ht="14.4" thickBot="1">
      <c r="A42" s="987"/>
      <c r="B42" s="988"/>
      <c r="C42" s="761"/>
      <c r="D42" s="1126"/>
      <c r="E42" s="814"/>
      <c r="F42" s="815"/>
      <c r="G42" s="762"/>
      <c r="H42" s="989"/>
      <c r="I42" s="783"/>
    </row>
    <row r="43" spans="1:9" ht="27" customHeight="1" thickBot="1">
      <c r="A43" s="983" t="s">
        <v>244</v>
      </c>
      <c r="B43" s="984"/>
      <c r="C43" s="984"/>
      <c r="D43" s="1128"/>
      <c r="E43" s="984"/>
      <c r="F43" s="984"/>
      <c r="G43" s="984"/>
      <c r="H43" s="985"/>
      <c r="I43" s="765">
        <v>1103431.6391257099</v>
      </c>
    </row>
    <row r="104" spans="1:2">
      <c r="A104" s="714" t="s">
        <v>1185</v>
      </c>
      <c r="B104" s="714">
        <v>140</v>
      </c>
    </row>
    <row r="105" spans="1:2">
      <c r="A105" s="714" t="s">
        <v>1186</v>
      </c>
      <c r="B105" s="714">
        <v>539</v>
      </c>
    </row>
    <row r="106" spans="1:2">
      <c r="A106" s="714" t="s">
        <v>1187</v>
      </c>
      <c r="B106" s="714">
        <v>8</v>
      </c>
    </row>
    <row r="107" spans="1:2">
      <c r="A107" s="714" t="s">
        <v>1188</v>
      </c>
      <c r="B107" s="714">
        <v>6</v>
      </c>
    </row>
  </sheetData>
  <protectedRanges>
    <protectedRange password="CC3D" sqref="H7:H11" name="Range1_1_1_2_1"/>
  </protectedRanges>
  <autoFilter ref="A5:L43" xr:uid="{88C0E08A-E5C0-4052-9FC9-DEC03F76B00E}"/>
  <mergeCells count="10">
    <mergeCell ref="A1:B1"/>
    <mergeCell ref="A2:B2"/>
    <mergeCell ref="C2:D2"/>
    <mergeCell ref="A6:B6"/>
    <mergeCell ref="F2:I2"/>
    <mergeCell ref="A3:B3"/>
    <mergeCell ref="C3:D3"/>
    <mergeCell ref="F3:I3"/>
    <mergeCell ref="C1:E1"/>
    <mergeCell ref="F1:H1"/>
  </mergeCells>
  <phoneticPr fontId="92" type="noConversion"/>
  <conditionalFormatting sqref="C7:C25">
    <cfRule type="duplicateValues" dxfId="108" priority="555"/>
    <cfRule type="duplicateValues" dxfId="107" priority="556"/>
    <cfRule type="duplicateValues" dxfId="106" priority="557"/>
    <cfRule type="duplicateValues" dxfId="105" priority="558"/>
    <cfRule type="duplicateValues" dxfId="104" priority="559"/>
  </conditionalFormatting>
  <printOptions horizontalCentered="1"/>
  <pageMargins left="0.25" right="0.41" top="0.15" bottom="0.25" header="0" footer="0"/>
  <pageSetup paperSize="9" scale="54"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56E4-7532-4D53-A1EA-97E393E7A731}">
  <dimension ref="A1:K50"/>
  <sheetViews>
    <sheetView topLeftCell="A31" workbookViewId="0">
      <selection activeCell="C49" sqref="C49"/>
    </sheetView>
  </sheetViews>
  <sheetFormatPr defaultRowHeight="14.4"/>
  <cols>
    <col min="2" max="2" width="34.109375" style="34" bestFit="1" customWidth="1"/>
    <col min="3" max="3" width="20.88671875" style="549" bestFit="1" customWidth="1"/>
    <col min="4" max="5" width="11.88671875" customWidth="1"/>
    <col min="7" max="7" width="13.33203125" bestFit="1" customWidth="1"/>
    <col min="8" max="8" width="14.33203125" style="549" bestFit="1" customWidth="1"/>
    <col min="9" max="9" width="14.33203125" bestFit="1" customWidth="1"/>
    <col min="11" max="11" width="22.33203125" style="1173" customWidth="1"/>
  </cols>
  <sheetData>
    <row r="1" spans="1:8">
      <c r="A1" s="1160" t="s">
        <v>1193</v>
      </c>
      <c r="B1" s="1161" t="s">
        <v>1194</v>
      </c>
      <c r="C1" s="1162" t="s">
        <v>1195</v>
      </c>
      <c r="D1" s="1161" t="s">
        <v>64</v>
      </c>
      <c r="E1" s="1163" t="s">
        <v>1196</v>
      </c>
      <c r="H1" s="549">
        <v>57304347.829999998</v>
      </c>
    </row>
    <row r="2" spans="1:8" ht="17.25" customHeight="1">
      <c r="A2" s="1164">
        <v>1</v>
      </c>
      <c r="B2" s="1172"/>
      <c r="C2" s="1227"/>
      <c r="D2" s="1165"/>
      <c r="E2" s="1166"/>
    </row>
    <row r="3" spans="1:8" ht="17.25" customHeight="1">
      <c r="A3" s="1164">
        <v>2</v>
      </c>
      <c r="B3" s="1172"/>
      <c r="C3" s="1227"/>
      <c r="D3" s="1165"/>
      <c r="E3" s="1166"/>
    </row>
    <row r="4" spans="1:8" ht="17.25" customHeight="1">
      <c r="A4" s="1164">
        <v>3</v>
      </c>
      <c r="B4" s="1172"/>
      <c r="C4" s="1227"/>
      <c r="D4" s="1165"/>
      <c r="E4" s="1166"/>
    </row>
    <row r="5" spans="1:8" ht="17.25" customHeight="1">
      <c r="A5" s="1164">
        <v>4</v>
      </c>
      <c r="B5" s="1172"/>
      <c r="C5" s="1227"/>
      <c r="D5" s="1165"/>
      <c r="E5" s="1166"/>
    </row>
    <row r="6" spans="1:8" ht="17.25" customHeight="1">
      <c r="A6" s="1164">
        <v>5</v>
      </c>
      <c r="B6" s="1172">
        <v>46014</v>
      </c>
      <c r="C6" s="1227">
        <v>0</v>
      </c>
      <c r="D6" s="1165">
        <f>C6/$H$1</f>
        <v>0</v>
      </c>
      <c r="E6" s="1166">
        <f>D6</f>
        <v>0</v>
      </c>
    </row>
    <row r="7" spans="1:8" ht="17.25" customHeight="1">
      <c r="A7" s="1164">
        <v>6</v>
      </c>
      <c r="B7" s="1172">
        <v>46021</v>
      </c>
      <c r="C7" s="1227">
        <v>0</v>
      </c>
      <c r="D7" s="1165">
        <f t="shared" ref="D7:D24" si="0">C7/$H$1</f>
        <v>0</v>
      </c>
      <c r="E7" s="1166">
        <f>D7+E6</f>
        <v>0</v>
      </c>
    </row>
    <row r="8" spans="1:8" ht="17.25" customHeight="1">
      <c r="A8" s="1164">
        <v>7</v>
      </c>
      <c r="B8" s="1172">
        <v>46028</v>
      </c>
      <c r="C8" s="1228">
        <v>1077571.8700000001</v>
      </c>
      <c r="D8" s="1165">
        <f>C8/$H$1</f>
        <v>1.8804364953192421E-2</v>
      </c>
      <c r="E8" s="1166">
        <f t="shared" ref="E8:E23" si="1">D8+E7</f>
        <v>1.8804364953192421E-2</v>
      </c>
    </row>
    <row r="9" spans="1:8" ht="17.25" customHeight="1">
      <c r="A9" s="1164">
        <v>8</v>
      </c>
      <c r="B9" s="1172">
        <v>46035</v>
      </c>
      <c r="C9" s="1227">
        <v>542607.01</v>
      </c>
      <c r="D9" s="1165">
        <f t="shared" si="0"/>
        <v>9.4688628445734474E-3</v>
      </c>
      <c r="E9" s="1166">
        <f t="shared" si="1"/>
        <v>2.8273227797765869E-2</v>
      </c>
    </row>
    <row r="10" spans="1:8" ht="17.25" customHeight="1">
      <c r="A10" s="1164">
        <v>9</v>
      </c>
      <c r="B10" s="1172">
        <v>46042</v>
      </c>
      <c r="C10" s="1227">
        <v>582575.96</v>
      </c>
      <c r="D10" s="1165">
        <f t="shared" si="0"/>
        <v>1.0166348314935529E-2</v>
      </c>
      <c r="E10" s="1166">
        <f t="shared" si="1"/>
        <v>3.84395761127014E-2</v>
      </c>
    </row>
    <row r="11" spans="1:8" ht="17.25" customHeight="1">
      <c r="A11" s="1164">
        <v>10</v>
      </c>
      <c r="B11" s="1172">
        <v>46049</v>
      </c>
      <c r="C11" s="1227">
        <v>637735.66</v>
      </c>
      <c r="D11" s="1165">
        <f t="shared" si="0"/>
        <v>1.1128922745825795E-2</v>
      </c>
      <c r="E11" s="1166">
        <f t="shared" si="1"/>
        <v>4.9568498858527196E-2</v>
      </c>
    </row>
    <row r="12" spans="1:8" ht="17.25" customHeight="1">
      <c r="A12" s="1164">
        <v>11</v>
      </c>
      <c r="B12" s="1172">
        <v>46055</v>
      </c>
      <c r="C12" s="1227">
        <v>645396.06999999995</v>
      </c>
      <c r="D12" s="1165">
        <f t="shared" si="0"/>
        <v>1.1262602131249138E-2</v>
      </c>
      <c r="E12" s="1166">
        <f t="shared" si="1"/>
        <v>6.0831100989776336E-2</v>
      </c>
    </row>
    <row r="13" spans="1:8" ht="17.25" customHeight="1">
      <c r="A13" s="1164">
        <v>12</v>
      </c>
      <c r="B13" s="1172">
        <v>46063</v>
      </c>
      <c r="C13" s="1227">
        <v>1281198.6399999999</v>
      </c>
      <c r="D13" s="1165">
        <f t="shared" si="0"/>
        <v>2.2357791136561302E-2</v>
      </c>
      <c r="E13" s="1166">
        <f>D13+E12</f>
        <v>8.3188892126337635E-2</v>
      </c>
    </row>
    <row r="14" spans="1:8" ht="17.25" customHeight="1">
      <c r="A14" s="1164">
        <v>13</v>
      </c>
      <c r="B14" s="1172">
        <v>46070</v>
      </c>
      <c r="C14" s="1227">
        <v>2381311.44</v>
      </c>
      <c r="D14" s="1165">
        <f t="shared" si="0"/>
        <v>4.1555510710364195E-2</v>
      </c>
      <c r="E14" s="1166">
        <f t="shared" si="1"/>
        <v>0.12474440283670182</v>
      </c>
    </row>
    <row r="15" spans="1:8" ht="17.25" customHeight="1">
      <c r="A15" s="1164">
        <v>14</v>
      </c>
      <c r="B15" s="1172">
        <v>46077</v>
      </c>
      <c r="C15" s="1227">
        <v>1191399.1200000001</v>
      </c>
      <c r="D15" s="1165">
        <f t="shared" si="0"/>
        <v>2.0790728192813988E-2</v>
      </c>
      <c r="E15" s="1166">
        <f t="shared" si="1"/>
        <v>0.14553513102951582</v>
      </c>
    </row>
    <row r="16" spans="1:8" ht="17.25" customHeight="1">
      <c r="A16" s="1164">
        <v>15</v>
      </c>
      <c r="B16" s="1172">
        <v>46084</v>
      </c>
      <c r="C16" s="1227">
        <v>867347.91</v>
      </c>
      <c r="D16" s="1165">
        <f t="shared" si="0"/>
        <v>1.5135813299421683E-2</v>
      </c>
      <c r="E16" s="1166">
        <f t="shared" si="1"/>
        <v>0.1606709443289375</v>
      </c>
    </row>
    <row r="17" spans="1:9" ht="17.25" customHeight="1">
      <c r="A17" s="1164">
        <v>16</v>
      </c>
      <c r="B17" s="1172">
        <v>46091</v>
      </c>
      <c r="C17" s="1227">
        <v>999995.21</v>
      </c>
      <c r="D17" s="1165">
        <f t="shared" si="0"/>
        <v>1.7450599262844799E-2</v>
      </c>
      <c r="E17" s="1166">
        <f t="shared" si="1"/>
        <v>0.17812154359178228</v>
      </c>
    </row>
    <row r="18" spans="1:9" ht="17.25" customHeight="1">
      <c r="A18" s="1164">
        <v>17</v>
      </c>
      <c r="B18" s="1172">
        <v>46098</v>
      </c>
      <c r="C18" s="1227">
        <v>1218608.0900000001</v>
      </c>
      <c r="D18" s="1165">
        <f t="shared" si="0"/>
        <v>2.1265543299003115E-2</v>
      </c>
      <c r="E18" s="1166">
        <f t="shared" si="1"/>
        <v>0.19938708689078541</v>
      </c>
    </row>
    <row r="19" spans="1:9" ht="17.25" customHeight="1">
      <c r="A19" s="1164">
        <v>18</v>
      </c>
      <c r="B19" s="1172">
        <v>46105</v>
      </c>
      <c r="C19" s="1227">
        <v>128373.78</v>
      </c>
      <c r="D19" s="1165">
        <f t="shared" si="0"/>
        <v>2.2402101212430814E-3</v>
      </c>
      <c r="E19" s="1166">
        <f t="shared" si="1"/>
        <v>0.2016272970120285</v>
      </c>
    </row>
    <row r="20" spans="1:9" ht="17.25" customHeight="1">
      <c r="A20" s="1164">
        <v>19</v>
      </c>
      <c r="B20" s="1172">
        <v>46112</v>
      </c>
      <c r="C20" s="1227">
        <v>1158103.8799999999</v>
      </c>
      <c r="D20" s="1165">
        <f t="shared" si="0"/>
        <v>2.0209703519105556E-2</v>
      </c>
      <c r="E20" s="1166">
        <f t="shared" si="1"/>
        <v>0.22183700053113406</v>
      </c>
    </row>
    <row r="21" spans="1:9" ht="17.25" customHeight="1">
      <c r="A21" s="1164">
        <v>20</v>
      </c>
      <c r="B21" s="1172">
        <v>46119</v>
      </c>
      <c r="C21" s="1227">
        <v>1072610.42</v>
      </c>
      <c r="D21" s="1165">
        <f t="shared" si="0"/>
        <v>1.8717784262758268E-2</v>
      </c>
      <c r="E21" s="1166">
        <f t="shared" si="1"/>
        <v>0.24055478479389233</v>
      </c>
    </row>
    <row r="22" spans="1:9" ht="17.25" customHeight="1">
      <c r="A22" s="1164">
        <v>21</v>
      </c>
      <c r="B22" s="1172">
        <v>46126</v>
      </c>
      <c r="C22" s="1227">
        <v>3397269.9</v>
      </c>
      <c r="D22" s="1165">
        <f t="shared" si="0"/>
        <v>5.9284679586240042E-2</v>
      </c>
      <c r="E22" s="1166">
        <f>D22+E21</f>
        <v>0.29983946438013237</v>
      </c>
      <c r="G22" s="470"/>
    </row>
    <row r="23" spans="1:9" ht="17.25" customHeight="1">
      <c r="A23" s="1164">
        <v>22</v>
      </c>
      <c r="B23" s="1172">
        <v>46133</v>
      </c>
      <c r="C23" s="1227">
        <v>1269845.32</v>
      </c>
      <c r="D23" s="1165">
        <f t="shared" si="0"/>
        <v>2.2159667949928401E-2</v>
      </c>
      <c r="E23" s="1166">
        <f t="shared" si="1"/>
        <v>0.32199913233006078</v>
      </c>
    </row>
    <row r="24" spans="1:9" ht="17.25" customHeight="1">
      <c r="A24" s="1164">
        <v>23</v>
      </c>
      <c r="B24" s="1172">
        <v>46140</v>
      </c>
      <c r="C24" s="1227">
        <v>1428679.41</v>
      </c>
      <c r="D24" s="1165">
        <f t="shared" si="0"/>
        <v>2.4931431280543377E-2</v>
      </c>
      <c r="E24" s="1166">
        <f t="shared" ref="E24:E29" si="2">D24+E23</f>
        <v>0.34693056361060415</v>
      </c>
      <c r="I24" s="470"/>
    </row>
    <row r="25" spans="1:9" ht="17.25" customHeight="1">
      <c r="A25" s="1164">
        <v>24</v>
      </c>
      <c r="B25" s="1172">
        <v>46147</v>
      </c>
      <c r="C25" s="1227">
        <v>1322147.52</v>
      </c>
      <c r="D25" s="1165">
        <f t="shared" ref="D25" si="3">C25/$H$1</f>
        <v>2.3072377054570173E-2</v>
      </c>
      <c r="E25" s="1166">
        <f t="shared" si="2"/>
        <v>0.37000294066517431</v>
      </c>
    </row>
    <row r="26" spans="1:9" ht="17.25" customHeight="1">
      <c r="A26" s="1164">
        <v>25</v>
      </c>
      <c r="B26" s="1172">
        <f t="shared" ref="B26:B48" si="4">B25+7</f>
        <v>46154</v>
      </c>
      <c r="C26" s="1229">
        <v>980131.3330329262</v>
      </c>
      <c r="D26" s="1165">
        <f t="shared" ref="D26:D31" si="5">C26/$H$1</f>
        <v>1.7103961045688881E-2</v>
      </c>
      <c r="E26" s="1166">
        <f t="shared" si="2"/>
        <v>0.3871069017108632</v>
      </c>
    </row>
    <row r="27" spans="1:9" ht="17.25" customHeight="1">
      <c r="A27" s="1164">
        <v>26</v>
      </c>
      <c r="B27" s="1172">
        <f t="shared" si="4"/>
        <v>46161</v>
      </c>
      <c r="C27" s="1229">
        <v>1205942.3387644039</v>
      </c>
      <c r="D27" s="1165">
        <f t="shared" si="5"/>
        <v>2.1044517291113268E-2</v>
      </c>
      <c r="E27" s="1166">
        <f t="shared" si="2"/>
        <v>0.40815141900197649</v>
      </c>
      <c r="I27" s="470"/>
    </row>
    <row r="28" spans="1:9" ht="17.25" customHeight="1">
      <c r="A28" s="1164">
        <v>27</v>
      </c>
      <c r="B28" s="1172">
        <f t="shared" si="4"/>
        <v>46168</v>
      </c>
      <c r="C28" s="1229">
        <v>1449798.1749251473</v>
      </c>
      <c r="D28" s="1165">
        <f t="shared" si="5"/>
        <v>2.5299968149469949E-2</v>
      </c>
      <c r="E28" s="1166">
        <f t="shared" si="2"/>
        <v>0.43345138715144643</v>
      </c>
      <c r="I28" s="470"/>
    </row>
    <row r="29" spans="1:9" ht="17.25" customHeight="1">
      <c r="A29" s="1164">
        <v>28</v>
      </c>
      <c r="B29" s="1172">
        <f t="shared" si="4"/>
        <v>46175</v>
      </c>
      <c r="C29" s="1229">
        <v>738582.78345464065</v>
      </c>
      <c r="D29" s="1165">
        <f t="shared" si="5"/>
        <v>1.288877391373046E-2</v>
      </c>
      <c r="E29" s="1166">
        <f t="shared" si="2"/>
        <v>0.44634016106517688</v>
      </c>
      <c r="I29" s="470"/>
    </row>
    <row r="30" spans="1:9" ht="17.25" customHeight="1">
      <c r="A30" s="1164">
        <v>29</v>
      </c>
      <c r="B30" s="1172">
        <f t="shared" si="4"/>
        <v>46182</v>
      </c>
      <c r="C30" s="1229">
        <v>1189111.97</v>
      </c>
      <c r="D30" s="1165">
        <f t="shared" si="5"/>
        <v>2.0750815863529913E-2</v>
      </c>
      <c r="E30" s="1166">
        <f t="shared" ref="E30" si="6">D30+E29</f>
        <v>0.46709097692870677</v>
      </c>
      <c r="I30" s="470"/>
    </row>
    <row r="31" spans="1:9" ht="17.25" customHeight="1">
      <c r="A31" s="1164">
        <v>30</v>
      </c>
      <c r="B31" s="1172">
        <f t="shared" si="4"/>
        <v>46189</v>
      </c>
      <c r="C31" s="1229">
        <v>1772610.8644754984</v>
      </c>
      <c r="D31" s="1165">
        <f t="shared" si="5"/>
        <v>3.0933270015290192E-2</v>
      </c>
      <c r="E31" s="1166">
        <f t="shared" ref="E31" si="7">D31+E30</f>
        <v>0.49802424694399694</v>
      </c>
      <c r="I31" s="470"/>
    </row>
    <row r="32" spans="1:9" ht="17.25" customHeight="1">
      <c r="A32" s="1164">
        <v>31</v>
      </c>
      <c r="B32" s="1172">
        <f t="shared" si="4"/>
        <v>46196</v>
      </c>
      <c r="C32" s="1229">
        <v>1439350.6175219486</v>
      </c>
      <c r="D32" s="1165">
        <f t="shared" ref="D32" si="8">C32/$H$1</f>
        <v>2.5117651138652681E-2</v>
      </c>
      <c r="E32" s="1166">
        <f t="shared" ref="E32" si="9">D32+E31</f>
        <v>0.52314189808264966</v>
      </c>
      <c r="I32" s="470"/>
    </row>
    <row r="33" spans="1:9" ht="17.25" customHeight="1">
      <c r="A33" s="1164">
        <v>32</v>
      </c>
      <c r="B33" s="1172">
        <f t="shared" si="4"/>
        <v>46203</v>
      </c>
      <c r="C33" s="1229">
        <v>1082355.0623949703</v>
      </c>
      <c r="D33" s="1165">
        <f t="shared" ref="D33" si="10">C33/$H$1</f>
        <v>1.8887834926695306E-2</v>
      </c>
      <c r="E33" s="1166">
        <f t="shared" ref="E33" si="11">D33+E32</f>
        <v>0.54202973300934498</v>
      </c>
      <c r="I33" s="470"/>
    </row>
    <row r="34" spans="1:9" ht="17.25" customHeight="1">
      <c r="A34" s="1164">
        <v>33</v>
      </c>
      <c r="B34" s="1172">
        <f t="shared" si="4"/>
        <v>46210</v>
      </c>
      <c r="C34" s="1229">
        <v>1805213.4072346285</v>
      </c>
      <c r="D34" s="1165">
        <f t="shared" ref="D34" si="12">C34/$H$1</f>
        <v>3.1502206649136007E-2</v>
      </c>
      <c r="E34" s="1166">
        <f t="shared" ref="E34" si="13">D34+E33</f>
        <v>0.57353193965848104</v>
      </c>
      <c r="I34" s="470"/>
    </row>
    <row r="35" spans="1:9" ht="17.25" customHeight="1">
      <c r="A35" s="1164">
        <v>34</v>
      </c>
      <c r="B35" s="1172">
        <f t="shared" si="4"/>
        <v>46217</v>
      </c>
      <c r="C35" s="1229">
        <v>1180368.6464571089</v>
      </c>
      <c r="D35" s="1165">
        <f t="shared" ref="D35" si="14">C35/$H$1</f>
        <v>2.0598238897313857E-2</v>
      </c>
      <c r="E35" s="1166">
        <f t="shared" ref="E35" si="15">D35+E34</f>
        <v>0.59413017855579486</v>
      </c>
      <c r="I35" s="470"/>
    </row>
    <row r="36" spans="1:9" ht="17.25" customHeight="1">
      <c r="A36" s="1164">
        <v>35</v>
      </c>
      <c r="B36" s="1172">
        <f t="shared" si="4"/>
        <v>46224</v>
      </c>
      <c r="C36" s="1229">
        <v>2095216.2290405668</v>
      </c>
      <c r="D36" s="1165">
        <f t="shared" ref="D36" si="16">C36/$H$1</f>
        <v>3.6562953918545048E-2</v>
      </c>
      <c r="E36" s="1166">
        <f t="shared" ref="E36" si="17">D36+E35</f>
        <v>0.63069313247433989</v>
      </c>
      <c r="I36" s="470"/>
    </row>
    <row r="37" spans="1:9" ht="17.25" customHeight="1">
      <c r="A37" s="1164">
        <v>36</v>
      </c>
      <c r="B37" s="1172">
        <f t="shared" si="4"/>
        <v>46231</v>
      </c>
      <c r="C37" s="1229">
        <v>1687000.7476320073</v>
      </c>
      <c r="D37" s="1165">
        <f t="shared" ref="D37:D42" si="18">C37/$H$1</f>
        <v>2.9439315017364666E-2</v>
      </c>
      <c r="E37" s="1166">
        <f t="shared" ref="E37:E42" si="19">D37+E36</f>
        <v>0.66013244749170452</v>
      </c>
      <c r="I37" s="470"/>
    </row>
    <row r="38" spans="1:9" ht="17.25" customHeight="1">
      <c r="A38" s="1164">
        <v>37</v>
      </c>
      <c r="B38" s="1172">
        <f t="shared" si="4"/>
        <v>46238</v>
      </c>
      <c r="C38" s="1229">
        <v>973413.1295177018</v>
      </c>
      <c r="D38" s="1165">
        <f t="shared" si="18"/>
        <v>1.6986723806812092E-2</v>
      </c>
      <c r="E38" s="1166">
        <f t="shared" si="19"/>
        <v>0.67711917129851662</v>
      </c>
      <c r="I38" s="470"/>
    </row>
    <row r="39" spans="1:9" ht="17.25" customHeight="1">
      <c r="A39" s="1164">
        <v>38</v>
      </c>
      <c r="B39" s="1172">
        <f t="shared" si="4"/>
        <v>46245</v>
      </c>
      <c r="C39" s="1229">
        <v>1961518.0631428214</v>
      </c>
      <c r="D39" s="1165">
        <f t="shared" si="18"/>
        <v>3.4229829627620799E-2</v>
      </c>
      <c r="E39" s="1166">
        <f t="shared" si="19"/>
        <v>0.7113490009261374</v>
      </c>
      <c r="I39" s="470"/>
    </row>
    <row r="40" spans="1:9" ht="17.25" customHeight="1">
      <c r="A40" s="1164">
        <v>39</v>
      </c>
      <c r="B40" s="1172">
        <f t="shared" si="4"/>
        <v>46252</v>
      </c>
      <c r="C40" s="1229">
        <v>1066995.5963905891</v>
      </c>
      <c r="D40" s="1165">
        <f t="shared" si="18"/>
        <v>1.8619801756682677E-2</v>
      </c>
      <c r="E40" s="1166">
        <f t="shared" si="19"/>
        <v>0.72996880268282005</v>
      </c>
      <c r="I40" s="470"/>
    </row>
    <row r="41" spans="1:9" ht="17.25" customHeight="1">
      <c r="A41" s="1164">
        <v>40</v>
      </c>
      <c r="B41" s="1172">
        <f t="shared" si="4"/>
        <v>46259</v>
      </c>
      <c r="C41" s="1229">
        <v>822139.36781290476</v>
      </c>
      <c r="D41" s="1165">
        <f t="shared" si="18"/>
        <v>1.4346893367530797E-2</v>
      </c>
      <c r="E41" s="1166">
        <f t="shared" si="19"/>
        <v>0.74431569605035086</v>
      </c>
      <c r="I41" s="470"/>
    </row>
    <row r="42" spans="1:9" ht="17.25" customHeight="1">
      <c r="A42" s="1164">
        <v>41</v>
      </c>
      <c r="B42" s="1172">
        <f t="shared" si="4"/>
        <v>46266</v>
      </c>
      <c r="C42" s="1230">
        <v>962674.7</v>
      </c>
      <c r="D42" s="1165">
        <f t="shared" si="18"/>
        <v>1.6799330878974249E-2</v>
      </c>
      <c r="E42" s="1166">
        <f t="shared" si="19"/>
        <v>0.76111502692932509</v>
      </c>
      <c r="I42" s="470"/>
    </row>
    <row r="43" spans="1:9" ht="17.25" customHeight="1">
      <c r="A43" s="1164">
        <v>42</v>
      </c>
      <c r="B43" s="1172">
        <f t="shared" si="4"/>
        <v>46273</v>
      </c>
      <c r="C43" s="1230">
        <v>1216267.56542763</v>
      </c>
      <c r="D43" s="1165">
        <f t="shared" ref="D43" si="20">C43/$H$1</f>
        <v>2.122469954698427E-2</v>
      </c>
      <c r="E43" s="1166">
        <f t="shared" ref="E43" si="21">D43+E42</f>
        <v>0.78233972647630934</v>
      </c>
      <c r="I43" s="470"/>
    </row>
    <row r="44" spans="1:9" ht="17.25" customHeight="1">
      <c r="A44" s="1164">
        <v>43</v>
      </c>
      <c r="B44" s="1172">
        <f t="shared" si="4"/>
        <v>46280</v>
      </c>
      <c r="C44" s="1230">
        <v>1216267.56542763</v>
      </c>
      <c r="D44" s="1165">
        <f t="shared" ref="D44" si="22">C44/$H$1</f>
        <v>2.122469954698427E-2</v>
      </c>
      <c r="E44" s="1166">
        <f t="shared" ref="E44" si="23">D44+E43</f>
        <v>0.80356442602329359</v>
      </c>
      <c r="I44" s="470"/>
    </row>
    <row r="45" spans="1:9" ht="17.25" customHeight="1">
      <c r="A45" s="1164">
        <v>44</v>
      </c>
      <c r="B45" s="1172">
        <f t="shared" si="4"/>
        <v>46287</v>
      </c>
      <c r="C45" s="1230">
        <v>2881088.39556175</v>
      </c>
      <c r="D45" s="1165">
        <f t="shared" ref="D45" si="24">C45/$H$1</f>
        <v>5.0276959858418305E-2</v>
      </c>
      <c r="E45" s="1166">
        <f t="shared" ref="E45" si="25">D45+E44</f>
        <v>0.85384138588171188</v>
      </c>
      <c r="I45" s="470"/>
    </row>
    <row r="46" spans="1:9" ht="17.25" customHeight="1">
      <c r="A46" s="1164">
        <v>45</v>
      </c>
      <c r="B46" s="1172">
        <f t="shared" si="4"/>
        <v>46294</v>
      </c>
      <c r="C46" s="1230">
        <v>1575165.27</v>
      </c>
      <c r="D46" s="1165">
        <f t="shared" ref="D46" si="26">C46/$H$1</f>
        <v>2.7487709565649551E-2</v>
      </c>
      <c r="E46" s="1166">
        <f t="shared" ref="E46" si="27">D46+E45</f>
        <v>0.88132909544736138</v>
      </c>
      <c r="I46" s="470"/>
    </row>
    <row r="47" spans="1:9" ht="17.25" customHeight="1">
      <c r="A47" s="1164">
        <v>46</v>
      </c>
      <c r="B47" s="1172">
        <f t="shared" si="4"/>
        <v>46301</v>
      </c>
      <c r="C47" s="1230">
        <v>1624302.7775093601</v>
      </c>
      <c r="D47" s="1165">
        <f t="shared" ref="D47" si="28">C47/$H$1</f>
        <v>2.8345192625314278E-2</v>
      </c>
      <c r="E47" s="1166">
        <f t="shared" ref="E47" si="29">D47+E46</f>
        <v>0.9096742880726757</v>
      </c>
      <c r="I47" s="470"/>
    </row>
    <row r="48" spans="1:9" ht="17.25" customHeight="1">
      <c r="A48" s="1164">
        <v>47</v>
      </c>
      <c r="B48" s="1172">
        <f t="shared" si="4"/>
        <v>46308</v>
      </c>
      <c r="C48" s="1230">
        <v>1103431.6391257099</v>
      </c>
      <c r="D48" s="1165">
        <f t="shared" ref="D48" si="30">C48/$H$1</f>
        <v>1.9255635582821184E-2</v>
      </c>
      <c r="E48" s="1166">
        <f t="shared" ref="E48" si="31">D48+E47</f>
        <v>0.92892992365549687</v>
      </c>
      <c r="I48" s="470"/>
    </row>
    <row r="49" spans="1:5" ht="17.25" customHeight="1">
      <c r="A49" s="1167"/>
      <c r="B49" s="1168" t="s">
        <v>88</v>
      </c>
      <c r="C49" s="1169">
        <f>SUM(C6:C48)</f>
        <v>53231723.454849944</v>
      </c>
      <c r="D49" s="1170"/>
      <c r="E49" s="1171"/>
    </row>
    <row r="50" spans="1:5">
      <c r="A50"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W63"/>
  <sheetViews>
    <sheetView zoomScale="70" zoomScaleNormal="70" zoomScaleSheetLayoutView="90" workbookViewId="0">
      <selection activeCell="A4" sqref="A4:P42"/>
    </sheetView>
  </sheetViews>
  <sheetFormatPr defaultRowHeight="14.4"/>
  <cols>
    <col min="1" max="1" width="23" customWidth="1"/>
    <col min="2" max="2" width="12.6640625" customWidth="1"/>
    <col min="3" max="3" width="17.5546875" bestFit="1" customWidth="1"/>
    <col min="4" max="4" width="12.6640625" customWidth="1"/>
    <col min="5" max="5" width="14.6640625" customWidth="1"/>
    <col min="6" max="6" width="15.44140625" customWidth="1"/>
    <col min="7" max="7" width="19.6640625" bestFit="1" customWidth="1"/>
    <col min="8" max="8" width="14.88671875" customWidth="1"/>
    <col min="9" max="9" width="15.44140625" customWidth="1"/>
    <col min="10" max="10" width="1.6640625" customWidth="1"/>
    <col min="11" max="11" width="13.33203125" customWidth="1"/>
    <col min="12" max="12" width="12.6640625" customWidth="1"/>
    <col min="13" max="13" width="19" bestFit="1" customWidth="1"/>
    <col min="14" max="14" width="12.6640625" customWidth="1"/>
    <col min="15" max="15" width="14.88671875" customWidth="1"/>
    <col min="16" max="16" width="12.6640625" customWidth="1"/>
    <col min="17" max="17" width="11.88671875" customWidth="1"/>
    <col min="18" max="18" width="8.109375" customWidth="1"/>
    <col min="19" max="19" width="13.88671875" customWidth="1"/>
    <col min="20" max="20" width="14" bestFit="1" customWidth="1"/>
    <col min="21" max="22" width="14.5546875" customWidth="1"/>
    <col min="23" max="23" width="18.44140625" bestFit="1" customWidth="1"/>
    <col min="24" max="24" width="17.33203125" bestFit="1" customWidth="1"/>
    <col min="25" max="25" width="20.109375" bestFit="1" customWidth="1"/>
    <col min="26" max="26" width="24.44140625" bestFit="1" customWidth="1"/>
    <col min="27" max="27" width="23.44140625" bestFit="1" customWidth="1"/>
  </cols>
  <sheetData>
    <row r="1" spans="1:23" ht="15.6">
      <c r="A1" s="1586" t="s">
        <v>276</v>
      </c>
      <c r="B1" s="1587" t="s">
        <v>1010</v>
      </c>
      <c r="C1" s="1588"/>
      <c r="D1" s="1588"/>
      <c r="E1" s="1588"/>
      <c r="F1" s="1588"/>
      <c r="G1" s="1588"/>
      <c r="H1" s="1588"/>
      <c r="I1" s="1588"/>
      <c r="J1" s="1588"/>
      <c r="K1" s="1588"/>
      <c r="L1" s="1588"/>
      <c r="M1" s="1588"/>
      <c r="N1" s="1588"/>
      <c r="O1" s="1588"/>
      <c r="P1" s="1589"/>
      <c r="S1" s="49" t="str">
        <f>'General Information'!$K$1</f>
        <v>Data Date</v>
      </c>
      <c r="T1" s="50">
        <f>'General Information'!L1</f>
        <v>46308</v>
      </c>
    </row>
    <row r="2" spans="1:23">
      <c r="A2" s="1586"/>
      <c r="B2" s="1590"/>
      <c r="C2" s="1591"/>
      <c r="D2" s="1591"/>
      <c r="E2" s="1591"/>
      <c r="F2" s="1591"/>
      <c r="G2" s="1591"/>
      <c r="H2" s="1591"/>
      <c r="I2" s="1591"/>
      <c r="J2" s="1591"/>
      <c r="K2" s="1591"/>
      <c r="L2" s="1591"/>
      <c r="M2" s="1591"/>
      <c r="N2" s="1591"/>
      <c r="O2" s="1591"/>
      <c r="P2" s="1592"/>
    </row>
    <row r="3" spans="1:23" ht="15" thickBot="1">
      <c r="A3" s="1586"/>
      <c r="B3" s="1590"/>
      <c r="C3" s="1591"/>
      <c r="D3" s="1591"/>
      <c r="E3" s="1591"/>
      <c r="F3" s="1591"/>
      <c r="G3" s="1591"/>
      <c r="H3" s="1591"/>
      <c r="I3" s="1591"/>
      <c r="J3" s="1591"/>
      <c r="K3" s="1591"/>
      <c r="L3" s="1591"/>
      <c r="M3" s="1591"/>
      <c r="N3" s="1591"/>
      <c r="O3" s="1591"/>
      <c r="P3" s="1592"/>
    </row>
    <row r="4" spans="1:23" ht="21.6" thickBot="1">
      <c r="A4" s="770" t="s">
        <v>67</v>
      </c>
      <c r="B4" s="771"/>
      <c r="C4" s="772"/>
      <c r="D4" s="772"/>
      <c r="E4" s="773"/>
      <c r="F4" s="773"/>
      <c r="G4" s="773"/>
      <c r="H4" s="773"/>
      <c r="I4" s="773"/>
      <c r="J4" s="95"/>
      <c r="K4" s="1598" t="s">
        <v>68</v>
      </c>
      <c r="L4" s="1599"/>
      <c r="M4" s="1599"/>
      <c r="N4" s="1599"/>
      <c r="O4" s="1599"/>
      <c r="P4" s="1600"/>
    </row>
    <row r="5" spans="1:23" ht="18.600000000000001" customHeight="1" thickBot="1">
      <c r="A5" s="1601" t="s">
        <v>70</v>
      </c>
      <c r="B5" s="1450"/>
      <c r="C5" s="1427" t="s">
        <v>71</v>
      </c>
      <c r="D5" s="1593" t="s">
        <v>72</v>
      </c>
      <c r="E5" s="1424" t="s">
        <v>73</v>
      </c>
      <c r="F5" s="1425"/>
      <c r="G5" s="277"/>
      <c r="H5" s="1603" t="s">
        <v>74</v>
      </c>
      <c r="I5" s="1604"/>
      <c r="K5" s="99" t="s">
        <v>75</v>
      </c>
      <c r="L5" s="1593" t="s">
        <v>72</v>
      </c>
      <c r="M5" s="1595" t="s">
        <v>76</v>
      </c>
      <c r="N5" s="1596"/>
      <c r="O5" s="1595" t="s">
        <v>77</v>
      </c>
      <c r="P5" s="1597"/>
    </row>
    <row r="6" spans="1:23" ht="16.2" thickBot="1">
      <c r="A6" s="1602"/>
      <c r="B6" s="1452"/>
      <c r="C6" s="1428"/>
      <c r="D6" s="1594"/>
      <c r="E6" s="100" t="s">
        <v>78</v>
      </c>
      <c r="F6" s="101" t="s">
        <v>79</v>
      </c>
      <c r="G6" s="774" t="s">
        <v>80</v>
      </c>
      <c r="H6" s="102" t="s">
        <v>78</v>
      </c>
      <c r="I6" s="102" t="s">
        <v>79</v>
      </c>
      <c r="K6" s="103" t="s">
        <v>86</v>
      </c>
      <c r="L6" s="1594"/>
      <c r="M6" s="100" t="s">
        <v>78</v>
      </c>
      <c r="N6" s="101" t="s">
        <v>79</v>
      </c>
      <c r="O6" s="102" t="s">
        <v>78</v>
      </c>
      <c r="P6" s="775" t="s">
        <v>79</v>
      </c>
    </row>
    <row r="7" spans="1:23" s="13" customFormat="1" ht="15" thickBot="1">
      <c r="A7" s="1580" t="s">
        <v>277</v>
      </c>
      <c r="B7" s="1581"/>
      <c r="C7" s="192">
        <f>SUBTOTAL(9,C8:C8)</f>
        <v>0</v>
      </c>
      <c r="D7" s="535">
        <f t="shared" ref="D7:D40" si="0">IF(ISBLANK(C7),"",C7/$C$41)</f>
        <v>0</v>
      </c>
      <c r="E7" s="192">
        <f>SUBTOTAL(9,E8:E8)</f>
        <v>0</v>
      </c>
      <c r="F7" s="192">
        <f>SUBTOTAL(9,F8:F8)</f>
        <v>0</v>
      </c>
      <c r="G7" s="192">
        <f>SUBTOTAL(9,G8:G8)</f>
        <v>0</v>
      </c>
      <c r="H7" s="192">
        <f>SUBTOTAL(9,H8:H8)</f>
        <v>0</v>
      </c>
      <c r="I7" s="192">
        <f>SUBTOTAL(9,I8:I8)</f>
        <v>0</v>
      </c>
      <c r="J7" s="776"/>
      <c r="K7" s="192">
        <f t="shared" ref="F7:K37" si="1">SUBTOTAL(9,K8:K8)</f>
        <v>8492</v>
      </c>
      <c r="L7" s="191">
        <f t="shared" ref="L7:L40" si="2">IF(ISBLANK(K7),"",K7/$K$41)</f>
        <v>2.0904465215432676E-2</v>
      </c>
      <c r="M7" s="192">
        <f>SUBTOTAL(9,M8:M8)</f>
        <v>0</v>
      </c>
      <c r="N7" s="192">
        <f>SUBTOTAL(9,N8:N8)</f>
        <v>0</v>
      </c>
      <c r="O7" s="192">
        <f>SUBTOTAL(9,O8:O8)</f>
        <v>8492</v>
      </c>
      <c r="P7" s="816">
        <f>SUBTOTAL(9,P8:P8)</f>
        <v>8492</v>
      </c>
    </row>
    <row r="8" spans="1:23" s="13" customFormat="1" ht="15" thickBot="1">
      <c r="A8" s="1573" t="s">
        <v>278</v>
      </c>
      <c r="B8" s="1574"/>
      <c r="C8" s="532">
        <v>0</v>
      </c>
      <c r="D8" s="536">
        <f t="shared" si="0"/>
        <v>0</v>
      </c>
      <c r="E8" s="685">
        <f>+'Progress (2)'!I4</f>
        <v>0</v>
      </c>
      <c r="F8" s="685">
        <f>+'Progress (2)'!J4</f>
        <v>0</v>
      </c>
      <c r="G8" s="685">
        <f>+'Progress (2)'!K4</f>
        <v>0</v>
      </c>
      <c r="H8" s="685">
        <f>+'Progress (2)'!L4</f>
        <v>0</v>
      </c>
      <c r="I8" s="685">
        <f>+'Progress (2)'!M4</f>
        <v>0</v>
      </c>
      <c r="J8" s="534"/>
      <c r="K8" s="686">
        <v>8492</v>
      </c>
      <c r="L8" s="533">
        <f t="shared" si="2"/>
        <v>2.0904465215432676E-2</v>
      </c>
      <c r="M8" s="685">
        <f>+'Progress (2)'!O4</f>
        <v>0</v>
      </c>
      <c r="N8" s="685">
        <f>+'Progress (2)'!P4</f>
        <v>0</v>
      </c>
      <c r="O8" s="685">
        <f>+'Progress (2)'!Q4</f>
        <v>8492</v>
      </c>
      <c r="P8" s="817">
        <f>+'Progress (2)'!R4</f>
        <v>8492</v>
      </c>
    </row>
    <row r="9" spans="1:23" s="13" customFormat="1" ht="15" thickBot="1">
      <c r="A9" s="1580" t="s">
        <v>279</v>
      </c>
      <c r="B9" s="1581"/>
      <c r="C9" s="192">
        <f>SUBTOTAL(9,C10:C10)</f>
        <v>1719130.43</v>
      </c>
      <c r="D9" s="535">
        <f t="shared" si="0"/>
        <v>2.9999999898786035E-2</v>
      </c>
      <c r="E9" s="192">
        <f>SUBTOTAL(9,E10:E10)</f>
        <v>0</v>
      </c>
      <c r="F9" s="192">
        <f t="shared" si="1"/>
        <v>0</v>
      </c>
      <c r="G9" s="192">
        <f>SUBTOTAL(9,G10:G10)</f>
        <v>1719130.43</v>
      </c>
      <c r="H9" s="192">
        <f t="shared" si="1"/>
        <v>1690947.96</v>
      </c>
      <c r="I9" s="192">
        <f t="shared" si="1"/>
        <v>1719130.43</v>
      </c>
      <c r="J9" s="776"/>
      <c r="K9" s="192">
        <f t="shared" si="1"/>
        <v>18263</v>
      </c>
      <c r="L9" s="191">
        <f t="shared" si="2"/>
        <v>4.4957400874875993E-2</v>
      </c>
      <c r="M9" s="192">
        <f t="shared" ref="M9" si="3">SUBTOTAL(9,M10:M10)</f>
        <v>108</v>
      </c>
      <c r="N9" s="192">
        <f t="shared" ref="N9" si="4">SUBTOTAL(9,N10:N10)</f>
        <v>0</v>
      </c>
      <c r="O9" s="192">
        <f t="shared" ref="O9" si="5">SUBTOTAL(9,O10:O10)</f>
        <v>18189</v>
      </c>
      <c r="P9" s="816">
        <f t="shared" ref="P9" si="6">SUBTOTAL(9,P10:P10)</f>
        <v>18270</v>
      </c>
      <c r="R9" s="687"/>
      <c r="S9" s="687"/>
      <c r="T9" s="687"/>
      <c r="U9" s="693"/>
      <c r="V9" s="688"/>
      <c r="W9" s="688"/>
    </row>
    <row r="10" spans="1:23" s="13" customFormat="1" ht="15" thickBot="1">
      <c r="A10" s="1573" t="s">
        <v>279</v>
      </c>
      <c r="B10" s="1574"/>
      <c r="C10" s="532">
        <v>1719130.43</v>
      </c>
      <c r="D10" s="536">
        <f t="shared" si="0"/>
        <v>2.9999999898786035E-2</v>
      </c>
      <c r="E10" s="685">
        <f>+'Progress (2)'!I5</f>
        <v>0</v>
      </c>
      <c r="F10" s="685">
        <f>+'Progress (2)'!J5</f>
        <v>0</v>
      </c>
      <c r="G10" s="685">
        <f>+'Progress (2)'!K5</f>
        <v>1719130.43</v>
      </c>
      <c r="H10" s="685">
        <f>+'Progress (2)'!L5</f>
        <v>1690947.96</v>
      </c>
      <c r="I10" s="685">
        <f>+'Progress (2)'!M5</f>
        <v>1719130.43</v>
      </c>
      <c r="J10" s="534"/>
      <c r="K10" s="686">
        <v>18263</v>
      </c>
      <c r="L10" s="533">
        <f t="shared" si="2"/>
        <v>4.4957400874875993E-2</v>
      </c>
      <c r="M10" s="685">
        <f>+'Progress (2)'!O5</f>
        <v>108</v>
      </c>
      <c r="N10" s="685">
        <f>+'Progress (2)'!P5</f>
        <v>0</v>
      </c>
      <c r="O10" s="685">
        <f>+'Progress (2)'!Q5</f>
        <v>18189</v>
      </c>
      <c r="P10" s="817">
        <f>+'Progress (2)'!R5</f>
        <v>18270</v>
      </c>
      <c r="R10" s="688"/>
      <c r="S10" s="688"/>
      <c r="T10" s="692"/>
      <c r="U10" s="688"/>
      <c r="V10" s="687"/>
      <c r="W10" s="688"/>
    </row>
    <row r="11" spans="1:23" s="13" customFormat="1" ht="15" thickBot="1">
      <c r="A11" s="1580" t="s">
        <v>280</v>
      </c>
      <c r="B11" s="1581"/>
      <c r="C11" s="192">
        <f>SUBTOTAL(9,C12:C12)</f>
        <v>11460869.58</v>
      </c>
      <c r="D11" s="535">
        <f t="shared" si="0"/>
        <v>0.20000000013960545</v>
      </c>
      <c r="E11" s="192">
        <f t="shared" ref="E11:I11" si="7">SUBTOTAL(9,E12:E12)</f>
        <v>393541.02999999933</v>
      </c>
      <c r="F11" s="192">
        <f t="shared" si="7"/>
        <v>0</v>
      </c>
      <c r="G11" s="192">
        <f>SUBTOTAL(9,G12:G12)</f>
        <v>10712587.359999999</v>
      </c>
      <c r="H11" s="192">
        <f t="shared" si="7"/>
        <v>9731079.8300000001</v>
      </c>
      <c r="I11" s="192">
        <f t="shared" si="7"/>
        <v>11460869.58</v>
      </c>
      <c r="J11" s="776"/>
      <c r="K11" s="192">
        <f t="shared" si="1"/>
        <v>82180</v>
      </c>
      <c r="L11" s="191">
        <f t="shared" si="2"/>
        <v>0.20229968810695445</v>
      </c>
      <c r="M11" s="192">
        <f t="shared" ref="M11" si="8">SUBTOTAL(9,M12:M12)</f>
        <v>1086</v>
      </c>
      <c r="N11" s="192">
        <f t="shared" ref="N11" si="9">SUBTOTAL(9,N12:N12)</f>
        <v>0</v>
      </c>
      <c r="O11" s="192">
        <f t="shared" ref="O11" si="10">SUBTOTAL(9,O12:O12)</f>
        <v>79551</v>
      </c>
      <c r="P11" s="816">
        <f t="shared" ref="P11" si="11">SUBTOTAL(9,P12:P12)</f>
        <v>83973</v>
      </c>
      <c r="R11" s="687"/>
      <c r="S11" s="687"/>
      <c r="T11" s="687"/>
      <c r="U11" s="688"/>
      <c r="V11" s="687"/>
      <c r="W11" s="688"/>
    </row>
    <row r="12" spans="1:23" s="13" customFormat="1" ht="15" thickBot="1">
      <c r="A12" s="1573" t="s">
        <v>280</v>
      </c>
      <c r="B12" s="1574"/>
      <c r="C12" s="532">
        <v>11460869.58</v>
      </c>
      <c r="D12" s="536">
        <f t="shared" si="0"/>
        <v>0.20000000013960545</v>
      </c>
      <c r="E12" s="685">
        <f>+'Progress (2)'!I6</f>
        <v>393541.02999999933</v>
      </c>
      <c r="F12" s="685">
        <f>+'Progress (2)'!J6</f>
        <v>0</v>
      </c>
      <c r="G12" s="685">
        <f>+'Progress (2)'!K6</f>
        <v>10712587.359999999</v>
      </c>
      <c r="H12" s="685">
        <f>+'Progress (2)'!L6</f>
        <v>9731079.8300000001</v>
      </c>
      <c r="I12" s="685">
        <f>+'Progress (2)'!M6</f>
        <v>11460869.58</v>
      </c>
      <c r="J12" s="534"/>
      <c r="K12" s="686">
        <v>82180</v>
      </c>
      <c r="L12" s="533">
        <f t="shared" si="2"/>
        <v>0.20229968810695445</v>
      </c>
      <c r="M12" s="685">
        <f>+'Progress (2)'!O6</f>
        <v>1086</v>
      </c>
      <c r="N12" s="685">
        <f>+'Progress (2)'!P6</f>
        <v>0</v>
      </c>
      <c r="O12" s="685">
        <f>+'Progress (2)'!Q6</f>
        <v>79551</v>
      </c>
      <c r="P12" s="817">
        <f>+'Progress (2)'!R6</f>
        <v>83973</v>
      </c>
      <c r="R12" s="688"/>
      <c r="S12" s="688"/>
      <c r="T12" s="692"/>
      <c r="U12" s="688"/>
      <c r="V12" s="687"/>
      <c r="W12" s="688"/>
    </row>
    <row r="13" spans="1:23" s="13" customFormat="1" ht="15" thickBot="1">
      <c r="A13" s="1580" t="s">
        <v>281</v>
      </c>
      <c r="B13" s="1581"/>
      <c r="C13" s="192">
        <f>SUBTOTAL(9,C14:C14)</f>
        <v>13221675.15</v>
      </c>
      <c r="D13" s="535">
        <f t="shared" si="0"/>
        <v>0.23072725968894742</v>
      </c>
      <c r="E13" s="192">
        <f t="shared" ref="E13:I13" si="12">SUBTOTAL(9,E14:E14)</f>
        <v>116746.48000000045</v>
      </c>
      <c r="F13" s="192">
        <f t="shared" si="12"/>
        <v>201466.73000000045</v>
      </c>
      <c r="G13" s="192">
        <f t="shared" si="12"/>
        <v>8086622.6900000004</v>
      </c>
      <c r="H13" s="192">
        <f t="shared" si="12"/>
        <v>7989416.3200000003</v>
      </c>
      <c r="I13" s="192">
        <f t="shared" si="12"/>
        <v>14417396.960000001</v>
      </c>
      <c r="J13" s="776"/>
      <c r="K13" s="192">
        <f t="shared" si="1"/>
        <v>53186</v>
      </c>
      <c r="L13" s="191">
        <f t="shared" si="2"/>
        <v>0.13092615249034412</v>
      </c>
      <c r="M13" s="192">
        <f t="shared" ref="M13" si="13">SUBTOTAL(9,M14:M14)</f>
        <v>540</v>
      </c>
      <c r="N13" s="192">
        <f t="shared" ref="N13" si="14">SUBTOTAL(9,N14:N14)</f>
        <v>1563</v>
      </c>
      <c r="O13" s="192">
        <f t="shared" ref="O13" si="15">SUBTOTAL(9,O14:O14)</f>
        <v>39667</v>
      </c>
      <c r="P13" s="816">
        <f t="shared" ref="P13" si="16">SUBTOTAL(9,P14:P14)</f>
        <v>56207</v>
      </c>
      <c r="R13" s="687"/>
      <c r="S13" s="687"/>
      <c r="T13" s="687"/>
      <c r="U13" s="688"/>
      <c r="V13" s="687"/>
      <c r="W13" s="688"/>
    </row>
    <row r="14" spans="1:23" s="534" customFormat="1" ht="15.75" customHeight="1" thickBot="1">
      <c r="A14" s="1573" t="s">
        <v>281</v>
      </c>
      <c r="B14" s="1574"/>
      <c r="C14" s="532">
        <v>13221675.15</v>
      </c>
      <c r="D14" s="536">
        <f t="shared" si="0"/>
        <v>0.23072725968894742</v>
      </c>
      <c r="E14" s="685">
        <f>+'Progress (2)'!I7</f>
        <v>116746.48000000045</v>
      </c>
      <c r="F14" s="685">
        <f>+'Progress (2)'!J7</f>
        <v>201466.73000000045</v>
      </c>
      <c r="G14" s="685">
        <f>+'Progress (2)'!K7</f>
        <v>8086622.6900000004</v>
      </c>
      <c r="H14" s="685">
        <f>+'Progress (2)'!L7</f>
        <v>7989416.3200000003</v>
      </c>
      <c r="I14" s="685">
        <f>+'Progress (2)'!M7</f>
        <v>14417396.960000001</v>
      </c>
      <c r="K14" s="686">
        <v>53186</v>
      </c>
      <c r="L14" s="533">
        <f t="shared" si="2"/>
        <v>0.13092615249034412</v>
      </c>
      <c r="M14" s="685">
        <f>+'Progress (2)'!O7</f>
        <v>540</v>
      </c>
      <c r="N14" s="685">
        <f>+'Progress (2)'!P7</f>
        <v>1563</v>
      </c>
      <c r="O14" s="685">
        <f>+'Progress (2)'!Q7</f>
        <v>39667</v>
      </c>
      <c r="P14" s="817">
        <f>+'Progress (2)'!R7</f>
        <v>56207</v>
      </c>
      <c r="R14" s="688"/>
      <c r="S14" s="688"/>
      <c r="T14" s="692"/>
      <c r="U14" s="688"/>
      <c r="V14" s="690"/>
      <c r="W14" s="688"/>
    </row>
    <row r="15" spans="1:23" s="13" customFormat="1" ht="15" thickBot="1">
      <c r="A15" s="1580" t="s">
        <v>824</v>
      </c>
      <c r="B15" s="1581"/>
      <c r="C15" s="192">
        <f>SUBTOTAL(9,C16:C16)</f>
        <v>3953631.64</v>
      </c>
      <c r="D15" s="535">
        <f t="shared" si="0"/>
        <v>6.8993571825633537E-2</v>
      </c>
      <c r="E15" s="192">
        <f t="shared" ref="E15:I15" si="17">SUBTOTAL(9,E16:E16)</f>
        <v>90863.030000000028</v>
      </c>
      <c r="F15" s="192">
        <f t="shared" si="17"/>
        <v>113449.55999999959</v>
      </c>
      <c r="G15" s="192">
        <f t="shared" si="17"/>
        <v>2790664.86</v>
      </c>
      <c r="H15" s="192">
        <f t="shared" si="17"/>
        <v>1529434.34</v>
      </c>
      <c r="I15" s="192">
        <f t="shared" si="17"/>
        <v>4232139.51</v>
      </c>
      <c r="J15" s="776"/>
      <c r="K15" s="192">
        <f t="shared" si="1"/>
        <v>58660</v>
      </c>
      <c r="L15" s="191">
        <f t="shared" si="2"/>
        <v>0.14440131059082439</v>
      </c>
      <c r="M15" s="192">
        <f t="shared" ref="M15" si="18">SUBTOTAL(9,M16:M16)</f>
        <v>1272</v>
      </c>
      <c r="N15" s="192">
        <f t="shared" ref="N15" si="19">SUBTOTAL(9,N16:N16)</f>
        <v>1009</v>
      </c>
      <c r="O15" s="192">
        <f t="shared" ref="O15" si="20">SUBTOTAL(9,O16:O16)</f>
        <v>22808</v>
      </c>
      <c r="P15" s="816">
        <f t="shared" ref="P15" si="21">SUBTOTAL(9,P16:P16)</f>
        <v>49140</v>
      </c>
      <c r="R15" s="687"/>
      <c r="S15" s="690"/>
      <c r="T15" s="690"/>
      <c r="U15" s="688"/>
      <c r="V15" s="690"/>
      <c r="W15" s="688"/>
    </row>
    <row r="16" spans="1:23" s="13" customFormat="1" ht="15" thickBot="1">
      <c r="A16" s="1573" t="s">
        <v>824</v>
      </c>
      <c r="B16" s="1574"/>
      <c r="C16" s="532">
        <v>3953631.64</v>
      </c>
      <c r="D16" s="536">
        <f t="shared" si="0"/>
        <v>6.8993571825633537E-2</v>
      </c>
      <c r="E16" s="685">
        <f>+'Progress (2)'!I8</f>
        <v>90863.030000000028</v>
      </c>
      <c r="F16" s="685">
        <f>+'Progress (2)'!J8</f>
        <v>113449.55999999959</v>
      </c>
      <c r="G16" s="685">
        <f>+'Progress (2)'!K8</f>
        <v>2790664.86</v>
      </c>
      <c r="H16" s="685">
        <f>+'Progress (2)'!L8</f>
        <v>1529434.34</v>
      </c>
      <c r="I16" s="685">
        <f>+'Progress (2)'!M8</f>
        <v>4232139.51</v>
      </c>
      <c r="J16" s="534"/>
      <c r="K16" s="686">
        <v>58660</v>
      </c>
      <c r="L16" s="533">
        <f t="shared" si="2"/>
        <v>0.14440131059082439</v>
      </c>
      <c r="M16" s="685">
        <f>+'Progress (2)'!O8</f>
        <v>1272</v>
      </c>
      <c r="N16" s="685">
        <f>+'Progress (2)'!P8</f>
        <v>1009</v>
      </c>
      <c r="O16" s="685">
        <f>+'Progress (2)'!Q8</f>
        <v>22808</v>
      </c>
      <c r="P16" s="817">
        <f>+'Progress (2)'!R8</f>
        <v>49140</v>
      </c>
      <c r="R16" s="688"/>
      <c r="S16" s="688"/>
      <c r="T16" s="692"/>
      <c r="U16" s="688"/>
      <c r="V16" s="694"/>
      <c r="W16" s="688"/>
    </row>
    <row r="17" spans="1:23" s="13" customFormat="1" ht="15" thickBot="1">
      <c r="A17" s="1575" t="s">
        <v>825</v>
      </c>
      <c r="B17" s="1576"/>
      <c r="C17" s="192">
        <f>SUBTOTAL(9,C18:C18)</f>
        <v>506619.53</v>
      </c>
      <c r="D17" s="535">
        <f t="shared" si="0"/>
        <v>8.8408567398362142E-3</v>
      </c>
      <c r="E17" s="192">
        <f t="shared" ref="E17:I35" si="22">SUBTOTAL(9,E18:E18)</f>
        <v>0</v>
      </c>
      <c r="F17" s="192">
        <f t="shared" si="22"/>
        <v>0</v>
      </c>
      <c r="G17" s="192">
        <f t="shared" si="22"/>
        <v>506619.53</v>
      </c>
      <c r="H17" s="192">
        <f t="shared" si="22"/>
        <v>505616.54</v>
      </c>
      <c r="I17" s="192">
        <f t="shared" si="22"/>
        <v>505616.54</v>
      </c>
      <c r="J17" s="776"/>
      <c r="K17" s="192">
        <f t="shared" si="1"/>
        <v>14710</v>
      </c>
      <c r="L17" s="191">
        <f t="shared" si="2"/>
        <v>3.6211102604688489E-2</v>
      </c>
      <c r="M17" s="192">
        <f t="shared" ref="M17:M35" si="23">SUBTOTAL(9,M18:M18)</f>
        <v>0</v>
      </c>
      <c r="N17" s="192">
        <f t="shared" ref="N17:N35" si="24">SUBTOTAL(9,N18:N18)</f>
        <v>0</v>
      </c>
      <c r="O17" s="192">
        <f t="shared" ref="O17:O35" si="25">SUBTOTAL(9,O18:O18)</f>
        <v>16105</v>
      </c>
      <c r="P17" s="816">
        <f t="shared" ref="P17:P35" si="26">SUBTOTAL(9,P18:P18)</f>
        <v>16105</v>
      </c>
      <c r="R17" s="687"/>
      <c r="S17" s="690"/>
      <c r="T17" s="690"/>
      <c r="U17" s="688"/>
      <c r="V17" s="690"/>
      <c r="W17" s="688"/>
    </row>
    <row r="18" spans="1:23" s="534" customFormat="1" ht="15" thickBot="1">
      <c r="A18" s="1582" t="s">
        <v>825</v>
      </c>
      <c r="B18" s="1583"/>
      <c r="C18" s="532">
        <v>506619.53</v>
      </c>
      <c r="D18" s="536">
        <f t="shared" si="0"/>
        <v>8.8408567398362142E-3</v>
      </c>
      <c r="E18" s="685">
        <f>+'Progress (2)'!I9</f>
        <v>0</v>
      </c>
      <c r="F18" s="685">
        <f>+'Progress (2)'!J9</f>
        <v>0</v>
      </c>
      <c r="G18" s="685">
        <f>+'Progress (2)'!K9</f>
        <v>506619.53</v>
      </c>
      <c r="H18" s="685">
        <f>+'Progress (2)'!L9</f>
        <v>505616.54</v>
      </c>
      <c r="I18" s="685">
        <f>+'Progress (2)'!M9</f>
        <v>505616.54</v>
      </c>
      <c r="K18" s="686">
        <v>14710</v>
      </c>
      <c r="L18" s="533">
        <f t="shared" si="2"/>
        <v>3.6211102604688489E-2</v>
      </c>
      <c r="M18" s="685">
        <f>+'Progress (2)'!O9</f>
        <v>0</v>
      </c>
      <c r="N18" s="685">
        <f>+'Progress (2)'!P9</f>
        <v>0</v>
      </c>
      <c r="O18" s="685">
        <f>+'Progress (2)'!Q9</f>
        <v>16105</v>
      </c>
      <c r="P18" s="817">
        <f>+'Progress (2)'!R9</f>
        <v>16105</v>
      </c>
      <c r="R18" s="688"/>
      <c r="S18" s="688"/>
      <c r="T18" s="692"/>
      <c r="U18" s="688"/>
      <c r="V18" s="690"/>
      <c r="W18" s="688"/>
    </row>
    <row r="19" spans="1:23" s="13" customFormat="1" ht="15" thickBot="1">
      <c r="A19" s="1575" t="s">
        <v>282</v>
      </c>
      <c r="B19" s="1576"/>
      <c r="C19" s="192">
        <f>SUBTOTAL(9,C20:C20)</f>
        <v>3336320.63</v>
      </c>
      <c r="D19" s="535">
        <f t="shared" si="0"/>
        <v>5.822107317495262E-2</v>
      </c>
      <c r="E19" s="192">
        <f t="shared" si="22"/>
        <v>59901.470000000205</v>
      </c>
      <c r="F19" s="192">
        <f t="shared" si="22"/>
        <v>0</v>
      </c>
      <c r="G19" s="192">
        <f t="shared" si="22"/>
        <v>3336320.63</v>
      </c>
      <c r="H19" s="192">
        <f t="shared" si="22"/>
        <v>2238976.85</v>
      </c>
      <c r="I19" s="192">
        <f t="shared" si="22"/>
        <v>2558110.4500000002</v>
      </c>
      <c r="J19" s="776"/>
      <c r="K19" s="192">
        <f t="shared" si="1"/>
        <v>29100</v>
      </c>
      <c r="L19" s="191">
        <f t="shared" si="2"/>
        <v>7.1634472181946643E-2</v>
      </c>
      <c r="M19" s="192">
        <f t="shared" si="23"/>
        <v>270</v>
      </c>
      <c r="N19" s="192">
        <f t="shared" si="24"/>
        <v>0</v>
      </c>
      <c r="O19" s="192">
        <f t="shared" si="25"/>
        <v>26800</v>
      </c>
      <c r="P19" s="816">
        <f t="shared" si="26"/>
        <v>29900</v>
      </c>
      <c r="R19" s="687"/>
      <c r="S19" s="690"/>
      <c r="T19" s="690"/>
      <c r="U19" s="688"/>
      <c r="V19" s="690"/>
      <c r="W19" s="688"/>
    </row>
    <row r="20" spans="1:23" s="534" customFormat="1" ht="15" thickBot="1">
      <c r="A20" s="1573" t="s">
        <v>282</v>
      </c>
      <c r="B20" s="1574"/>
      <c r="C20" s="532">
        <v>3336320.63</v>
      </c>
      <c r="D20" s="536">
        <f t="shared" si="0"/>
        <v>5.822107317495262E-2</v>
      </c>
      <c r="E20" s="685">
        <f>+'Progress (2)'!I10</f>
        <v>59901.470000000205</v>
      </c>
      <c r="F20" s="685">
        <f>+'Progress (2)'!J10</f>
        <v>0</v>
      </c>
      <c r="G20" s="685">
        <f>+'Progress (2)'!K10</f>
        <v>3336320.63</v>
      </c>
      <c r="H20" s="685">
        <f>+'Progress (2)'!L10</f>
        <v>2238976.85</v>
      </c>
      <c r="I20" s="685">
        <f>+'Progress (2)'!M10</f>
        <v>2558110.4500000002</v>
      </c>
      <c r="K20" s="686">
        <v>29100</v>
      </c>
      <c r="L20" s="533">
        <f t="shared" si="2"/>
        <v>7.1634472181946643E-2</v>
      </c>
      <c r="M20" s="685">
        <f>+'Progress (2)'!O10</f>
        <v>270</v>
      </c>
      <c r="N20" s="685">
        <f>+'Progress (2)'!P10</f>
        <v>0</v>
      </c>
      <c r="O20" s="685">
        <f>+'Progress (2)'!Q10</f>
        <v>26800</v>
      </c>
      <c r="P20" s="817">
        <f>+'Progress (2)'!R10</f>
        <v>29900</v>
      </c>
      <c r="R20" s="687"/>
      <c r="S20" s="690"/>
      <c r="T20" s="690"/>
      <c r="U20" s="688"/>
      <c r="V20" s="690"/>
      <c r="W20" s="688"/>
    </row>
    <row r="21" spans="1:23" s="13" customFormat="1" ht="15" thickBot="1">
      <c r="A21" s="1575" t="s">
        <v>826</v>
      </c>
      <c r="B21" s="1576"/>
      <c r="C21" s="192">
        <f>SUBTOTAL(9,C22:C22)</f>
        <v>7378530.3799999999</v>
      </c>
      <c r="D21" s="535">
        <f t="shared" si="0"/>
        <v>0.12876039350498245</v>
      </c>
      <c r="E21" s="192">
        <f t="shared" si="22"/>
        <v>0</v>
      </c>
      <c r="F21" s="192">
        <f t="shared" si="22"/>
        <v>152056.15000000037</v>
      </c>
      <c r="G21" s="192">
        <f t="shared" si="22"/>
        <v>7378530.3799999999</v>
      </c>
      <c r="H21" s="192">
        <f t="shared" si="22"/>
        <v>4337407.5199999996</v>
      </c>
      <c r="I21" s="192">
        <f t="shared" si="22"/>
        <v>6820991.1900000004</v>
      </c>
      <c r="J21" s="776"/>
      <c r="K21" s="192">
        <f t="shared" si="1"/>
        <v>12640</v>
      </c>
      <c r="L21" s="191">
        <f t="shared" si="2"/>
        <v>3.1115454583498469E-2</v>
      </c>
      <c r="M21" s="192">
        <f t="shared" si="23"/>
        <v>0</v>
      </c>
      <c r="N21" s="192">
        <f t="shared" si="24"/>
        <v>215</v>
      </c>
      <c r="O21" s="192">
        <f t="shared" si="25"/>
        <v>10430</v>
      </c>
      <c r="P21" s="816">
        <f t="shared" si="26"/>
        <v>13856</v>
      </c>
      <c r="Q21" s="534"/>
      <c r="R21" s="687"/>
      <c r="S21" s="690"/>
      <c r="T21" s="690"/>
      <c r="U21" s="688"/>
      <c r="V21" s="690"/>
      <c r="W21" s="688"/>
    </row>
    <row r="22" spans="1:23" s="534" customFormat="1" ht="15" thickBot="1">
      <c r="A22" s="1573" t="s">
        <v>826</v>
      </c>
      <c r="B22" s="1574"/>
      <c r="C22" s="532">
        <v>7378530.3799999999</v>
      </c>
      <c r="D22" s="536">
        <f t="shared" si="0"/>
        <v>0.12876039350498245</v>
      </c>
      <c r="E22" s="685">
        <f>+'Progress (2)'!I11</f>
        <v>0</v>
      </c>
      <c r="F22" s="685">
        <f>+'Progress (2)'!J11</f>
        <v>152056.15000000037</v>
      </c>
      <c r="G22" s="685">
        <f>+'Progress (2)'!K11</f>
        <v>7378530.3799999999</v>
      </c>
      <c r="H22" s="685">
        <f>+'Progress (2)'!L11</f>
        <v>4337407.5199999996</v>
      </c>
      <c r="I22" s="685">
        <f>+'Progress (2)'!M11</f>
        <v>6820991.1900000004</v>
      </c>
      <c r="K22" s="686">
        <v>12640</v>
      </c>
      <c r="L22" s="533">
        <f t="shared" si="2"/>
        <v>3.1115454583498469E-2</v>
      </c>
      <c r="M22" s="685">
        <f>+'Progress (2)'!O11</f>
        <v>0</v>
      </c>
      <c r="N22" s="685">
        <f>+'Progress (2)'!P11</f>
        <v>215</v>
      </c>
      <c r="O22" s="685">
        <f>+'Progress (2)'!Q11</f>
        <v>10430</v>
      </c>
      <c r="P22" s="817">
        <f>+'Progress (2)'!R11</f>
        <v>13856</v>
      </c>
      <c r="R22" s="687"/>
      <c r="S22" s="690"/>
      <c r="T22" s="690"/>
      <c r="U22" s="688"/>
      <c r="V22" s="690"/>
      <c r="W22" s="688"/>
    </row>
    <row r="23" spans="1:23" s="13" customFormat="1" ht="15" thickBot="1">
      <c r="A23" s="1575" t="s">
        <v>827</v>
      </c>
      <c r="B23" s="1576"/>
      <c r="C23" s="192">
        <f>SUBTOTAL(9,C24:C24)</f>
        <v>2156250.46</v>
      </c>
      <c r="D23" s="535">
        <f t="shared" si="0"/>
        <v>3.7628042906411321E-2</v>
      </c>
      <c r="E23" s="192">
        <f t="shared" si="22"/>
        <v>0</v>
      </c>
      <c r="F23" s="192">
        <f t="shared" si="22"/>
        <v>0</v>
      </c>
      <c r="G23" s="192">
        <f t="shared" si="22"/>
        <v>2156250.46</v>
      </c>
      <c r="H23" s="192">
        <f t="shared" si="22"/>
        <v>1505980.97</v>
      </c>
      <c r="I23" s="192">
        <f t="shared" si="22"/>
        <v>1505980.97</v>
      </c>
      <c r="J23" s="776"/>
      <c r="K23" s="192">
        <f t="shared" si="1"/>
        <v>24496</v>
      </c>
      <c r="L23" s="191">
        <f t="shared" si="2"/>
        <v>6.0300963249792602E-2</v>
      </c>
      <c r="M23" s="192">
        <f t="shared" si="23"/>
        <v>0</v>
      </c>
      <c r="N23" s="192">
        <f t="shared" si="24"/>
        <v>0</v>
      </c>
      <c r="O23" s="192">
        <f t="shared" si="25"/>
        <v>20616</v>
      </c>
      <c r="P23" s="816">
        <f t="shared" si="26"/>
        <v>20616</v>
      </c>
      <c r="R23" s="687"/>
      <c r="S23" s="690"/>
      <c r="T23" s="690"/>
      <c r="U23" s="688"/>
      <c r="V23" s="690"/>
      <c r="W23" s="688"/>
    </row>
    <row r="24" spans="1:23" s="534" customFormat="1" ht="15" thickBot="1">
      <c r="A24" s="1573" t="s">
        <v>827</v>
      </c>
      <c r="B24" s="1574"/>
      <c r="C24" s="532">
        <v>2156250.46</v>
      </c>
      <c r="D24" s="536">
        <f t="shared" si="0"/>
        <v>3.7628042906411321E-2</v>
      </c>
      <c r="E24" s="685">
        <f>+'Progress (2)'!I12</f>
        <v>0</v>
      </c>
      <c r="F24" s="685">
        <f>+'Progress (2)'!J12</f>
        <v>0</v>
      </c>
      <c r="G24" s="685">
        <f>+'Progress (2)'!K12</f>
        <v>2156250.46</v>
      </c>
      <c r="H24" s="685">
        <f>+'Progress (2)'!L12</f>
        <v>1505980.97</v>
      </c>
      <c r="I24" s="685">
        <f>+'Progress (2)'!M12</f>
        <v>1505980.97</v>
      </c>
      <c r="K24" s="686">
        <v>24496</v>
      </c>
      <c r="L24" s="533">
        <f t="shared" si="2"/>
        <v>6.0300963249792602E-2</v>
      </c>
      <c r="M24" s="685">
        <f>+'Progress (2)'!O12</f>
        <v>0</v>
      </c>
      <c r="N24" s="685">
        <f>+'Progress (2)'!P12</f>
        <v>0</v>
      </c>
      <c r="O24" s="685">
        <f>+'Progress (2)'!Q12</f>
        <v>20616</v>
      </c>
      <c r="P24" s="817">
        <f>+'Progress (2)'!R12</f>
        <v>20616</v>
      </c>
      <c r="R24" s="687"/>
      <c r="S24" s="690"/>
      <c r="T24" s="690"/>
      <c r="U24" s="688"/>
      <c r="V24" s="690"/>
      <c r="W24" s="688"/>
    </row>
    <row r="25" spans="1:23" s="13" customFormat="1" ht="15" thickBot="1">
      <c r="A25" s="1575" t="s">
        <v>828</v>
      </c>
      <c r="B25" s="1576"/>
      <c r="C25" s="192">
        <f>SUBTOTAL(9,C26:C26)</f>
        <v>1589264.42</v>
      </c>
      <c r="D25" s="535">
        <f t="shared" si="0"/>
        <v>2.7733749346257715E-2</v>
      </c>
      <c r="E25" s="192">
        <f t="shared" si="22"/>
        <v>34853.630000000121</v>
      </c>
      <c r="F25" s="192">
        <f t="shared" si="22"/>
        <v>0</v>
      </c>
      <c r="G25" s="192">
        <f>SUBTOTAL(9,G26:G26)</f>
        <v>1433580.44</v>
      </c>
      <c r="H25" s="192">
        <f t="shared" si="22"/>
        <v>1162894.8</v>
      </c>
      <c r="I25" s="192">
        <f t="shared" si="22"/>
        <v>1342832.01</v>
      </c>
      <c r="J25" s="776"/>
      <c r="K25" s="192">
        <f t="shared" si="1"/>
        <v>39495</v>
      </c>
      <c r="L25" s="191">
        <f t="shared" si="2"/>
        <v>9.7223487244879114E-2</v>
      </c>
      <c r="M25" s="192">
        <f t="shared" si="23"/>
        <v>480</v>
      </c>
      <c r="N25" s="192">
        <f t="shared" si="24"/>
        <v>0</v>
      </c>
      <c r="O25" s="192">
        <f t="shared" si="25"/>
        <v>32200</v>
      </c>
      <c r="P25" s="816">
        <f t="shared" si="26"/>
        <v>37150</v>
      </c>
      <c r="R25" s="687"/>
      <c r="S25" s="690"/>
      <c r="T25" s="690"/>
      <c r="U25" s="688"/>
      <c r="V25" s="690"/>
      <c r="W25" s="688"/>
    </row>
    <row r="26" spans="1:23" s="534" customFormat="1" ht="15" thickBot="1">
      <c r="A26" s="1573" t="s">
        <v>828</v>
      </c>
      <c r="B26" s="1574"/>
      <c r="C26" s="532">
        <v>1589264.42</v>
      </c>
      <c r="D26" s="536">
        <f t="shared" si="0"/>
        <v>2.7733749346257715E-2</v>
      </c>
      <c r="E26" s="685">
        <f>+'Progress (2)'!I13</f>
        <v>34853.630000000121</v>
      </c>
      <c r="F26" s="685">
        <f>+'Progress (2)'!J13</f>
        <v>0</v>
      </c>
      <c r="G26" s="685">
        <f>+'Progress (2)'!K13</f>
        <v>1433580.44</v>
      </c>
      <c r="H26" s="685">
        <f>+'Progress (2)'!L13</f>
        <v>1162894.8</v>
      </c>
      <c r="I26" s="685">
        <f>+'Progress (2)'!M13</f>
        <v>1342832.01</v>
      </c>
      <c r="K26" s="686">
        <v>39495</v>
      </c>
      <c r="L26" s="533">
        <f t="shared" si="2"/>
        <v>9.7223487244879114E-2</v>
      </c>
      <c r="M26" s="685">
        <f>+'Progress (2)'!O13</f>
        <v>480</v>
      </c>
      <c r="N26" s="685">
        <f>+'Progress (2)'!P13</f>
        <v>0</v>
      </c>
      <c r="O26" s="685">
        <f>+'Progress (2)'!Q13</f>
        <v>32200</v>
      </c>
      <c r="P26" s="817">
        <f>+'Progress (2)'!R13</f>
        <v>37150</v>
      </c>
      <c r="R26" s="687"/>
      <c r="S26" s="690"/>
      <c r="T26" s="690"/>
      <c r="U26" s="688"/>
      <c r="V26" s="690"/>
      <c r="W26" s="688"/>
    </row>
    <row r="27" spans="1:23" s="13" customFormat="1" ht="15" thickBot="1">
      <c r="A27" s="1575" t="s">
        <v>829</v>
      </c>
      <c r="B27" s="1576"/>
      <c r="C27" s="192">
        <f>SUBTOTAL(9,C28:C28)</f>
        <v>2200624.91</v>
      </c>
      <c r="D27" s="535">
        <f t="shared" si="0"/>
        <v>3.8402407359670807E-2</v>
      </c>
      <c r="E27" s="192">
        <f t="shared" si="22"/>
        <v>9817.2299999999814</v>
      </c>
      <c r="F27" s="192">
        <f t="shared" si="22"/>
        <v>0</v>
      </c>
      <c r="G27" s="192">
        <f t="shared" si="22"/>
        <v>2140576.48</v>
      </c>
      <c r="H27" s="192">
        <f t="shared" si="22"/>
        <v>1775528.77</v>
      </c>
      <c r="I27" s="192">
        <f t="shared" si="22"/>
        <v>2005333.58</v>
      </c>
      <c r="J27" s="776"/>
      <c r="K27" s="192">
        <f t="shared" si="1"/>
        <v>31247</v>
      </c>
      <c r="L27" s="191">
        <f t="shared" si="2"/>
        <v>7.6919668462862079E-2</v>
      </c>
      <c r="M27" s="192">
        <f t="shared" si="23"/>
        <v>958</v>
      </c>
      <c r="N27" s="192">
        <f t="shared" si="24"/>
        <v>0</v>
      </c>
      <c r="O27" s="192">
        <f t="shared" si="25"/>
        <v>22760</v>
      </c>
      <c r="P27" s="816">
        <f t="shared" si="26"/>
        <v>27107</v>
      </c>
      <c r="R27" s="687"/>
      <c r="S27" s="690"/>
      <c r="T27" s="690"/>
      <c r="U27" s="688"/>
      <c r="V27" s="690"/>
      <c r="W27" s="688"/>
    </row>
    <row r="28" spans="1:23" s="534" customFormat="1" ht="15" thickBot="1">
      <c r="A28" s="1573" t="s">
        <v>829</v>
      </c>
      <c r="B28" s="1574"/>
      <c r="C28" s="532">
        <v>2200624.91</v>
      </c>
      <c r="D28" s="536">
        <f t="shared" si="0"/>
        <v>3.8402407359670807E-2</v>
      </c>
      <c r="E28" s="685">
        <f>+'Progress (2)'!I14</f>
        <v>9817.2299999999814</v>
      </c>
      <c r="F28" s="685">
        <f>+'Progress (2)'!J14</f>
        <v>0</v>
      </c>
      <c r="G28" s="685">
        <f>+'Progress (2)'!K14</f>
        <v>2140576.48</v>
      </c>
      <c r="H28" s="685">
        <f>+'Progress (2)'!L14</f>
        <v>1775528.77</v>
      </c>
      <c r="I28" s="685">
        <f>+'Progress (2)'!M14</f>
        <v>2005333.58</v>
      </c>
      <c r="K28" s="686">
        <v>31247</v>
      </c>
      <c r="L28" s="533">
        <f t="shared" si="2"/>
        <v>7.6919668462862079E-2</v>
      </c>
      <c r="M28" s="685">
        <f>+'Progress (2)'!O14</f>
        <v>958</v>
      </c>
      <c r="N28" s="685">
        <f>+'Progress (2)'!P14</f>
        <v>0</v>
      </c>
      <c r="O28" s="685">
        <f>+'Progress (2)'!Q14</f>
        <v>22760</v>
      </c>
      <c r="P28" s="817">
        <f>+'Progress (2)'!R14</f>
        <v>27107</v>
      </c>
      <c r="R28" s="687"/>
      <c r="S28" s="690"/>
      <c r="T28" s="690"/>
      <c r="U28" s="688"/>
      <c r="V28" s="690"/>
      <c r="W28" s="688"/>
    </row>
    <row r="29" spans="1:23" s="13" customFormat="1" ht="15" thickBot="1">
      <c r="A29" s="1575" t="s">
        <v>830</v>
      </c>
      <c r="B29" s="1576"/>
      <c r="C29" s="192">
        <f>SUBTOTAL(9,C30:C30)</f>
        <v>3049343.42</v>
      </c>
      <c r="D29" s="535">
        <f t="shared" si="0"/>
        <v>5.3213124900222876E-2</v>
      </c>
      <c r="E29" s="192">
        <f t="shared" si="22"/>
        <v>1189.8200000000006</v>
      </c>
      <c r="F29" s="192">
        <f t="shared" si="22"/>
        <v>628633.39000000013</v>
      </c>
      <c r="G29" s="192">
        <f t="shared" si="22"/>
        <v>0</v>
      </c>
      <c r="H29" s="192">
        <f t="shared" si="22"/>
        <v>5992.14</v>
      </c>
      <c r="I29" s="192">
        <f t="shared" si="22"/>
        <v>1845852.34</v>
      </c>
      <c r="J29" s="776"/>
      <c r="K29" s="192">
        <f t="shared" si="1"/>
        <v>15410</v>
      </c>
      <c r="L29" s="191">
        <f t="shared" si="2"/>
        <v>3.7934268602192359E-2</v>
      </c>
      <c r="M29" s="192">
        <f t="shared" si="23"/>
        <v>297</v>
      </c>
      <c r="N29" s="192">
        <f t="shared" si="24"/>
        <v>1164</v>
      </c>
      <c r="O29" s="192">
        <f t="shared" si="25"/>
        <v>1107</v>
      </c>
      <c r="P29" s="816">
        <f t="shared" si="26"/>
        <v>13114</v>
      </c>
      <c r="R29" s="687"/>
      <c r="S29" s="690"/>
      <c r="T29" s="690"/>
      <c r="U29" s="688"/>
      <c r="V29" s="690"/>
      <c r="W29" s="688"/>
    </row>
    <row r="30" spans="1:23" s="534" customFormat="1" ht="15" thickBot="1">
      <c r="A30" s="1573" t="s">
        <v>830</v>
      </c>
      <c r="B30" s="1574"/>
      <c r="C30" s="532">
        <v>3049343.42</v>
      </c>
      <c r="D30" s="536">
        <f t="shared" si="0"/>
        <v>5.3213124900222876E-2</v>
      </c>
      <c r="E30" s="685">
        <f>+'Progress (2)'!I15</f>
        <v>1189.8200000000006</v>
      </c>
      <c r="F30" s="685">
        <f>+'Progress (2)'!J15</f>
        <v>628633.39000000013</v>
      </c>
      <c r="G30" s="685">
        <f>+'Progress (2)'!K15</f>
        <v>0</v>
      </c>
      <c r="H30" s="685">
        <f>+'Progress (2)'!L15</f>
        <v>5992.14</v>
      </c>
      <c r="I30" s="685">
        <f>+'Progress (2)'!M15</f>
        <v>1845852.34</v>
      </c>
      <c r="K30" s="686">
        <v>15410</v>
      </c>
      <c r="L30" s="533">
        <f t="shared" si="2"/>
        <v>3.7934268602192359E-2</v>
      </c>
      <c r="M30" s="685">
        <f>+'Progress (2)'!O15</f>
        <v>297</v>
      </c>
      <c r="N30" s="685">
        <f>+'Progress (2)'!P15</f>
        <v>1164</v>
      </c>
      <c r="O30" s="685">
        <f>+'Progress (2)'!Q15</f>
        <v>1107</v>
      </c>
      <c r="P30" s="817">
        <f>+'Progress (2)'!R15</f>
        <v>13114</v>
      </c>
      <c r="R30" s="687"/>
      <c r="S30" s="690"/>
      <c r="T30" s="690"/>
      <c r="U30" s="688"/>
      <c r="V30" s="690"/>
      <c r="W30" s="688"/>
    </row>
    <row r="31" spans="1:23" s="13" customFormat="1" ht="15" thickBot="1">
      <c r="A31" s="1575" t="s">
        <v>831</v>
      </c>
      <c r="B31" s="1576"/>
      <c r="C31" s="192">
        <f>SUBTOTAL(9,C32:C32)</f>
        <v>499321.73</v>
      </c>
      <c r="D31" s="535">
        <f t="shared" si="0"/>
        <v>8.7135051465883646E-3</v>
      </c>
      <c r="E31" s="192">
        <f t="shared" si="22"/>
        <v>0</v>
      </c>
      <c r="F31" s="192">
        <f t="shared" si="22"/>
        <v>0</v>
      </c>
      <c r="G31" s="192">
        <f t="shared" si="22"/>
        <v>499321.73</v>
      </c>
      <c r="H31" s="192">
        <f t="shared" si="22"/>
        <v>499735.96</v>
      </c>
      <c r="I31" s="192">
        <f t="shared" si="22"/>
        <v>499735.96</v>
      </c>
      <c r="J31" s="776"/>
      <c r="K31" s="192">
        <f t="shared" si="1"/>
        <v>2200</v>
      </c>
      <c r="L31" s="191">
        <f t="shared" si="2"/>
        <v>5.4156645635835944E-3</v>
      </c>
      <c r="M31" s="192">
        <f t="shared" si="23"/>
        <v>0</v>
      </c>
      <c r="N31" s="192">
        <f t="shared" si="24"/>
        <v>0</v>
      </c>
      <c r="O31" s="192">
        <f t="shared" si="25"/>
        <v>2515</v>
      </c>
      <c r="P31" s="816">
        <f t="shared" si="26"/>
        <v>2515</v>
      </c>
      <c r="R31" s="687"/>
      <c r="S31" s="690"/>
      <c r="T31" s="690"/>
      <c r="U31" s="688"/>
      <c r="V31" s="690"/>
      <c r="W31" s="688"/>
    </row>
    <row r="32" spans="1:23" s="534" customFormat="1" ht="15" thickBot="1">
      <c r="A32" s="1573" t="s">
        <v>831</v>
      </c>
      <c r="B32" s="1574"/>
      <c r="C32" s="532">
        <v>499321.73</v>
      </c>
      <c r="D32" s="536">
        <f t="shared" si="0"/>
        <v>8.7135051465883646E-3</v>
      </c>
      <c r="E32" s="685">
        <f>+'Progress (2)'!I16</f>
        <v>0</v>
      </c>
      <c r="F32" s="685">
        <f>+'Progress (2)'!J16</f>
        <v>0</v>
      </c>
      <c r="G32" s="685">
        <f>+'Progress (2)'!K16</f>
        <v>499321.73</v>
      </c>
      <c r="H32" s="685">
        <f>+'Progress (2)'!L16</f>
        <v>499735.96</v>
      </c>
      <c r="I32" s="685">
        <f>+'Progress (2)'!M16</f>
        <v>499735.96</v>
      </c>
      <c r="K32" s="686">
        <v>2200</v>
      </c>
      <c r="L32" s="533">
        <f t="shared" si="2"/>
        <v>5.4156645635835944E-3</v>
      </c>
      <c r="M32" s="685">
        <f>+'Progress (2)'!O16</f>
        <v>0</v>
      </c>
      <c r="N32" s="685">
        <f>+'Progress (2)'!P16</f>
        <v>0</v>
      </c>
      <c r="O32" s="685">
        <f>+'Progress (2)'!Q16</f>
        <v>2515</v>
      </c>
      <c r="P32" s="817">
        <f>+'Progress (2)'!R16</f>
        <v>2515</v>
      </c>
      <c r="R32" s="687"/>
      <c r="S32" s="690"/>
      <c r="T32" s="690"/>
      <c r="U32" s="688"/>
      <c r="V32" s="690"/>
      <c r="W32" s="688"/>
    </row>
    <row r="33" spans="1:23" s="13" customFormat="1" ht="15" thickBot="1">
      <c r="A33" s="1575" t="s">
        <v>832</v>
      </c>
      <c r="B33" s="1576"/>
      <c r="C33" s="192">
        <f>SUBTOTAL(9,C34:C34)</f>
        <v>389804.75</v>
      </c>
      <c r="D33" s="535">
        <f t="shared" si="0"/>
        <v>6.8023590627421535E-3</v>
      </c>
      <c r="E33" s="192">
        <f t="shared" si="22"/>
        <v>0</v>
      </c>
      <c r="F33" s="192">
        <f t="shared" si="22"/>
        <v>0</v>
      </c>
      <c r="G33" s="192">
        <f t="shared" si="22"/>
        <v>0</v>
      </c>
      <c r="H33" s="192">
        <f t="shared" si="22"/>
        <v>389804.76</v>
      </c>
      <c r="I33" s="192">
        <f t="shared" si="22"/>
        <v>389804.76</v>
      </c>
      <c r="J33" s="776"/>
      <c r="K33" s="192">
        <f t="shared" si="1"/>
        <v>5040</v>
      </c>
      <c r="L33" s="191">
        <f t="shared" si="2"/>
        <v>1.240679518202787E-2</v>
      </c>
      <c r="M33" s="192">
        <f t="shared" si="23"/>
        <v>0</v>
      </c>
      <c r="N33" s="192">
        <f t="shared" si="24"/>
        <v>0</v>
      </c>
      <c r="O33" s="192">
        <f t="shared" si="25"/>
        <v>6458</v>
      </c>
      <c r="P33" s="816">
        <f t="shared" si="26"/>
        <v>6458</v>
      </c>
      <c r="R33" s="687"/>
      <c r="S33" s="690"/>
      <c r="T33" s="690"/>
      <c r="U33" s="688"/>
      <c r="V33" s="690"/>
      <c r="W33" s="688"/>
    </row>
    <row r="34" spans="1:23" s="534" customFormat="1" ht="15" thickBot="1">
      <c r="A34" s="1573" t="s">
        <v>832</v>
      </c>
      <c r="B34" s="1574"/>
      <c r="C34" s="532">
        <v>389804.75</v>
      </c>
      <c r="D34" s="536">
        <f t="shared" si="0"/>
        <v>6.8023590627421535E-3</v>
      </c>
      <c r="E34" s="685">
        <f>+'Progress (2)'!I17</f>
        <v>0</v>
      </c>
      <c r="F34" s="685">
        <f>+'Progress (2)'!J17</f>
        <v>0</v>
      </c>
      <c r="G34" s="685">
        <f>+'Progress (2)'!K17</f>
        <v>0</v>
      </c>
      <c r="H34" s="685">
        <f>+'Progress (2)'!L17</f>
        <v>389804.76</v>
      </c>
      <c r="I34" s="685">
        <f>+'Progress (2)'!M17</f>
        <v>389804.76</v>
      </c>
      <c r="K34" s="686">
        <v>5040</v>
      </c>
      <c r="L34" s="533">
        <f t="shared" si="2"/>
        <v>1.240679518202787E-2</v>
      </c>
      <c r="M34" s="685">
        <f>+'Progress (2)'!O17</f>
        <v>0</v>
      </c>
      <c r="N34" s="685">
        <f>+'Progress (2)'!P17</f>
        <v>0</v>
      </c>
      <c r="O34" s="685">
        <f>+'Progress (2)'!Q17</f>
        <v>6458</v>
      </c>
      <c r="P34" s="817">
        <f>+'Progress (2)'!R17</f>
        <v>6458</v>
      </c>
      <c r="R34" s="687"/>
      <c r="S34" s="690"/>
      <c r="T34" s="690"/>
      <c r="U34" s="688"/>
      <c r="V34" s="690"/>
      <c r="W34" s="688"/>
    </row>
    <row r="35" spans="1:23" s="13" customFormat="1" ht="15" thickBot="1">
      <c r="A35" s="1575" t="s">
        <v>833</v>
      </c>
      <c r="B35" s="1576"/>
      <c r="C35" s="192">
        <f>SUBTOTAL(9,C36:C36)</f>
        <v>112526.05</v>
      </c>
      <c r="D35" s="535">
        <f t="shared" si="0"/>
        <v>1.9636564100670318E-3</v>
      </c>
      <c r="E35" s="192">
        <f t="shared" si="22"/>
        <v>0</v>
      </c>
      <c r="F35" s="192">
        <f t="shared" si="22"/>
        <v>0</v>
      </c>
      <c r="G35" s="192">
        <f t="shared" si="22"/>
        <v>112526.05</v>
      </c>
      <c r="H35" s="192">
        <f t="shared" si="22"/>
        <v>112526.05</v>
      </c>
      <c r="I35" s="192">
        <f t="shared" si="22"/>
        <v>112526.05</v>
      </c>
      <c r="J35" s="776"/>
      <c r="K35" s="192">
        <f t="shared" si="1"/>
        <v>1400</v>
      </c>
      <c r="L35" s="191">
        <f t="shared" si="2"/>
        <v>3.446331995007742E-3</v>
      </c>
      <c r="M35" s="192">
        <f t="shared" si="23"/>
        <v>0</v>
      </c>
      <c r="N35" s="192">
        <f t="shared" si="24"/>
        <v>0</v>
      </c>
      <c r="O35" s="192">
        <f t="shared" si="25"/>
        <v>1400</v>
      </c>
      <c r="P35" s="816">
        <f t="shared" si="26"/>
        <v>1400</v>
      </c>
      <c r="R35" s="687"/>
      <c r="S35" s="690"/>
      <c r="T35" s="690"/>
      <c r="U35" s="688"/>
      <c r="V35" s="690"/>
      <c r="W35" s="688"/>
    </row>
    <row r="36" spans="1:23" s="534" customFormat="1" ht="15" thickBot="1">
      <c r="A36" s="1573" t="s">
        <v>833</v>
      </c>
      <c r="B36" s="1574"/>
      <c r="C36" s="532">
        <v>112526.05</v>
      </c>
      <c r="D36" s="536">
        <f t="shared" si="0"/>
        <v>1.9636564100670318E-3</v>
      </c>
      <c r="E36" s="685">
        <f>+'Progress (2)'!I18</f>
        <v>0</v>
      </c>
      <c r="F36" s="685">
        <f>+'Progress (2)'!J18</f>
        <v>0</v>
      </c>
      <c r="G36" s="685">
        <f>+'Progress (2)'!K18</f>
        <v>112526.05</v>
      </c>
      <c r="H36" s="685">
        <f>+'Progress (2)'!L18</f>
        <v>112526.05</v>
      </c>
      <c r="I36" s="685">
        <f>+'Progress (2)'!M18</f>
        <v>112526.05</v>
      </c>
      <c r="K36" s="686">
        <v>1400</v>
      </c>
      <c r="L36" s="533">
        <f t="shared" si="2"/>
        <v>3.446331995007742E-3</v>
      </c>
      <c r="M36" s="685">
        <f>+'Progress (2)'!O18</f>
        <v>0</v>
      </c>
      <c r="N36" s="685">
        <f>+'Progress (2)'!P18</f>
        <v>0</v>
      </c>
      <c r="O36" s="685">
        <f>+'Progress (2)'!Q18</f>
        <v>1400</v>
      </c>
      <c r="P36" s="817">
        <f>+'Progress (2)'!R18</f>
        <v>1400</v>
      </c>
      <c r="R36" s="687"/>
      <c r="S36" s="690"/>
      <c r="T36" s="690"/>
      <c r="U36" s="688"/>
      <c r="V36" s="690"/>
      <c r="W36" s="688"/>
    </row>
    <row r="37" spans="1:23" s="13" customFormat="1" ht="15" thickBot="1">
      <c r="A37" s="1584" t="s">
        <v>283</v>
      </c>
      <c r="B37" s="1585"/>
      <c r="C37" s="192">
        <f>SUBTOTAL(9,C38:C38)</f>
        <v>5730434.7800000003</v>
      </c>
      <c r="D37" s="535">
        <f t="shared" si="0"/>
        <v>9.9999999895295899E-2</v>
      </c>
      <c r="E37" s="192">
        <f t="shared" ref="E37:I37" si="27">SUBTOTAL(9,E38:E38)</f>
        <v>0</v>
      </c>
      <c r="F37" s="192">
        <f t="shared" si="27"/>
        <v>163726.70000000019</v>
      </c>
      <c r="G37" s="192">
        <f t="shared" si="27"/>
        <v>1637267.08</v>
      </c>
      <c r="H37" s="192">
        <f t="shared" si="27"/>
        <v>818633.54</v>
      </c>
      <c r="I37" s="192">
        <f t="shared" si="27"/>
        <v>4052236.02</v>
      </c>
      <c r="J37" s="776"/>
      <c r="K37" s="192">
        <f t="shared" si="1"/>
        <v>9710</v>
      </c>
      <c r="L37" s="191">
        <f t="shared" si="2"/>
        <v>2.3902774051089409E-2</v>
      </c>
      <c r="M37" s="192">
        <f t="shared" ref="M37" si="28">SUBTOTAL(9,M38:M38)</f>
        <v>0</v>
      </c>
      <c r="N37" s="192">
        <f t="shared" ref="N37" si="29">SUBTOTAL(9,N38:N38)</f>
        <v>240</v>
      </c>
      <c r="O37" s="192">
        <f t="shared" ref="O37" si="30">SUBTOTAL(9,O38:O38)</f>
        <v>1270</v>
      </c>
      <c r="P37" s="816">
        <f t="shared" ref="P37" si="31">SUBTOTAL(9,P38:P38)</f>
        <v>6220</v>
      </c>
      <c r="R37" s="687"/>
      <c r="S37" s="690"/>
      <c r="T37" s="690"/>
      <c r="U37" s="688"/>
      <c r="V37" s="690"/>
      <c r="W37" s="688"/>
    </row>
    <row r="38" spans="1:23" s="534" customFormat="1" ht="15" thickBot="1">
      <c r="A38" s="1573" t="s">
        <v>283</v>
      </c>
      <c r="B38" s="1574"/>
      <c r="C38" s="532">
        <v>5730434.7800000003</v>
      </c>
      <c r="D38" s="536">
        <f t="shared" si="0"/>
        <v>9.9999999895295899E-2</v>
      </c>
      <c r="E38" s="686">
        <f>+'Progress (2)'!I19</f>
        <v>0</v>
      </c>
      <c r="F38" s="686">
        <f>+'Progress (2)'!J19</f>
        <v>163726.70000000019</v>
      </c>
      <c r="G38" s="686">
        <f>+'Progress (2)'!K19</f>
        <v>1637267.08</v>
      </c>
      <c r="H38" s="686">
        <f>+'Progress (2)'!L19</f>
        <v>818633.54</v>
      </c>
      <c r="I38" s="686">
        <f>+'Progress (2)'!M19</f>
        <v>4052236.02</v>
      </c>
      <c r="K38" s="686">
        <v>9710</v>
      </c>
      <c r="L38" s="533">
        <f t="shared" si="2"/>
        <v>2.3902774051089409E-2</v>
      </c>
      <c r="M38" s="685">
        <f>+'Progress (2)'!O19</f>
        <v>0</v>
      </c>
      <c r="N38" s="685">
        <f>+'Progress (2)'!P19</f>
        <v>240</v>
      </c>
      <c r="O38" s="685">
        <f>+'Progress (2)'!Q19</f>
        <v>1270</v>
      </c>
      <c r="P38" s="817">
        <f>+'Progress (2)'!R19</f>
        <v>6220</v>
      </c>
      <c r="R38" s="687"/>
      <c r="S38" s="690"/>
      <c r="T38" s="690"/>
      <c r="U38" s="688"/>
      <c r="V38" s="690"/>
      <c r="W38" s="688"/>
    </row>
    <row r="39" spans="1:23" s="13" customFormat="1" ht="15" thickBot="1">
      <c r="A39" s="1573"/>
      <c r="B39" s="1579"/>
      <c r="C39" s="532"/>
      <c r="D39" s="536" t="str">
        <f t="shared" si="0"/>
        <v/>
      </c>
      <c r="E39" s="532">
        <v>0</v>
      </c>
      <c r="F39" s="532">
        <v>0</v>
      </c>
      <c r="G39" s="532">
        <v>0</v>
      </c>
      <c r="H39" s="532">
        <v>0</v>
      </c>
      <c r="I39" s="532">
        <v>0</v>
      </c>
      <c r="J39" s="534"/>
      <c r="K39" s="532">
        <v>0</v>
      </c>
      <c r="L39" s="533">
        <f t="shared" si="2"/>
        <v>0</v>
      </c>
      <c r="M39" s="192">
        <v>0</v>
      </c>
      <c r="N39" s="192">
        <v>0</v>
      </c>
      <c r="O39" s="192">
        <v>0</v>
      </c>
      <c r="P39" s="816">
        <v>0</v>
      </c>
      <c r="R39" s="687"/>
      <c r="S39" s="690"/>
      <c r="T39" s="690"/>
      <c r="U39" s="688"/>
      <c r="V39" s="690"/>
      <c r="W39" s="688"/>
    </row>
    <row r="40" spans="1:23" s="534" customFormat="1" ht="15.75" customHeight="1">
      <c r="A40" s="1577"/>
      <c r="B40" s="1578"/>
      <c r="C40" s="532"/>
      <c r="D40" s="536" t="str">
        <f t="shared" si="0"/>
        <v/>
      </c>
      <c r="E40" s="532">
        <v>0</v>
      </c>
      <c r="F40" s="532">
        <v>0</v>
      </c>
      <c r="G40" s="532">
        <v>0</v>
      </c>
      <c r="H40" s="532">
        <v>0</v>
      </c>
      <c r="I40" s="532">
        <v>0</v>
      </c>
      <c r="K40" s="532">
        <v>0</v>
      </c>
      <c r="L40" s="533">
        <f t="shared" si="2"/>
        <v>0</v>
      </c>
      <c r="M40" s="686">
        <v>0</v>
      </c>
      <c r="N40" s="686">
        <v>0</v>
      </c>
      <c r="O40" s="686">
        <v>0</v>
      </c>
      <c r="P40" s="817">
        <v>0</v>
      </c>
      <c r="R40" s="687"/>
      <c r="S40" s="690"/>
      <c r="T40" s="690"/>
      <c r="U40" s="688"/>
      <c r="V40" s="690"/>
      <c r="W40" s="688"/>
    </row>
    <row r="41" spans="1:23" ht="16.2" thickBot="1">
      <c r="A41" s="777"/>
      <c r="B41" s="778" t="s">
        <v>88</v>
      </c>
      <c r="C41" s="779">
        <f>+SUM(C9,C11,C13,C15,C17,C19,C21,C23,C25,C27,C29,C31,C33,C35,C37)</f>
        <v>57304347.860000007</v>
      </c>
      <c r="D41" s="780">
        <f t="shared" ref="D41:J41" si="32">+SUM(D9,D11,D13,D15,D17,D19,D21,D23,D25,D27,D29,D31,D33,D35,D37)</f>
        <v>1</v>
      </c>
      <c r="E41" s="779">
        <f>+SUM(E7,E9,E11,E13,E15,E17,E19,E21,E23,E25,E27,E29,E31,E33,E35,E37)</f>
        <v>706912.69000000006</v>
      </c>
      <c r="F41" s="779">
        <f t="shared" ref="F41:I41" si="33">+SUM(F7,F9,F11,F13,F15,F17,F19,F21,F23,F25,F27,F29,F31,F33,F35,F37)</f>
        <v>1259332.5300000007</v>
      </c>
      <c r="G41" s="779">
        <f t="shared" si="33"/>
        <v>42509998.11999999</v>
      </c>
      <c r="H41" s="779">
        <f t="shared" si="33"/>
        <v>34293976.350000001</v>
      </c>
      <c r="I41" s="779">
        <f t="shared" si="33"/>
        <v>53468556.349999994</v>
      </c>
      <c r="J41" s="142">
        <f t="shared" si="32"/>
        <v>0</v>
      </c>
      <c r="K41" s="779">
        <f>+SUM(K9,K11,K13,K15,K17,K19,K21,K23,K25,K27,K29,K31,K33,K35,K37,K7)</f>
        <v>406229</v>
      </c>
      <c r="L41" s="780">
        <f>+SUM(L7,L9,L11,L13,L15,L17,L19,L21,L23,L25,L27,L29,L31,L33,L35,L37)</f>
        <v>1.0000000000000002</v>
      </c>
      <c r="M41" s="779">
        <f>+SUM(M7,M9,M11,M13,M15,M17,M19,M21,M23,M25,M27,M29,M31,M33,M35,M37)</f>
        <v>5011</v>
      </c>
      <c r="N41" s="779">
        <f>+SUM(N7,N9,N11,N13,N15,N17,N19,N21,N23,N25,N27,N29,N31,N33,N35,N37)</f>
        <v>4191</v>
      </c>
      <c r="O41" s="779">
        <f t="shared" ref="O41:P41" si="34">+SUM(O7,O9,O11,O13,O15,O17,O19,O21,O23,O25,O27,O29,O31,O33,O35,O37)</f>
        <v>310368</v>
      </c>
      <c r="P41" s="818">
        <f t="shared" si="34"/>
        <v>390523</v>
      </c>
      <c r="R41" s="687"/>
      <c r="S41" s="687"/>
      <c r="T41" s="687"/>
      <c r="U41" s="688"/>
      <c r="V41" s="687"/>
      <c r="W41" s="688"/>
    </row>
    <row r="42" spans="1:23">
      <c r="E42" s="538">
        <f>E41/$C$41</f>
        <v>1.233610915051429E-2</v>
      </c>
      <c r="F42" s="538">
        <f>F41/$C$41</f>
        <v>2.1976212574247776E-2</v>
      </c>
      <c r="G42" s="538">
        <f>G41/$C$41</f>
        <v>0.74182849482653523</v>
      </c>
      <c r="H42" s="538">
        <f t="shared" ref="H42:I42" si="35">H41/$C$41</f>
        <v>0.59845330469135538</v>
      </c>
      <c r="I42" s="538">
        <f t="shared" si="35"/>
        <v>0.9330628189091128</v>
      </c>
      <c r="M42" s="538">
        <f>M41/$K$41</f>
        <v>1.2335406876416996E-2</v>
      </c>
      <c r="N42" s="538">
        <f>N41/$K$41</f>
        <v>1.0316840993626748E-2</v>
      </c>
      <c r="O42" s="538">
        <f>O41/$K$41</f>
        <v>0.7640222633046877</v>
      </c>
      <c r="P42" s="538">
        <f>P41/$K$41</f>
        <v>0.96133707834743454</v>
      </c>
      <c r="R42" s="687"/>
      <c r="S42" s="687"/>
      <c r="T42" s="687"/>
      <c r="U42" s="688"/>
      <c r="V42" s="687"/>
      <c r="W42" s="688"/>
    </row>
    <row r="43" spans="1:23">
      <c r="E43" s="538"/>
      <c r="F43" s="538"/>
      <c r="I43" s="538"/>
      <c r="R43" s="687"/>
      <c r="S43" s="687"/>
      <c r="T43" s="687"/>
      <c r="U43" s="688"/>
      <c r="V43" s="687"/>
      <c r="W43" s="688"/>
    </row>
    <row r="44" spans="1:23">
      <c r="I44" s="570"/>
      <c r="R44" s="687"/>
      <c r="S44" s="687"/>
      <c r="T44" s="689"/>
      <c r="U44" s="688"/>
      <c r="V44" s="687"/>
      <c r="W44" s="688"/>
    </row>
    <row r="45" spans="1:23">
      <c r="I45" s="782"/>
      <c r="R45" s="687"/>
      <c r="S45" s="691"/>
      <c r="T45" s="691"/>
      <c r="U45" s="688"/>
      <c r="V45" s="691"/>
      <c r="W45" s="688"/>
    </row>
    <row r="46" spans="1:23">
      <c r="R46" s="687"/>
      <c r="S46" s="691"/>
      <c r="T46" s="691"/>
      <c r="U46" s="688"/>
      <c r="V46" s="691"/>
      <c r="W46" s="688"/>
    </row>
    <row r="47" spans="1:23">
      <c r="F47">
        <v>47712386.740000002</v>
      </c>
      <c r="R47" s="687"/>
      <c r="S47" s="691"/>
      <c r="T47" s="691"/>
      <c r="U47" s="688"/>
      <c r="V47" s="691"/>
      <c r="W47" s="688"/>
    </row>
    <row r="48" spans="1:23">
      <c r="R48" s="687"/>
      <c r="S48" s="691"/>
      <c r="T48" s="691"/>
      <c r="U48" s="688"/>
      <c r="V48" s="691"/>
      <c r="W48" s="688"/>
    </row>
    <row r="49" spans="3:23">
      <c r="R49" s="687"/>
      <c r="S49" s="691"/>
      <c r="T49" s="691"/>
      <c r="U49" s="688"/>
      <c r="V49" s="691"/>
      <c r="W49" s="688"/>
    </row>
    <row r="50" spans="3:23">
      <c r="R50" s="687"/>
      <c r="S50" s="691"/>
      <c r="T50" s="691"/>
      <c r="U50" s="688"/>
      <c r="V50" s="691"/>
      <c r="W50" s="688"/>
    </row>
    <row r="51" spans="3:23">
      <c r="I51" s="655"/>
      <c r="R51" s="687"/>
      <c r="S51" s="691"/>
      <c r="T51" s="691"/>
      <c r="U51" s="688"/>
      <c r="V51" s="691"/>
      <c r="W51" s="688"/>
    </row>
    <row r="52" spans="3:23">
      <c r="R52" s="687"/>
      <c r="S52" s="691"/>
      <c r="T52" s="691"/>
      <c r="U52" s="688"/>
      <c r="V52" s="691"/>
      <c r="W52" s="688"/>
    </row>
    <row r="53" spans="3:23">
      <c r="R53" s="687"/>
      <c r="S53" s="691"/>
      <c r="T53" s="691"/>
      <c r="U53" s="688"/>
      <c r="V53" s="691"/>
      <c r="W53" s="688"/>
    </row>
    <row r="54" spans="3:23">
      <c r="R54" s="687"/>
      <c r="S54" s="691"/>
      <c r="T54" s="691"/>
      <c r="U54" s="688"/>
      <c r="V54" s="691"/>
      <c r="W54" s="688"/>
    </row>
    <row r="55" spans="3:23">
      <c r="C55" s="655"/>
      <c r="D55" s="655"/>
      <c r="E55" s="655"/>
      <c r="F55" s="655"/>
      <c r="G55" s="655"/>
      <c r="H55" s="655"/>
      <c r="I55" s="655"/>
      <c r="M55" s="570"/>
      <c r="R55" s="688"/>
      <c r="S55" s="688"/>
      <c r="T55" s="688"/>
      <c r="U55" s="688"/>
      <c r="V55" s="687"/>
      <c r="W55" s="688"/>
    </row>
    <row r="56" spans="3:23">
      <c r="C56" s="655"/>
      <c r="D56" s="655"/>
      <c r="E56" s="655"/>
      <c r="F56" s="655"/>
      <c r="G56" s="655"/>
      <c r="H56" s="655"/>
      <c r="I56" s="655"/>
      <c r="J56" s="655"/>
    </row>
    <row r="57" spans="3:23">
      <c r="C57" s="655"/>
      <c r="D57" s="655"/>
      <c r="E57" s="655"/>
      <c r="F57" s="655"/>
      <c r="G57" s="655"/>
      <c r="H57" s="655"/>
      <c r="I57" s="538"/>
      <c r="J57" s="655"/>
    </row>
    <row r="58" spans="3:23">
      <c r="H58" s="538"/>
      <c r="I58" s="538"/>
    </row>
    <row r="59" spans="3:23">
      <c r="M59" s="549"/>
    </row>
    <row r="61" spans="3:23">
      <c r="M61" s="538"/>
    </row>
    <row r="62" spans="3:23">
      <c r="I62" s="655"/>
    </row>
    <row r="63" spans="3:23">
      <c r="I63" s="914"/>
    </row>
  </sheetData>
  <autoFilter ref="A6:U42" xr:uid="{EBE865A7-182A-462D-BBC3-AF1328AD11B1}">
    <filterColumn colId="0" showButton="0"/>
  </autoFilter>
  <mergeCells count="45">
    <mergeCell ref="A16:B16"/>
    <mergeCell ref="A1:A3"/>
    <mergeCell ref="B1:P3"/>
    <mergeCell ref="L5:L6"/>
    <mergeCell ref="A7:B7"/>
    <mergeCell ref="M5:N5"/>
    <mergeCell ref="O5:P5"/>
    <mergeCell ref="K4:P4"/>
    <mergeCell ref="A5:B6"/>
    <mergeCell ref="C5:C6"/>
    <mergeCell ref="D5:D6"/>
    <mergeCell ref="E5:F5"/>
    <mergeCell ref="H5:I5"/>
    <mergeCell ref="A40:B40"/>
    <mergeCell ref="A39:B39"/>
    <mergeCell ref="A8:B8"/>
    <mergeCell ref="A10:B10"/>
    <mergeCell ref="A12:B12"/>
    <mergeCell ref="A15:B15"/>
    <mergeCell ref="A14:B14"/>
    <mergeCell ref="A13:B13"/>
    <mergeCell ref="A9:B9"/>
    <mergeCell ref="A11:B11"/>
    <mergeCell ref="A17:B17"/>
    <mergeCell ref="A18:B18"/>
    <mergeCell ref="A37:B37"/>
    <mergeCell ref="A38:B38"/>
    <mergeCell ref="A19:B19"/>
    <mergeCell ref="A20:B20"/>
    <mergeCell ref="A21:B21"/>
    <mergeCell ref="A22:B22"/>
    <mergeCell ref="A23:B23"/>
    <mergeCell ref="A24:B24"/>
    <mergeCell ref="A25:B25"/>
    <mergeCell ref="A26:B26"/>
    <mergeCell ref="A27:B27"/>
    <mergeCell ref="A28:B28"/>
    <mergeCell ref="A29:B29"/>
    <mergeCell ref="A30:B30"/>
    <mergeCell ref="A36:B36"/>
    <mergeCell ref="A31:B31"/>
    <mergeCell ref="A32:B32"/>
    <mergeCell ref="A33:B33"/>
    <mergeCell ref="A34:B34"/>
    <mergeCell ref="A35:B35"/>
  </mergeCells>
  <dataValidations disablePrompts="1"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16 A39:A40" xr:uid="{2C1E6EAD-5BC3-43C5-AD4A-9CE8FAE61E75}"/>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R91"/>
  <sheetViews>
    <sheetView zoomScale="70" zoomScaleNormal="70" workbookViewId="0">
      <selection activeCell="H30" sqref="H30"/>
    </sheetView>
  </sheetViews>
  <sheetFormatPr defaultRowHeight="14.4"/>
  <cols>
    <col min="1" max="1" width="14.6640625" customWidth="1"/>
    <col min="2" max="2" width="26.109375" bestFit="1" customWidth="1"/>
    <col min="3" max="3" width="24.6640625" bestFit="1" customWidth="1"/>
    <col min="4" max="4" width="12.88671875" customWidth="1"/>
    <col min="5" max="5" width="13.88671875" customWidth="1"/>
    <col min="6" max="7" width="10.6640625" customWidth="1"/>
    <col min="8" max="8" width="24" customWidth="1"/>
    <col min="9" max="10" width="17" customWidth="1"/>
    <col min="11" max="13" width="15.109375" customWidth="1"/>
    <col min="14" max="14" width="2.6640625" customWidth="1"/>
    <col min="15" max="18" width="16.44140625" customWidth="1"/>
  </cols>
  <sheetData>
    <row r="1" spans="1:18" ht="15" thickBot="1">
      <c r="A1" s="1606" t="s">
        <v>765</v>
      </c>
      <c r="B1" s="1606"/>
      <c r="C1" s="1606"/>
      <c r="D1" s="1606"/>
      <c r="E1" s="1606"/>
      <c r="F1" s="1606"/>
      <c r="G1" s="1606"/>
      <c r="I1" s="1607" t="s">
        <v>763</v>
      </c>
      <c r="J1" s="1608"/>
      <c r="K1" s="1607" t="s">
        <v>766</v>
      </c>
      <c r="L1" s="1608"/>
      <c r="M1" s="1609"/>
      <c r="O1" s="1607" t="s">
        <v>763</v>
      </c>
      <c r="P1" s="1609"/>
      <c r="Q1" s="1605" t="s">
        <v>766</v>
      </c>
      <c r="R1" s="1606"/>
    </row>
    <row r="2" spans="1:18" s="515" customFormat="1" ht="53.25" customHeight="1">
      <c r="A2" s="824" t="s">
        <v>767</v>
      </c>
      <c r="B2" s="825" t="s">
        <v>768</v>
      </c>
      <c r="C2" s="825" t="s">
        <v>769</v>
      </c>
      <c r="D2" s="825" t="s">
        <v>770</v>
      </c>
      <c r="E2" s="825" t="s">
        <v>771</v>
      </c>
      <c r="F2" s="825" t="s">
        <v>772</v>
      </c>
      <c r="G2" s="826" t="s">
        <v>773</v>
      </c>
      <c r="H2" s="824" t="s">
        <v>767</v>
      </c>
      <c r="I2" s="824" t="s">
        <v>768</v>
      </c>
      <c r="J2" s="826" t="s">
        <v>769</v>
      </c>
      <c r="K2" s="826" t="s">
        <v>774</v>
      </c>
      <c r="L2" s="826" t="s">
        <v>775</v>
      </c>
      <c r="M2" s="826" t="s">
        <v>776</v>
      </c>
      <c r="N2" s="827"/>
      <c r="O2" s="824" t="s">
        <v>770</v>
      </c>
      <c r="P2" s="826" t="s">
        <v>771</v>
      </c>
      <c r="Q2" s="824" t="s">
        <v>777</v>
      </c>
      <c r="R2" s="826" t="s">
        <v>778</v>
      </c>
    </row>
    <row r="3" spans="1:18">
      <c r="A3" t="s">
        <v>88</v>
      </c>
      <c r="B3" s="531">
        <v>34293976.329999998</v>
      </c>
      <c r="C3" s="531">
        <v>53468556.350000001</v>
      </c>
      <c r="D3">
        <v>310367</v>
      </c>
      <c r="E3">
        <v>390522</v>
      </c>
      <c r="F3" s="570">
        <v>0.59850000000000003</v>
      </c>
      <c r="G3" s="570">
        <v>0.93310000000000004</v>
      </c>
      <c r="H3" s="828" t="s">
        <v>88</v>
      </c>
      <c r="I3" s="829">
        <f t="shared" ref="I3:I20" si="0">+B3-B23</f>
        <v>706912.68999999762</v>
      </c>
      <c r="J3" s="830">
        <f t="shared" ref="J3:J19" si="1">+C3-C23</f>
        <v>1259332.5300000012</v>
      </c>
      <c r="K3" s="830">
        <f>B49</f>
        <v>42509998.109999999</v>
      </c>
      <c r="L3" s="830">
        <f t="shared" ref="L3:L20" si="2">+B3</f>
        <v>34293976.329999998</v>
      </c>
      <c r="M3" s="830">
        <f t="shared" ref="M3:M20" si="3">+C3</f>
        <v>53468556.350000001</v>
      </c>
      <c r="O3" s="829">
        <f t="shared" ref="O3:O20" si="4">+D3-D23</f>
        <v>5010</v>
      </c>
      <c r="P3" s="830">
        <f t="shared" ref="P3:P20" si="5">+E3-E23</f>
        <v>4191</v>
      </c>
      <c r="Q3" s="830">
        <f t="shared" ref="Q3:Q20" si="6">+D3</f>
        <v>310367</v>
      </c>
      <c r="R3" s="830">
        <f t="shared" ref="R3:R20" si="7">+E3</f>
        <v>390522</v>
      </c>
    </row>
    <row r="4" spans="1:18">
      <c r="A4" t="s">
        <v>837</v>
      </c>
      <c r="B4" s="531">
        <v>0</v>
      </c>
      <c r="C4" s="531">
        <v>0</v>
      </c>
      <c r="D4">
        <v>8492</v>
      </c>
      <c r="E4">
        <v>8492</v>
      </c>
      <c r="F4" s="570">
        <v>0</v>
      </c>
      <c r="G4" s="570">
        <v>0</v>
      </c>
      <c r="H4" s="828" t="s">
        <v>837</v>
      </c>
      <c r="I4" s="828">
        <f t="shared" si="0"/>
        <v>0</v>
      </c>
      <c r="J4" s="831">
        <f t="shared" si="1"/>
        <v>0</v>
      </c>
      <c r="K4" s="831">
        <f t="shared" ref="K4:K20" si="8">B50</f>
        <v>0</v>
      </c>
      <c r="L4" s="831">
        <f t="shared" si="2"/>
        <v>0</v>
      </c>
      <c r="M4" s="831">
        <f t="shared" si="3"/>
        <v>0</v>
      </c>
      <c r="O4" s="832">
        <f t="shared" si="4"/>
        <v>0</v>
      </c>
      <c r="P4" s="833">
        <f t="shared" si="5"/>
        <v>0</v>
      </c>
      <c r="Q4" s="833">
        <f t="shared" si="6"/>
        <v>8492</v>
      </c>
      <c r="R4" s="833">
        <f t="shared" si="7"/>
        <v>8492</v>
      </c>
    </row>
    <row r="5" spans="1:18">
      <c r="A5" t="s">
        <v>838</v>
      </c>
      <c r="B5" s="531">
        <v>1690947.96</v>
      </c>
      <c r="C5" s="531">
        <v>1719130.43</v>
      </c>
      <c r="D5">
        <v>18189</v>
      </c>
      <c r="E5">
        <v>18270</v>
      </c>
      <c r="F5" s="570">
        <v>0.98360000000000003</v>
      </c>
      <c r="G5" s="570">
        <v>1</v>
      </c>
      <c r="H5" s="828" t="s">
        <v>838</v>
      </c>
      <c r="I5" s="834">
        <f t="shared" si="0"/>
        <v>0</v>
      </c>
      <c r="J5" s="835">
        <f t="shared" si="1"/>
        <v>0</v>
      </c>
      <c r="K5" s="835">
        <f t="shared" si="8"/>
        <v>1719130.43</v>
      </c>
      <c r="L5" s="835">
        <f t="shared" si="2"/>
        <v>1690947.96</v>
      </c>
      <c r="M5" s="835">
        <f t="shared" si="3"/>
        <v>1719130.43</v>
      </c>
      <c r="O5" s="834">
        <f>+D5-D25</f>
        <v>108</v>
      </c>
      <c r="P5" s="836">
        <f t="shared" si="5"/>
        <v>0</v>
      </c>
      <c r="Q5" s="836">
        <f t="shared" si="6"/>
        <v>18189</v>
      </c>
      <c r="R5" s="836">
        <f t="shared" si="7"/>
        <v>18270</v>
      </c>
    </row>
    <row r="6" spans="1:18">
      <c r="A6" t="s">
        <v>839</v>
      </c>
      <c r="B6" s="531">
        <v>9731079.8300000001</v>
      </c>
      <c r="C6" s="531">
        <v>11460869.58</v>
      </c>
      <c r="D6">
        <v>79551</v>
      </c>
      <c r="E6">
        <v>83973</v>
      </c>
      <c r="F6" s="570">
        <v>0.84909999999999997</v>
      </c>
      <c r="G6" s="570">
        <v>1</v>
      </c>
      <c r="H6" s="828" t="s">
        <v>839</v>
      </c>
      <c r="I6" s="837">
        <f t="shared" si="0"/>
        <v>393541.02999999933</v>
      </c>
      <c r="J6" s="838">
        <f t="shared" si="1"/>
        <v>0</v>
      </c>
      <c r="K6" s="838">
        <f t="shared" si="8"/>
        <v>10712587.359999999</v>
      </c>
      <c r="L6" s="838">
        <f t="shared" si="2"/>
        <v>9731079.8300000001</v>
      </c>
      <c r="M6" s="838">
        <f t="shared" si="3"/>
        <v>11460869.58</v>
      </c>
      <c r="O6" s="839">
        <f t="shared" si="4"/>
        <v>1086</v>
      </c>
      <c r="P6" s="840">
        <f t="shared" si="5"/>
        <v>0</v>
      </c>
      <c r="Q6" s="840">
        <f t="shared" si="6"/>
        <v>79551</v>
      </c>
      <c r="R6" s="840">
        <f t="shared" si="7"/>
        <v>83973</v>
      </c>
    </row>
    <row r="7" spans="1:18">
      <c r="A7" t="s">
        <v>840</v>
      </c>
      <c r="B7" s="531">
        <v>7989416.3200000003</v>
      </c>
      <c r="C7" s="531">
        <v>14417396.960000001</v>
      </c>
      <c r="D7">
        <v>39667</v>
      </c>
      <c r="E7">
        <v>56207</v>
      </c>
      <c r="F7" s="570">
        <v>0.54559999999999997</v>
      </c>
      <c r="G7" s="570">
        <v>0.98460000000000003</v>
      </c>
      <c r="H7" s="828" t="s">
        <v>840</v>
      </c>
      <c r="I7" s="841">
        <f t="shared" si="0"/>
        <v>116746.48000000045</v>
      </c>
      <c r="J7" s="842">
        <f t="shared" si="1"/>
        <v>201466.73000000045</v>
      </c>
      <c r="K7" s="842">
        <f t="shared" si="8"/>
        <v>8086622.6900000004</v>
      </c>
      <c r="L7" s="842">
        <f t="shared" si="2"/>
        <v>7989416.3200000003</v>
      </c>
      <c r="M7" s="842">
        <f t="shared" si="3"/>
        <v>14417396.960000001</v>
      </c>
      <c r="O7" s="843">
        <f t="shared" si="4"/>
        <v>540</v>
      </c>
      <c r="P7" s="844">
        <f t="shared" si="5"/>
        <v>1563</v>
      </c>
      <c r="Q7" s="844">
        <f t="shared" si="6"/>
        <v>39667</v>
      </c>
      <c r="R7" s="844">
        <f t="shared" si="7"/>
        <v>56207</v>
      </c>
    </row>
    <row r="8" spans="1:18">
      <c r="A8" t="s">
        <v>841</v>
      </c>
      <c r="B8" s="531">
        <v>1529434.34</v>
      </c>
      <c r="C8" s="531">
        <v>4232139.51</v>
      </c>
      <c r="D8">
        <v>22808</v>
      </c>
      <c r="E8">
        <v>49140</v>
      </c>
      <c r="F8" s="552">
        <v>0.3473</v>
      </c>
      <c r="G8" s="570">
        <v>0.96099999999999997</v>
      </c>
      <c r="H8" s="828" t="s">
        <v>841</v>
      </c>
      <c r="I8" s="845">
        <f t="shared" si="0"/>
        <v>90863.030000000028</v>
      </c>
      <c r="J8" s="846">
        <f t="shared" si="1"/>
        <v>113449.55999999959</v>
      </c>
      <c r="K8" s="846">
        <f t="shared" si="8"/>
        <v>2790664.86</v>
      </c>
      <c r="L8" s="846">
        <f t="shared" si="2"/>
        <v>1529434.34</v>
      </c>
      <c r="M8" s="846">
        <f t="shared" si="3"/>
        <v>4232139.51</v>
      </c>
      <c r="O8" s="847">
        <f t="shared" si="4"/>
        <v>1272</v>
      </c>
      <c r="P8" s="848">
        <f t="shared" si="5"/>
        <v>1009</v>
      </c>
      <c r="Q8" s="848">
        <f t="shared" si="6"/>
        <v>22808</v>
      </c>
      <c r="R8" s="848">
        <f t="shared" si="7"/>
        <v>49140</v>
      </c>
    </row>
    <row r="9" spans="1:18">
      <c r="A9" t="s">
        <v>842</v>
      </c>
      <c r="B9" s="531">
        <v>505616.54</v>
      </c>
      <c r="C9" s="531">
        <v>505616.54</v>
      </c>
      <c r="D9">
        <v>16105</v>
      </c>
      <c r="E9">
        <v>16105</v>
      </c>
      <c r="F9" s="570">
        <v>1</v>
      </c>
      <c r="G9" s="570">
        <v>1</v>
      </c>
      <c r="H9" s="828" t="s">
        <v>842</v>
      </c>
      <c r="I9" s="849">
        <f t="shared" si="0"/>
        <v>0</v>
      </c>
      <c r="J9" s="850">
        <f t="shared" si="1"/>
        <v>0</v>
      </c>
      <c r="K9" s="850">
        <f t="shared" si="8"/>
        <v>506619.53</v>
      </c>
      <c r="L9" s="850">
        <f t="shared" si="2"/>
        <v>505616.54</v>
      </c>
      <c r="M9" s="850">
        <f t="shared" si="3"/>
        <v>505616.54</v>
      </c>
      <c r="O9" s="851">
        <f t="shared" si="4"/>
        <v>0</v>
      </c>
      <c r="P9" s="852">
        <f t="shared" si="5"/>
        <v>0</v>
      </c>
      <c r="Q9" s="852">
        <f t="shared" si="6"/>
        <v>16105</v>
      </c>
      <c r="R9" s="852">
        <f t="shared" si="7"/>
        <v>16105</v>
      </c>
    </row>
    <row r="10" spans="1:18">
      <c r="A10" t="s">
        <v>843</v>
      </c>
      <c r="B10" s="531">
        <v>2238976.85</v>
      </c>
      <c r="C10" s="531">
        <v>2558110.4500000002</v>
      </c>
      <c r="D10">
        <v>26800</v>
      </c>
      <c r="E10">
        <v>29900</v>
      </c>
      <c r="F10" s="570">
        <v>0.87519999999999998</v>
      </c>
      <c r="G10" s="570">
        <v>1</v>
      </c>
      <c r="H10" s="828" t="s">
        <v>843</v>
      </c>
      <c r="I10" s="853">
        <f t="shared" si="0"/>
        <v>59901.470000000205</v>
      </c>
      <c r="J10" s="854">
        <f t="shared" si="1"/>
        <v>0</v>
      </c>
      <c r="K10" s="854">
        <f t="shared" si="8"/>
        <v>3336320.63</v>
      </c>
      <c r="L10" s="854">
        <f t="shared" si="2"/>
        <v>2238976.85</v>
      </c>
      <c r="M10" s="854">
        <f t="shared" si="3"/>
        <v>2558110.4500000002</v>
      </c>
      <c r="O10" s="855">
        <f t="shared" si="4"/>
        <v>270</v>
      </c>
      <c r="P10" s="856">
        <f t="shared" si="5"/>
        <v>0</v>
      </c>
      <c r="Q10" s="856">
        <f t="shared" si="6"/>
        <v>26800</v>
      </c>
      <c r="R10" s="856">
        <f t="shared" si="7"/>
        <v>29900</v>
      </c>
    </row>
    <row r="11" spans="1:18">
      <c r="A11" t="s">
        <v>844</v>
      </c>
      <c r="B11" s="531">
        <v>4337407.5199999996</v>
      </c>
      <c r="C11" s="531">
        <v>6820991.1900000004</v>
      </c>
      <c r="D11">
        <v>10430</v>
      </c>
      <c r="E11">
        <v>13856</v>
      </c>
      <c r="F11" s="552">
        <v>0.58779999999999999</v>
      </c>
      <c r="G11" s="570">
        <v>0.9244</v>
      </c>
      <c r="H11" s="828" t="s">
        <v>844</v>
      </c>
      <c r="I11" s="857">
        <f t="shared" si="0"/>
        <v>0</v>
      </c>
      <c r="J11" s="858">
        <f t="shared" si="1"/>
        <v>152056.15000000037</v>
      </c>
      <c r="K11" s="858">
        <f t="shared" si="8"/>
        <v>7378530.3799999999</v>
      </c>
      <c r="L11" s="858">
        <f t="shared" si="2"/>
        <v>4337407.5199999996</v>
      </c>
      <c r="M11" s="858">
        <f t="shared" si="3"/>
        <v>6820991.1900000004</v>
      </c>
      <c r="N11" s="859"/>
      <c r="O11" s="860">
        <f t="shared" si="4"/>
        <v>0</v>
      </c>
      <c r="P11" s="861">
        <f t="shared" si="5"/>
        <v>215</v>
      </c>
      <c r="Q11" s="861">
        <f t="shared" si="6"/>
        <v>10430</v>
      </c>
      <c r="R11" s="861">
        <f t="shared" si="7"/>
        <v>13856</v>
      </c>
    </row>
    <row r="12" spans="1:18">
      <c r="A12" t="s">
        <v>845</v>
      </c>
      <c r="B12" s="531">
        <v>1505980.97</v>
      </c>
      <c r="C12" s="531">
        <v>1505980.97</v>
      </c>
      <c r="D12">
        <v>20616</v>
      </c>
      <c r="E12">
        <v>20616</v>
      </c>
      <c r="F12" s="570">
        <v>1</v>
      </c>
      <c r="G12" s="570">
        <v>1</v>
      </c>
      <c r="H12" s="828" t="s">
        <v>845</v>
      </c>
      <c r="I12" s="862">
        <f t="shared" si="0"/>
        <v>0</v>
      </c>
      <c r="J12" s="863">
        <f t="shared" si="1"/>
        <v>0</v>
      </c>
      <c r="K12" s="863">
        <f t="shared" si="8"/>
        <v>2156250.46</v>
      </c>
      <c r="L12" s="863">
        <f t="shared" si="2"/>
        <v>1505980.97</v>
      </c>
      <c r="M12" s="863">
        <f t="shared" si="3"/>
        <v>1505980.97</v>
      </c>
      <c r="N12" s="864"/>
      <c r="O12" s="865">
        <f t="shared" si="4"/>
        <v>0</v>
      </c>
      <c r="P12" s="866">
        <f t="shared" si="5"/>
        <v>0</v>
      </c>
      <c r="Q12" s="866">
        <f t="shared" si="6"/>
        <v>20616</v>
      </c>
      <c r="R12" s="866">
        <f t="shared" si="7"/>
        <v>20616</v>
      </c>
    </row>
    <row r="13" spans="1:18">
      <c r="A13" t="s">
        <v>846</v>
      </c>
      <c r="B13" s="531">
        <v>1162894.8</v>
      </c>
      <c r="C13" s="531">
        <v>1342832.01</v>
      </c>
      <c r="D13">
        <v>32200</v>
      </c>
      <c r="E13">
        <v>37150</v>
      </c>
      <c r="F13" s="570">
        <v>0.86599999999999999</v>
      </c>
      <c r="G13" s="552">
        <v>1</v>
      </c>
      <c r="H13" s="828" t="s">
        <v>846</v>
      </c>
      <c r="I13" s="867">
        <f t="shared" si="0"/>
        <v>34853.630000000121</v>
      </c>
      <c r="J13" s="868">
        <f>+C13-C33</f>
        <v>0</v>
      </c>
      <c r="K13" s="868">
        <f t="shared" si="8"/>
        <v>1433580.44</v>
      </c>
      <c r="L13" s="868">
        <f t="shared" si="2"/>
        <v>1162894.8</v>
      </c>
      <c r="M13" s="868">
        <f t="shared" si="3"/>
        <v>1342832.01</v>
      </c>
      <c r="N13" s="869"/>
      <c r="O13" s="870">
        <f t="shared" si="4"/>
        <v>480</v>
      </c>
      <c r="P13" s="871">
        <f t="shared" si="5"/>
        <v>0</v>
      </c>
      <c r="Q13" s="871">
        <f t="shared" si="6"/>
        <v>32200</v>
      </c>
      <c r="R13" s="871">
        <f t="shared" si="7"/>
        <v>37150</v>
      </c>
    </row>
    <row r="14" spans="1:18">
      <c r="A14" t="s">
        <v>847</v>
      </c>
      <c r="B14" s="531">
        <v>1775528.77</v>
      </c>
      <c r="C14" s="531">
        <v>2005333.58</v>
      </c>
      <c r="D14">
        <v>22760</v>
      </c>
      <c r="E14">
        <v>27107</v>
      </c>
      <c r="F14" s="552">
        <v>0.88539999999999996</v>
      </c>
      <c r="G14" s="570">
        <v>1</v>
      </c>
      <c r="H14" s="828" t="s">
        <v>847</v>
      </c>
      <c r="I14" s="872">
        <f t="shared" si="0"/>
        <v>9817.2299999999814</v>
      </c>
      <c r="J14" s="873">
        <f>+C14-C34</f>
        <v>0</v>
      </c>
      <c r="K14" s="873">
        <f t="shared" si="8"/>
        <v>2140576.48</v>
      </c>
      <c r="L14" s="873">
        <f t="shared" si="2"/>
        <v>1775528.77</v>
      </c>
      <c r="M14" s="873">
        <f t="shared" si="3"/>
        <v>2005333.58</v>
      </c>
      <c r="N14" s="874"/>
      <c r="O14" s="875">
        <f t="shared" si="4"/>
        <v>958</v>
      </c>
      <c r="P14" s="876">
        <f t="shared" si="5"/>
        <v>0</v>
      </c>
      <c r="Q14" s="876">
        <f t="shared" si="6"/>
        <v>22760</v>
      </c>
      <c r="R14" s="876">
        <f t="shared" si="7"/>
        <v>27107</v>
      </c>
    </row>
    <row r="15" spans="1:18">
      <c r="A15" t="s">
        <v>848</v>
      </c>
      <c r="B15" s="531">
        <v>5992.14</v>
      </c>
      <c r="C15" s="531">
        <v>1845852.34</v>
      </c>
      <c r="D15">
        <v>1107</v>
      </c>
      <c r="E15">
        <v>13114</v>
      </c>
      <c r="F15" s="552">
        <v>2E-3</v>
      </c>
      <c r="G15" s="552">
        <v>0.60529999999999995</v>
      </c>
      <c r="H15" s="828" t="s">
        <v>848</v>
      </c>
      <c r="I15" s="877">
        <f t="shared" si="0"/>
        <v>1189.8200000000006</v>
      </c>
      <c r="J15" s="878">
        <f>+C15-C35</f>
        <v>628633.39000000013</v>
      </c>
      <c r="K15" s="878">
        <f t="shared" si="8"/>
        <v>0</v>
      </c>
      <c r="L15" s="878">
        <f t="shared" si="2"/>
        <v>5992.14</v>
      </c>
      <c r="M15" s="878">
        <f t="shared" si="3"/>
        <v>1845852.34</v>
      </c>
      <c r="N15" s="879"/>
      <c r="O15" s="880">
        <f t="shared" si="4"/>
        <v>297</v>
      </c>
      <c r="P15" s="881">
        <f t="shared" si="5"/>
        <v>1164</v>
      </c>
      <c r="Q15" s="881">
        <f t="shared" si="6"/>
        <v>1107</v>
      </c>
      <c r="R15" s="881">
        <f t="shared" si="7"/>
        <v>13114</v>
      </c>
    </row>
    <row r="16" spans="1:18">
      <c r="A16" t="s">
        <v>849</v>
      </c>
      <c r="B16" s="531">
        <v>499735.96</v>
      </c>
      <c r="C16" s="531">
        <v>499735.96</v>
      </c>
      <c r="D16">
        <v>2515</v>
      </c>
      <c r="E16">
        <v>2515</v>
      </c>
      <c r="F16" s="552">
        <v>1</v>
      </c>
      <c r="G16" s="552">
        <v>1</v>
      </c>
      <c r="H16" s="828" t="s">
        <v>849</v>
      </c>
      <c r="I16" s="882">
        <f t="shared" si="0"/>
        <v>0</v>
      </c>
      <c r="J16" s="883">
        <f>+C16-C36</f>
        <v>0</v>
      </c>
      <c r="K16" s="883">
        <f t="shared" si="8"/>
        <v>499321.73</v>
      </c>
      <c r="L16" s="883">
        <f t="shared" si="2"/>
        <v>499735.96</v>
      </c>
      <c r="M16" s="883">
        <f t="shared" si="3"/>
        <v>499735.96</v>
      </c>
      <c r="N16" s="884"/>
      <c r="O16" s="885">
        <f t="shared" si="4"/>
        <v>0</v>
      </c>
      <c r="P16" s="886">
        <f t="shared" si="5"/>
        <v>0</v>
      </c>
      <c r="Q16" s="886">
        <f t="shared" si="6"/>
        <v>2515</v>
      </c>
      <c r="R16" s="886">
        <f t="shared" si="7"/>
        <v>2515</v>
      </c>
    </row>
    <row r="17" spans="1:18">
      <c r="A17" t="s">
        <v>850</v>
      </c>
      <c r="B17" s="531">
        <v>389804.76</v>
      </c>
      <c r="C17" s="531">
        <v>389804.76</v>
      </c>
      <c r="D17">
        <v>6458</v>
      </c>
      <c r="E17">
        <v>6458</v>
      </c>
      <c r="F17" s="570">
        <v>1</v>
      </c>
      <c r="G17" s="552">
        <v>1</v>
      </c>
      <c r="H17" s="828" t="s">
        <v>850</v>
      </c>
      <c r="I17" s="887">
        <f t="shared" si="0"/>
        <v>0</v>
      </c>
      <c r="J17" s="888">
        <f t="shared" si="1"/>
        <v>0</v>
      </c>
      <c r="K17" s="888">
        <f t="shared" si="8"/>
        <v>0</v>
      </c>
      <c r="L17" s="888">
        <f t="shared" si="2"/>
        <v>389804.76</v>
      </c>
      <c r="M17" s="888">
        <f t="shared" si="3"/>
        <v>389804.76</v>
      </c>
      <c r="N17" s="889"/>
      <c r="O17" s="890">
        <f t="shared" si="4"/>
        <v>0</v>
      </c>
      <c r="P17" s="891">
        <f t="shared" si="5"/>
        <v>0</v>
      </c>
      <c r="Q17" s="891">
        <f t="shared" si="6"/>
        <v>6458</v>
      </c>
      <c r="R17" s="891">
        <f t="shared" si="7"/>
        <v>6458</v>
      </c>
    </row>
    <row r="18" spans="1:18">
      <c r="A18" t="s">
        <v>851</v>
      </c>
      <c r="B18" s="531">
        <v>112526.05</v>
      </c>
      <c r="C18" s="531">
        <v>112526.05</v>
      </c>
      <c r="D18">
        <v>1400</v>
      </c>
      <c r="E18">
        <v>1400</v>
      </c>
      <c r="F18" s="570">
        <v>1</v>
      </c>
      <c r="G18" s="552">
        <v>1</v>
      </c>
      <c r="H18" s="828" t="s">
        <v>851</v>
      </c>
      <c r="I18" s="892">
        <f t="shared" si="0"/>
        <v>0</v>
      </c>
      <c r="J18" s="893">
        <f t="shared" si="1"/>
        <v>0</v>
      </c>
      <c r="K18" s="893">
        <f t="shared" si="8"/>
        <v>112526.05</v>
      </c>
      <c r="L18" s="893">
        <f t="shared" si="2"/>
        <v>112526.05</v>
      </c>
      <c r="M18" s="893">
        <f t="shared" si="3"/>
        <v>112526.05</v>
      </c>
      <c r="N18" s="894"/>
      <c r="O18" s="895">
        <f t="shared" si="4"/>
        <v>0</v>
      </c>
      <c r="P18" s="896">
        <f t="shared" si="5"/>
        <v>0</v>
      </c>
      <c r="Q18" s="896">
        <f t="shared" si="6"/>
        <v>1400</v>
      </c>
      <c r="R18" s="896">
        <f t="shared" si="7"/>
        <v>1400</v>
      </c>
    </row>
    <row r="19" spans="1:18">
      <c r="A19" t="s">
        <v>852</v>
      </c>
      <c r="B19" s="531">
        <v>818633.54</v>
      </c>
      <c r="C19" s="531">
        <v>4052236.02</v>
      </c>
      <c r="D19">
        <v>1270</v>
      </c>
      <c r="E19">
        <v>6220</v>
      </c>
      <c r="F19" s="552">
        <v>0.1429</v>
      </c>
      <c r="G19" s="552">
        <v>0.70709999999999995</v>
      </c>
      <c r="H19" s="828" t="s">
        <v>852</v>
      </c>
      <c r="I19" s="897">
        <f t="shared" si="0"/>
        <v>0</v>
      </c>
      <c r="J19" s="898">
        <f t="shared" si="1"/>
        <v>163726.70000000019</v>
      </c>
      <c r="K19" s="898">
        <f t="shared" si="8"/>
        <v>1637267.08</v>
      </c>
      <c r="L19" s="898">
        <f t="shared" si="2"/>
        <v>818633.54</v>
      </c>
      <c r="M19" s="898">
        <f t="shared" si="3"/>
        <v>4052236.02</v>
      </c>
      <c r="N19" s="899"/>
      <c r="O19" s="900">
        <f t="shared" si="4"/>
        <v>0</v>
      </c>
      <c r="P19" s="901">
        <f t="shared" si="5"/>
        <v>240</v>
      </c>
      <c r="Q19" s="901">
        <f t="shared" si="6"/>
        <v>1270</v>
      </c>
      <c r="R19" s="901">
        <f t="shared" si="7"/>
        <v>6220</v>
      </c>
    </row>
    <row r="20" spans="1:18" ht="15" thickBot="1">
      <c r="A20" t="s">
        <v>853</v>
      </c>
      <c r="B20">
        <v>0</v>
      </c>
      <c r="C20">
        <v>0</v>
      </c>
      <c r="D20">
        <v>0</v>
      </c>
      <c r="E20">
        <v>0</v>
      </c>
      <c r="F20" s="552">
        <v>0</v>
      </c>
      <c r="G20" s="552">
        <v>0</v>
      </c>
      <c r="H20" s="902" t="s">
        <v>853</v>
      </c>
      <c r="I20" s="903">
        <f t="shared" si="0"/>
        <v>0</v>
      </c>
      <c r="J20" s="904">
        <f>+C20-C40</f>
        <v>0</v>
      </c>
      <c r="K20" s="904">
        <f t="shared" si="8"/>
        <v>0</v>
      </c>
      <c r="L20" s="904">
        <f t="shared" si="2"/>
        <v>0</v>
      </c>
      <c r="M20" s="904">
        <f t="shared" si="3"/>
        <v>0</v>
      </c>
      <c r="N20" s="905"/>
      <c r="O20" s="906">
        <f t="shared" si="4"/>
        <v>0</v>
      </c>
      <c r="P20" s="907">
        <f t="shared" si="5"/>
        <v>0</v>
      </c>
      <c r="Q20" s="907">
        <f t="shared" si="6"/>
        <v>0</v>
      </c>
      <c r="R20" s="907">
        <f t="shared" si="7"/>
        <v>0</v>
      </c>
    </row>
    <row r="21" spans="1:18" ht="15" thickBot="1">
      <c r="A21" s="1606" t="s">
        <v>779</v>
      </c>
      <c r="B21" s="1606"/>
      <c r="C21" s="1606"/>
      <c r="D21" s="1606"/>
      <c r="E21" s="1606"/>
      <c r="F21" s="1606"/>
      <c r="G21" s="1606"/>
    </row>
    <row r="22" spans="1:18" s="515" customFormat="1" ht="14.4" customHeight="1">
      <c r="A22" s="824" t="s">
        <v>767</v>
      </c>
      <c r="B22" s="825" t="s">
        <v>768</v>
      </c>
      <c r="C22" s="825" t="s">
        <v>769</v>
      </c>
      <c r="D22" s="825" t="s">
        <v>770</v>
      </c>
      <c r="E22" s="825" t="s">
        <v>771</v>
      </c>
      <c r="F22" s="825" t="s">
        <v>772</v>
      </c>
      <c r="G22" s="826" t="s">
        <v>773</v>
      </c>
    </row>
    <row r="23" spans="1:18">
      <c r="A23" t="s">
        <v>88</v>
      </c>
      <c r="B23" s="531">
        <v>33587063.640000001</v>
      </c>
      <c r="C23" s="531">
        <v>52209223.82</v>
      </c>
      <c r="D23">
        <v>305357</v>
      </c>
      <c r="E23">
        <v>386331</v>
      </c>
      <c r="F23" s="570">
        <v>0.58609999999999995</v>
      </c>
      <c r="G23" s="570">
        <v>0.91110000000000002</v>
      </c>
      <c r="H23" s="1225">
        <v>10</v>
      </c>
      <c r="I23">
        <f>+D3*$H$23</f>
        <v>3103670</v>
      </c>
      <c r="J23">
        <f>+E3*$H$23</f>
        <v>3905220</v>
      </c>
    </row>
    <row r="24" spans="1:18">
      <c r="A24" t="s">
        <v>837</v>
      </c>
      <c r="B24" s="531">
        <v>0</v>
      </c>
      <c r="C24" s="531">
        <v>0</v>
      </c>
      <c r="D24">
        <v>8492</v>
      </c>
      <c r="E24">
        <v>8492</v>
      </c>
      <c r="F24" s="570">
        <v>0</v>
      </c>
      <c r="G24" s="570">
        <v>0</v>
      </c>
      <c r="I24">
        <f t="shared" ref="I24:J40" si="9">+D4*$H$23</f>
        <v>84920</v>
      </c>
      <c r="J24">
        <f t="shared" si="9"/>
        <v>84920</v>
      </c>
    </row>
    <row r="25" spans="1:18">
      <c r="A25" t="s">
        <v>838</v>
      </c>
      <c r="B25" s="531">
        <v>1690947.96</v>
      </c>
      <c r="C25" s="531">
        <v>1719130.43</v>
      </c>
      <c r="D25">
        <v>18081</v>
      </c>
      <c r="E25">
        <v>18270</v>
      </c>
      <c r="F25" s="570">
        <v>0.98360000000000003</v>
      </c>
      <c r="G25" s="570">
        <v>1</v>
      </c>
      <c r="I25">
        <f t="shared" si="9"/>
        <v>181890</v>
      </c>
      <c r="J25">
        <f t="shared" si="9"/>
        <v>182700</v>
      </c>
    </row>
    <row r="26" spans="1:18">
      <c r="A26" t="s">
        <v>839</v>
      </c>
      <c r="B26" s="531">
        <v>9337538.8000000007</v>
      </c>
      <c r="C26" s="531">
        <v>11460869.58</v>
      </c>
      <c r="D26">
        <v>78465</v>
      </c>
      <c r="E26">
        <v>83973</v>
      </c>
      <c r="F26" s="570">
        <v>0.81469999999999998</v>
      </c>
      <c r="G26" s="570">
        <v>1</v>
      </c>
      <c r="I26">
        <f t="shared" si="9"/>
        <v>795510</v>
      </c>
      <c r="J26">
        <f t="shared" si="9"/>
        <v>839730</v>
      </c>
    </row>
    <row r="27" spans="1:18">
      <c r="A27" t="s">
        <v>840</v>
      </c>
      <c r="B27" s="531">
        <v>7872669.8399999999</v>
      </c>
      <c r="C27" s="531">
        <v>14215930.23</v>
      </c>
      <c r="D27">
        <v>39127</v>
      </c>
      <c r="E27">
        <v>54644</v>
      </c>
      <c r="F27" s="570">
        <v>0.53769999999999996</v>
      </c>
      <c r="G27" s="570">
        <v>0.97089999999999999</v>
      </c>
      <c r="I27">
        <f t="shared" si="9"/>
        <v>396670</v>
      </c>
      <c r="J27">
        <f t="shared" si="9"/>
        <v>562070</v>
      </c>
    </row>
    <row r="28" spans="1:18">
      <c r="A28" t="s">
        <v>841</v>
      </c>
      <c r="B28" s="531">
        <v>1438571.31</v>
      </c>
      <c r="C28" s="531">
        <v>4118689.95</v>
      </c>
      <c r="D28">
        <v>21536</v>
      </c>
      <c r="E28">
        <v>48131</v>
      </c>
      <c r="F28" s="552">
        <v>0.32669999999999999</v>
      </c>
      <c r="G28" s="570">
        <v>0.93530000000000002</v>
      </c>
      <c r="I28">
        <f t="shared" si="9"/>
        <v>228080</v>
      </c>
      <c r="J28">
        <f t="shared" si="9"/>
        <v>491400</v>
      </c>
    </row>
    <row r="29" spans="1:18">
      <c r="A29" t="s">
        <v>842</v>
      </c>
      <c r="B29" s="531">
        <v>505616.54</v>
      </c>
      <c r="C29" s="531">
        <v>505616.54</v>
      </c>
      <c r="D29">
        <v>16105</v>
      </c>
      <c r="E29">
        <v>16105</v>
      </c>
      <c r="F29" s="570">
        <v>1</v>
      </c>
      <c r="G29" s="570">
        <v>1</v>
      </c>
      <c r="I29">
        <f t="shared" si="9"/>
        <v>161050</v>
      </c>
      <c r="J29">
        <f t="shared" si="9"/>
        <v>161050</v>
      </c>
    </row>
    <row r="30" spans="1:18">
      <c r="A30" t="s">
        <v>843</v>
      </c>
      <c r="B30" s="531">
        <v>2179075.38</v>
      </c>
      <c r="C30" s="531">
        <v>2558110.4500000002</v>
      </c>
      <c r="D30">
        <v>26530</v>
      </c>
      <c r="E30">
        <v>29900</v>
      </c>
      <c r="F30" s="570">
        <v>0.8518</v>
      </c>
      <c r="G30" s="570">
        <v>1</v>
      </c>
      <c r="I30">
        <f t="shared" si="9"/>
        <v>268000</v>
      </c>
      <c r="J30">
        <f t="shared" si="9"/>
        <v>299000</v>
      </c>
    </row>
    <row r="31" spans="1:18">
      <c r="A31" t="s">
        <v>844</v>
      </c>
      <c r="B31" s="531">
        <v>4337407.5199999996</v>
      </c>
      <c r="C31" s="531">
        <v>6668935.04</v>
      </c>
      <c r="D31">
        <v>10430</v>
      </c>
      <c r="E31">
        <v>13641</v>
      </c>
      <c r="F31" s="552">
        <v>0.58779999999999999</v>
      </c>
      <c r="G31" s="570">
        <v>0.90380000000000005</v>
      </c>
      <c r="I31">
        <f t="shared" si="9"/>
        <v>104300</v>
      </c>
      <c r="J31">
        <f t="shared" si="9"/>
        <v>138560</v>
      </c>
    </row>
    <row r="32" spans="1:18">
      <c r="A32" t="s">
        <v>845</v>
      </c>
      <c r="B32" s="531">
        <v>1505980.97</v>
      </c>
      <c r="C32" s="531">
        <v>1505980.97</v>
      </c>
      <c r="D32">
        <v>20616</v>
      </c>
      <c r="E32">
        <v>20616</v>
      </c>
      <c r="F32" s="570">
        <v>1</v>
      </c>
      <c r="G32" s="570">
        <v>1</v>
      </c>
      <c r="I32">
        <f t="shared" si="9"/>
        <v>206160</v>
      </c>
      <c r="J32">
        <f t="shared" si="9"/>
        <v>206160</v>
      </c>
    </row>
    <row r="33" spans="1:10">
      <c r="A33" t="s">
        <v>846</v>
      </c>
      <c r="B33" s="531">
        <v>1128041.17</v>
      </c>
      <c r="C33" s="531">
        <v>1342832.01</v>
      </c>
      <c r="D33">
        <v>31720</v>
      </c>
      <c r="E33">
        <v>37150</v>
      </c>
      <c r="F33" s="570">
        <v>0.84</v>
      </c>
      <c r="G33" s="552">
        <v>1</v>
      </c>
      <c r="I33">
        <f t="shared" si="9"/>
        <v>322000</v>
      </c>
      <c r="J33">
        <f t="shared" si="9"/>
        <v>371500</v>
      </c>
    </row>
    <row r="34" spans="1:10">
      <c r="A34" t="s">
        <v>847</v>
      </c>
      <c r="B34" s="531">
        <v>1765711.54</v>
      </c>
      <c r="C34" s="531">
        <v>2005333.58</v>
      </c>
      <c r="D34">
        <v>21802</v>
      </c>
      <c r="E34">
        <v>27107</v>
      </c>
      <c r="F34" s="552">
        <v>0.88049999999999995</v>
      </c>
      <c r="G34" s="570">
        <v>1</v>
      </c>
      <c r="I34">
        <f t="shared" si="9"/>
        <v>227600</v>
      </c>
      <c r="J34">
        <f t="shared" si="9"/>
        <v>271070</v>
      </c>
    </row>
    <row r="35" spans="1:10">
      <c r="A35" t="s">
        <v>848</v>
      </c>
      <c r="B35" s="531">
        <v>4802.32</v>
      </c>
      <c r="C35" s="531">
        <v>1217218.95</v>
      </c>
      <c r="D35">
        <v>810</v>
      </c>
      <c r="E35">
        <v>11950</v>
      </c>
      <c r="F35" s="552">
        <v>1.6000000000000001E-3</v>
      </c>
      <c r="G35" s="552">
        <v>0.3992</v>
      </c>
      <c r="I35">
        <f t="shared" si="9"/>
        <v>11070</v>
      </c>
      <c r="J35">
        <f t="shared" si="9"/>
        <v>131140</v>
      </c>
    </row>
    <row r="36" spans="1:10">
      <c r="A36" t="s">
        <v>849</v>
      </c>
      <c r="B36" s="531">
        <v>499735.96</v>
      </c>
      <c r="C36" s="531">
        <v>499735.96</v>
      </c>
      <c r="D36">
        <v>2515</v>
      </c>
      <c r="E36">
        <v>2515</v>
      </c>
      <c r="F36" s="552">
        <v>1</v>
      </c>
      <c r="G36" s="552">
        <v>1</v>
      </c>
      <c r="I36">
        <f t="shared" si="9"/>
        <v>25150</v>
      </c>
      <c r="J36">
        <f t="shared" si="9"/>
        <v>25150</v>
      </c>
    </row>
    <row r="37" spans="1:10">
      <c r="A37" t="s">
        <v>850</v>
      </c>
      <c r="B37" s="531">
        <v>389804.76</v>
      </c>
      <c r="C37" s="531">
        <v>389804.76</v>
      </c>
      <c r="D37">
        <v>6458</v>
      </c>
      <c r="E37">
        <v>6458</v>
      </c>
      <c r="F37" s="570">
        <v>1</v>
      </c>
      <c r="G37" s="552">
        <v>1</v>
      </c>
      <c r="I37">
        <f t="shared" si="9"/>
        <v>64580</v>
      </c>
      <c r="J37">
        <f t="shared" si="9"/>
        <v>64580</v>
      </c>
    </row>
    <row r="38" spans="1:10">
      <c r="A38" t="s">
        <v>851</v>
      </c>
      <c r="B38" s="531">
        <v>112526.05</v>
      </c>
      <c r="C38" s="531">
        <v>112526.05</v>
      </c>
      <c r="D38">
        <v>1400</v>
      </c>
      <c r="E38">
        <v>1400</v>
      </c>
      <c r="F38" s="570">
        <v>1</v>
      </c>
      <c r="G38" s="552">
        <v>1</v>
      </c>
      <c r="I38">
        <f t="shared" si="9"/>
        <v>14000</v>
      </c>
      <c r="J38">
        <f t="shared" si="9"/>
        <v>14000</v>
      </c>
    </row>
    <row r="39" spans="1:10">
      <c r="A39" t="s">
        <v>852</v>
      </c>
      <c r="B39" s="531">
        <v>818633.54</v>
      </c>
      <c r="C39" s="531">
        <v>3888509.32</v>
      </c>
      <c r="D39">
        <v>1270</v>
      </c>
      <c r="E39">
        <v>5980</v>
      </c>
      <c r="F39" s="552">
        <v>0.1429</v>
      </c>
      <c r="G39" s="552">
        <v>0.67859999999999998</v>
      </c>
      <c r="I39">
        <f t="shared" si="9"/>
        <v>12700</v>
      </c>
      <c r="J39">
        <f t="shared" si="9"/>
        <v>62200</v>
      </c>
    </row>
    <row r="40" spans="1:10">
      <c r="A40" t="s">
        <v>853</v>
      </c>
      <c r="B40">
        <v>0</v>
      </c>
      <c r="C40">
        <v>0</v>
      </c>
      <c r="D40">
        <v>0</v>
      </c>
      <c r="E40">
        <v>0</v>
      </c>
      <c r="F40" s="552">
        <v>0</v>
      </c>
      <c r="G40" s="552">
        <v>0</v>
      </c>
      <c r="I40">
        <f t="shared" si="9"/>
        <v>0</v>
      </c>
      <c r="J40">
        <f t="shared" si="9"/>
        <v>0</v>
      </c>
    </row>
    <row r="41" spans="1:10">
      <c r="B41" s="531"/>
      <c r="C41" s="531"/>
      <c r="F41" s="570"/>
      <c r="G41" s="570"/>
    </row>
    <row r="42" spans="1:10">
      <c r="B42" s="531"/>
      <c r="C42" s="531"/>
      <c r="F42" s="570"/>
      <c r="G42" s="570"/>
    </row>
    <row r="43" spans="1:10">
      <c r="F43" s="552"/>
      <c r="G43" s="552"/>
    </row>
    <row r="44" spans="1:10">
      <c r="F44" s="552"/>
      <c r="G44" s="552"/>
    </row>
    <row r="45" spans="1:10">
      <c r="F45" s="552"/>
      <c r="G45" s="552"/>
    </row>
    <row r="46" spans="1:10">
      <c r="F46" s="552"/>
      <c r="G46" s="552"/>
    </row>
    <row r="47" spans="1:10">
      <c r="F47" s="552"/>
      <c r="G47" s="552"/>
    </row>
    <row r="48" spans="1:10">
      <c r="A48" t="s">
        <v>767</v>
      </c>
      <c r="B48" t="s">
        <v>768</v>
      </c>
      <c r="C48" t="s">
        <v>769</v>
      </c>
      <c r="D48" t="s">
        <v>770</v>
      </c>
      <c r="E48" t="s">
        <v>771</v>
      </c>
      <c r="F48" s="552" t="s">
        <v>772</v>
      </c>
      <c r="G48" s="552" t="s">
        <v>773</v>
      </c>
    </row>
    <row r="49" spans="1:7">
      <c r="A49" t="s">
        <v>88</v>
      </c>
      <c r="B49" s="531">
        <v>42509998.109999999</v>
      </c>
      <c r="C49" s="531">
        <v>8768117.6799999997</v>
      </c>
      <c r="D49">
        <v>331189</v>
      </c>
      <c r="E49">
        <v>59696</v>
      </c>
      <c r="F49" s="570">
        <v>0.74180000000000001</v>
      </c>
      <c r="G49" s="552">
        <v>0.153</v>
      </c>
    </row>
    <row r="50" spans="1:7">
      <c r="A50" t="s">
        <v>837</v>
      </c>
      <c r="B50">
        <v>0</v>
      </c>
      <c r="C50" s="531">
        <v>0</v>
      </c>
      <c r="D50">
        <v>8492</v>
      </c>
      <c r="E50">
        <v>8012</v>
      </c>
      <c r="F50" s="552">
        <v>0</v>
      </c>
      <c r="G50" s="570">
        <v>0</v>
      </c>
    </row>
    <row r="51" spans="1:7">
      <c r="A51" t="s">
        <v>838</v>
      </c>
      <c r="B51" s="531">
        <v>1719130.43</v>
      </c>
      <c r="C51" s="531">
        <v>1338667.1399999999</v>
      </c>
      <c r="D51">
        <v>18263</v>
      </c>
      <c r="E51">
        <v>17627</v>
      </c>
      <c r="F51" s="552">
        <v>1</v>
      </c>
      <c r="G51" s="570">
        <v>0.77869999999999995</v>
      </c>
    </row>
    <row r="52" spans="1:7">
      <c r="A52" t="s">
        <v>839</v>
      </c>
      <c r="B52" s="531">
        <v>10712587.359999999</v>
      </c>
      <c r="C52" s="531">
        <v>1719130.44</v>
      </c>
      <c r="D52">
        <v>81194</v>
      </c>
      <c r="E52">
        <v>6008</v>
      </c>
      <c r="F52" s="552">
        <v>0.93469999999999998</v>
      </c>
      <c r="G52" s="570">
        <v>0.15</v>
      </c>
    </row>
    <row r="53" spans="1:7">
      <c r="A53" t="s">
        <v>840</v>
      </c>
      <c r="B53" s="531">
        <v>8086622.6900000004</v>
      </c>
      <c r="C53" s="531">
        <v>1934930.41</v>
      </c>
      <c r="D53">
        <v>30729</v>
      </c>
      <c r="E53">
        <v>6392</v>
      </c>
      <c r="F53" s="552">
        <v>0.61160000000000003</v>
      </c>
      <c r="G53" s="570">
        <v>0.14630000000000001</v>
      </c>
    </row>
    <row r="54" spans="1:7">
      <c r="A54" t="s">
        <v>841</v>
      </c>
      <c r="B54" s="531">
        <v>2790664.86</v>
      </c>
      <c r="C54" s="531">
        <v>0</v>
      </c>
      <c r="D54">
        <v>41560</v>
      </c>
      <c r="E54">
        <v>0</v>
      </c>
      <c r="F54" s="552">
        <v>0.70579999999999998</v>
      </c>
      <c r="G54" s="570">
        <v>0</v>
      </c>
    </row>
    <row r="55" spans="1:7">
      <c r="A55" t="s">
        <v>842</v>
      </c>
      <c r="B55" s="531">
        <v>506619.53</v>
      </c>
      <c r="C55" s="531">
        <v>310742.83</v>
      </c>
      <c r="D55">
        <v>14710</v>
      </c>
      <c r="E55">
        <v>6324</v>
      </c>
      <c r="F55" s="570">
        <v>1</v>
      </c>
      <c r="G55" s="570">
        <v>0.61339999999999995</v>
      </c>
    </row>
    <row r="56" spans="1:7">
      <c r="A56" t="s">
        <v>843</v>
      </c>
      <c r="B56" s="531">
        <v>3336320.63</v>
      </c>
      <c r="C56" s="531">
        <v>798295.39</v>
      </c>
      <c r="D56">
        <v>29100</v>
      </c>
      <c r="E56">
        <v>7333</v>
      </c>
      <c r="F56" s="552">
        <v>1</v>
      </c>
      <c r="G56" s="570">
        <v>0.23930000000000001</v>
      </c>
    </row>
    <row r="57" spans="1:7">
      <c r="A57" t="s">
        <v>844</v>
      </c>
      <c r="B57" s="531">
        <v>7378530.3799999999</v>
      </c>
      <c r="C57" s="531">
        <v>2171172.5499999998</v>
      </c>
      <c r="D57">
        <v>12640</v>
      </c>
      <c r="E57">
        <v>3203</v>
      </c>
      <c r="F57" s="570">
        <v>1</v>
      </c>
      <c r="G57" s="570">
        <v>0.29430000000000001</v>
      </c>
    </row>
    <row r="58" spans="1:7">
      <c r="A58" t="s">
        <v>845</v>
      </c>
      <c r="B58" s="531">
        <v>2156250.46</v>
      </c>
      <c r="C58" s="531">
        <v>759.92</v>
      </c>
      <c r="D58">
        <v>24496</v>
      </c>
      <c r="E58">
        <v>54</v>
      </c>
      <c r="F58" s="552">
        <v>1</v>
      </c>
      <c r="G58" s="570">
        <v>4.0000000000000002E-4</v>
      </c>
    </row>
    <row r="59" spans="1:7">
      <c r="A59" t="s">
        <v>846</v>
      </c>
      <c r="B59" s="531">
        <v>1433580.44</v>
      </c>
      <c r="C59" s="531">
        <v>66472.69</v>
      </c>
      <c r="D59">
        <v>35575</v>
      </c>
      <c r="E59">
        <v>1766</v>
      </c>
      <c r="F59" s="552">
        <v>0.90200000000000002</v>
      </c>
      <c r="G59" s="552">
        <v>4.1799999999999997E-2</v>
      </c>
    </row>
    <row r="60" spans="1:7">
      <c r="A60" t="s">
        <v>847</v>
      </c>
      <c r="B60" s="531">
        <v>2140576.48</v>
      </c>
      <c r="C60" s="531">
        <v>0</v>
      </c>
      <c r="D60">
        <v>28291</v>
      </c>
      <c r="E60">
        <v>0</v>
      </c>
      <c r="F60" s="552">
        <v>0.97270000000000001</v>
      </c>
      <c r="G60" s="570">
        <v>0</v>
      </c>
    </row>
    <row r="61" spans="1:7">
      <c r="A61" t="s">
        <v>848</v>
      </c>
      <c r="B61">
        <v>0</v>
      </c>
      <c r="C61" s="531">
        <v>0</v>
      </c>
      <c r="D61">
        <v>0</v>
      </c>
      <c r="E61">
        <v>0</v>
      </c>
      <c r="F61" s="552">
        <v>0</v>
      </c>
      <c r="G61" s="552">
        <v>0</v>
      </c>
    </row>
    <row r="62" spans="1:7">
      <c r="A62" t="s">
        <v>849</v>
      </c>
      <c r="B62" s="531">
        <v>499321.73</v>
      </c>
      <c r="C62" s="531">
        <v>233043.72</v>
      </c>
      <c r="D62">
        <v>2200</v>
      </c>
      <c r="E62">
        <v>1676</v>
      </c>
      <c r="F62" s="570">
        <v>1</v>
      </c>
      <c r="G62" s="552">
        <v>0.4667</v>
      </c>
    </row>
    <row r="63" spans="1:7">
      <c r="A63" t="s">
        <v>850</v>
      </c>
      <c r="B63" s="531">
        <v>0</v>
      </c>
      <c r="C63" s="531">
        <v>194902.57</v>
      </c>
      <c r="D63">
        <v>0</v>
      </c>
      <c r="E63">
        <v>1302</v>
      </c>
      <c r="F63" s="552">
        <v>0</v>
      </c>
      <c r="G63" s="552">
        <v>0.5</v>
      </c>
    </row>
    <row r="64" spans="1:7">
      <c r="A64" t="s">
        <v>851</v>
      </c>
      <c r="B64" s="531">
        <v>112526.05</v>
      </c>
      <c r="C64" s="531">
        <v>0</v>
      </c>
      <c r="D64">
        <v>1400</v>
      </c>
      <c r="E64">
        <v>0</v>
      </c>
      <c r="F64" s="552">
        <v>1</v>
      </c>
      <c r="G64" s="552">
        <v>0</v>
      </c>
    </row>
    <row r="65" spans="1:11">
      <c r="A65" t="s">
        <v>852</v>
      </c>
      <c r="B65" s="531">
        <v>1637267.08</v>
      </c>
      <c r="C65" s="531">
        <v>0</v>
      </c>
      <c r="D65">
        <v>2540</v>
      </c>
      <c r="E65">
        <v>0</v>
      </c>
      <c r="F65" s="552">
        <v>0.28570000000000001</v>
      </c>
      <c r="G65" s="552">
        <v>0</v>
      </c>
    </row>
    <row r="66" spans="1:11">
      <c r="A66" t="s">
        <v>853</v>
      </c>
      <c r="C66">
        <v>0</v>
      </c>
      <c r="D66">
        <v>0</v>
      </c>
      <c r="E66">
        <v>0</v>
      </c>
      <c r="F66" s="552">
        <v>0</v>
      </c>
      <c r="G66" s="552">
        <v>0</v>
      </c>
    </row>
    <row r="69" spans="1:11">
      <c r="B69">
        <f>SUM(B50:B66)</f>
        <v>42509998.11999999</v>
      </c>
    </row>
    <row r="70" spans="1:11">
      <c r="B70" s="531">
        <f>B49-B69</f>
        <v>-9.9999904632568359E-3</v>
      </c>
    </row>
    <row r="73" spans="1:11">
      <c r="J73" s="570"/>
      <c r="K73" s="570"/>
    </row>
    <row r="74" spans="1:11">
      <c r="F74" s="552"/>
      <c r="G74" s="552"/>
      <c r="J74" s="570"/>
      <c r="K74" s="570"/>
    </row>
    <row r="75" spans="1:11">
      <c r="F75" s="552"/>
      <c r="G75" s="552"/>
      <c r="J75" s="570"/>
      <c r="K75" s="570"/>
    </row>
    <row r="76" spans="1:11">
      <c r="J76" s="570"/>
      <c r="K76" s="570"/>
    </row>
    <row r="77" spans="1:11">
      <c r="J77" s="570"/>
      <c r="K77" s="570"/>
    </row>
    <row r="78" spans="1:11">
      <c r="H78" s="570"/>
      <c r="I78" s="570"/>
      <c r="J78" s="570"/>
      <c r="K78" s="570"/>
    </row>
    <row r="79" spans="1:11">
      <c r="G79" s="552"/>
      <c r="H79" s="570"/>
      <c r="I79" s="570"/>
    </row>
    <row r="80" spans="1:11">
      <c r="H80" s="570"/>
      <c r="I80" s="570"/>
      <c r="J80" s="570"/>
      <c r="K80" s="552"/>
    </row>
    <row r="81" spans="6:11">
      <c r="I81" s="570"/>
      <c r="J81" s="570"/>
      <c r="K81" s="570"/>
    </row>
    <row r="82" spans="6:11">
      <c r="I82" s="570"/>
      <c r="J82" s="570"/>
      <c r="K82" s="570"/>
    </row>
    <row r="83" spans="6:11">
      <c r="I83" s="570"/>
      <c r="J83" s="570"/>
    </row>
    <row r="84" spans="6:11">
      <c r="I84" s="570"/>
      <c r="J84" s="570"/>
    </row>
    <row r="85" spans="6:11">
      <c r="G85" s="552"/>
      <c r="H85" s="570"/>
      <c r="I85" s="570"/>
      <c r="J85" s="570"/>
    </row>
    <row r="86" spans="6:11">
      <c r="G86" s="552"/>
      <c r="H86" s="570"/>
      <c r="I86" s="552"/>
    </row>
    <row r="87" spans="6:11">
      <c r="H87" s="570"/>
      <c r="I87" s="552"/>
    </row>
    <row r="88" spans="6:11">
      <c r="G88" s="552"/>
      <c r="H88" s="570"/>
      <c r="I88" s="552"/>
    </row>
    <row r="89" spans="6:11">
      <c r="F89" s="552"/>
      <c r="G89" s="552"/>
      <c r="H89" s="570"/>
    </row>
    <row r="90" spans="6:11">
      <c r="F90" s="552"/>
      <c r="G90" s="552"/>
    </row>
    <row r="91" spans="6:11">
      <c r="F91" s="552"/>
      <c r="G91" s="552"/>
    </row>
  </sheetData>
  <mergeCells count="6">
    <mergeCell ref="Q1:R1"/>
    <mergeCell ref="A21:G21"/>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topLeftCell="A2" zoomScaleNormal="100" workbookViewId="0">
      <selection activeCell="C22" sqref="C22:I22"/>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13" max="13" width="9.6640625" bestFit="1" customWidth="1"/>
    <col min="14" max="14" width="12" bestFit="1" customWidth="1"/>
    <col min="15" max="15" width="10.5546875" bestFit="1" customWidth="1"/>
    <col min="16" max="16" width="11" bestFit="1" customWidth="1"/>
    <col min="35" max="35" width="12.44140625" bestFit="1" customWidth="1"/>
  </cols>
  <sheetData>
    <row r="1" spans="1:38" s="43" customFormat="1" ht="30" customHeight="1">
      <c r="A1" s="1622" t="s">
        <v>245</v>
      </c>
      <c r="B1" s="1622"/>
      <c r="C1" s="1622"/>
      <c r="D1" s="1622"/>
      <c r="E1" s="1622"/>
      <c r="F1" s="1622"/>
      <c r="G1" s="1622"/>
      <c r="H1" s="1622"/>
      <c r="I1" s="1622"/>
      <c r="J1"/>
      <c r="K1" s="49" t="s">
        <v>24</v>
      </c>
      <c r="L1" s="50">
        <v>46308</v>
      </c>
      <c r="M1"/>
      <c r="N1"/>
      <c r="O1"/>
      <c r="P1"/>
      <c r="Q1"/>
      <c r="R1"/>
      <c r="S1"/>
      <c r="T1"/>
      <c r="U1"/>
      <c r="V1"/>
      <c r="W1"/>
      <c r="X1"/>
      <c r="Y1"/>
      <c r="Z1"/>
      <c r="AA1"/>
      <c r="AB1"/>
      <c r="AC1"/>
      <c r="AD1"/>
      <c r="AE1"/>
      <c r="AF1"/>
      <c r="AG1"/>
      <c r="AH1"/>
      <c r="AI1"/>
      <c r="AJ1"/>
      <c r="AK1"/>
      <c r="AL1"/>
    </row>
    <row r="2" spans="1:38" s="43" customFormat="1" ht="30" customHeight="1">
      <c r="A2" s="44" t="s">
        <v>25</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36.75" customHeight="1">
      <c r="A3" s="1620" t="s">
        <v>30</v>
      </c>
      <c r="B3" s="1621"/>
      <c r="C3" s="1626" t="s">
        <v>820</v>
      </c>
      <c r="D3" s="1627"/>
      <c r="E3" s="1627"/>
      <c r="F3" s="1627"/>
      <c r="G3" s="1627"/>
      <c r="H3" s="1627"/>
      <c r="I3" s="1628"/>
    </row>
    <row r="4" spans="1:38" ht="15.6">
      <c r="A4" s="1615" t="s">
        <v>40</v>
      </c>
      <c r="B4" s="1616"/>
      <c r="C4" s="1610" t="s">
        <v>821</v>
      </c>
      <c r="D4" s="1611"/>
      <c r="E4" s="1611"/>
      <c r="F4" s="1611"/>
      <c r="G4" s="1611"/>
      <c r="H4" s="1611"/>
      <c r="I4" s="1612"/>
    </row>
    <row r="5" spans="1:38" ht="15.6">
      <c r="A5" s="1615" t="s">
        <v>49</v>
      </c>
      <c r="B5" s="1616"/>
      <c r="C5" s="1610" t="s">
        <v>246</v>
      </c>
      <c r="D5" s="1611"/>
      <c r="E5" s="1611"/>
      <c r="F5" s="1611"/>
      <c r="G5" s="1611"/>
      <c r="H5" s="1611"/>
      <c r="I5" s="1612"/>
    </row>
    <row r="6" spans="1:38" ht="15.6">
      <c r="A6" s="1615" t="s">
        <v>58</v>
      </c>
      <c r="B6" s="1616"/>
      <c r="C6" s="1610" t="s">
        <v>822</v>
      </c>
      <c r="D6" s="1611"/>
      <c r="E6" s="1611"/>
      <c r="F6" s="1611"/>
      <c r="G6" s="1611"/>
      <c r="H6" s="1611"/>
      <c r="I6" s="1612"/>
    </row>
    <row r="7" spans="1:38" ht="15.6">
      <c r="A7" s="1615" t="s">
        <v>41</v>
      </c>
      <c r="B7" s="1616"/>
      <c r="C7" s="1610" t="s">
        <v>247</v>
      </c>
      <c r="D7" s="1611"/>
      <c r="E7" s="1611"/>
      <c r="F7" s="1611"/>
      <c r="G7" s="1611"/>
      <c r="H7" s="1611"/>
      <c r="I7" s="1612"/>
    </row>
    <row r="8" spans="1:38" ht="15.6">
      <c r="A8" s="1615" t="s">
        <v>50</v>
      </c>
      <c r="B8" s="1616"/>
      <c r="C8" s="1610" t="s">
        <v>248</v>
      </c>
      <c r="D8" s="1611"/>
      <c r="E8" s="1611"/>
      <c r="F8" s="1611"/>
      <c r="G8" s="1611"/>
      <c r="H8" s="1611"/>
      <c r="I8" s="1612"/>
    </row>
    <row r="9" spans="1:38" ht="14.4" customHeight="1">
      <c r="A9" s="1613" t="s">
        <v>59</v>
      </c>
      <c r="B9" s="1614"/>
      <c r="C9" s="1623" t="s">
        <v>823</v>
      </c>
      <c r="D9" s="1624"/>
      <c r="E9" s="1624"/>
      <c r="F9" s="1624"/>
      <c r="G9" s="1624"/>
      <c r="H9" s="1624"/>
      <c r="I9" s="1625"/>
    </row>
    <row r="11" spans="1:38" ht="17.399999999999999">
      <c r="A11" s="44" t="s">
        <v>26</v>
      </c>
      <c r="B11" s="47"/>
      <c r="C11" s="47"/>
      <c r="D11" s="47"/>
      <c r="E11" s="47"/>
      <c r="F11" s="47"/>
      <c r="G11" s="47"/>
      <c r="H11" s="47"/>
      <c r="I11" s="48"/>
    </row>
    <row r="12" spans="1:38" ht="21" customHeight="1">
      <c r="A12" s="1620" t="s">
        <v>249</v>
      </c>
      <c r="B12" s="1621"/>
      <c r="C12" s="1617">
        <v>45970</v>
      </c>
      <c r="D12" s="1618"/>
      <c r="E12" s="1618"/>
      <c r="F12" s="1618"/>
      <c r="G12" s="1618"/>
      <c r="H12" s="1618"/>
      <c r="I12" s="1619"/>
      <c r="J12" s="83"/>
      <c r="N12" s="570">
        <f>+M13/N13</f>
        <v>0.59266055045871557</v>
      </c>
    </row>
    <row r="13" spans="1:38" ht="21" customHeight="1">
      <c r="A13" s="1615" t="s">
        <v>250</v>
      </c>
      <c r="B13" s="1616"/>
      <c r="C13" s="1617">
        <v>45977</v>
      </c>
      <c r="D13" s="1618"/>
      <c r="E13" s="1618"/>
      <c r="F13" s="1618"/>
      <c r="G13" s="1618"/>
      <c r="H13" s="1618"/>
      <c r="I13" s="1619"/>
      <c r="J13" s="83"/>
      <c r="M13">
        <f>+L1-C14</f>
        <v>323</v>
      </c>
      <c r="N13">
        <f>+O13-C14</f>
        <v>545</v>
      </c>
      <c r="O13" s="516">
        <v>46530</v>
      </c>
    </row>
    <row r="14" spans="1:38" ht="21" customHeight="1">
      <c r="A14" s="1615" t="s">
        <v>251</v>
      </c>
      <c r="B14" s="1616"/>
      <c r="C14" s="1617">
        <v>45985</v>
      </c>
      <c r="D14" s="1618"/>
      <c r="E14" s="1618"/>
      <c r="F14" s="1618"/>
      <c r="G14" s="1618"/>
      <c r="H14" s="1618"/>
      <c r="I14" s="1619"/>
      <c r="J14" s="83"/>
      <c r="M14">
        <f>+L1-C14</f>
        <v>323</v>
      </c>
      <c r="N14">
        <f>+O14-C14</f>
        <v>364</v>
      </c>
      <c r="O14" s="516">
        <v>46349</v>
      </c>
      <c r="P14" s="1217">
        <f>+M14/N14</f>
        <v>0.88736263736263732</v>
      </c>
    </row>
    <row r="15" spans="1:38" ht="21" customHeight="1">
      <c r="A15" s="1613" t="s">
        <v>60</v>
      </c>
      <c r="B15" s="1614"/>
      <c r="C15" s="1617">
        <v>46530</v>
      </c>
      <c r="D15" s="1618"/>
      <c r="E15" s="1618"/>
      <c r="F15" s="1618"/>
      <c r="G15" s="1618"/>
      <c r="H15" s="1618"/>
      <c r="I15" s="1619"/>
      <c r="J15" s="83"/>
      <c r="K15">
        <f>C15-C14</f>
        <v>545</v>
      </c>
      <c r="L15">
        <f>C15-L1</f>
        <v>222</v>
      </c>
      <c r="M15">
        <f>L1-C14</f>
        <v>323</v>
      </c>
      <c r="N15">
        <f>O14-C14</f>
        <v>364</v>
      </c>
      <c r="O15">
        <f>L1-C14</f>
        <v>323</v>
      </c>
    </row>
    <row r="16" spans="1:38" ht="21" customHeight="1">
      <c r="A16" s="1620" t="s">
        <v>252</v>
      </c>
      <c r="B16" s="1621"/>
      <c r="C16" s="1651">
        <f>+C12</f>
        <v>45970</v>
      </c>
      <c r="D16" s="1652"/>
      <c r="E16" s="1652"/>
      <c r="F16" s="1652"/>
      <c r="G16" s="1652"/>
      <c r="H16" s="1652"/>
      <c r="I16" s="1653"/>
      <c r="J16" s="516"/>
      <c r="L16" s="782">
        <f>L15/K15</f>
        <v>0.40733944954128443</v>
      </c>
      <c r="M16" s="782">
        <f>M15/K15</f>
        <v>0.59266055045871557</v>
      </c>
      <c r="O16" s="1217">
        <f>O15/N15</f>
        <v>0.88736263736263732</v>
      </c>
    </row>
    <row r="17" spans="1:10" ht="21" customHeight="1">
      <c r="A17" s="1615" t="s">
        <v>253</v>
      </c>
      <c r="B17" s="1616"/>
      <c r="C17" s="1651">
        <f>+C13</f>
        <v>45977</v>
      </c>
      <c r="D17" s="1652"/>
      <c r="E17" s="1652"/>
      <c r="F17" s="1652"/>
      <c r="G17" s="1652"/>
      <c r="H17" s="1652"/>
      <c r="I17" s="1653"/>
    </row>
    <row r="18" spans="1:10" ht="21" customHeight="1">
      <c r="A18" s="1615" t="s">
        <v>254</v>
      </c>
      <c r="B18" s="1616"/>
      <c r="C18" s="1651">
        <f>+C14</f>
        <v>45985</v>
      </c>
      <c r="D18" s="1652"/>
      <c r="E18" s="1652"/>
      <c r="F18" s="1652"/>
      <c r="G18" s="1652"/>
      <c r="H18" s="1652"/>
      <c r="I18" s="1653"/>
      <c r="J18" s="516"/>
    </row>
    <row r="19" spans="1:10" ht="21" customHeight="1">
      <c r="A19" s="1613" t="s">
        <v>61</v>
      </c>
      <c r="B19" s="1614"/>
      <c r="C19" s="1651">
        <f>+C15</f>
        <v>46530</v>
      </c>
      <c r="D19" s="1652"/>
      <c r="E19" s="1652"/>
      <c r="F19" s="1652"/>
      <c r="G19" s="1652"/>
      <c r="H19" s="1652"/>
      <c r="I19" s="1653"/>
      <c r="J19" s="516"/>
    </row>
    <row r="20" spans="1:10" ht="21" customHeight="1">
      <c r="A20" s="1620" t="s">
        <v>255</v>
      </c>
      <c r="B20" s="1621"/>
      <c r="C20" s="1617">
        <f>+C15</f>
        <v>46530</v>
      </c>
      <c r="D20" s="1618"/>
      <c r="E20" s="1618"/>
      <c r="F20" s="1618"/>
      <c r="G20" s="1618"/>
      <c r="H20" s="1618"/>
      <c r="I20" s="1619"/>
      <c r="J20" s="83"/>
    </row>
    <row r="21" spans="1:10" ht="21" customHeight="1">
      <c r="A21" s="1615" t="s">
        <v>256</v>
      </c>
      <c r="B21" s="1616"/>
      <c r="C21" s="1617">
        <f>+C20</f>
        <v>46530</v>
      </c>
      <c r="D21" s="1618"/>
      <c r="E21" s="1618"/>
      <c r="F21" s="1618"/>
      <c r="G21" s="1618"/>
      <c r="H21" s="1618"/>
      <c r="I21" s="1619"/>
      <c r="J21" s="83"/>
    </row>
    <row r="22" spans="1:10" ht="21" customHeight="1">
      <c r="A22" s="1615" t="s">
        <v>53</v>
      </c>
      <c r="B22" s="1616"/>
      <c r="C22" s="1617">
        <f>Milestones!E15</f>
        <v>46406</v>
      </c>
      <c r="D22" s="1618"/>
      <c r="E22" s="1618"/>
      <c r="F22" s="1618"/>
      <c r="G22" s="1618"/>
      <c r="H22" s="1618"/>
      <c r="I22" s="1619"/>
      <c r="J22" s="83"/>
    </row>
    <row r="23" spans="1:10" ht="21" customHeight="1">
      <c r="A23" s="1613" t="s">
        <v>56</v>
      </c>
      <c r="B23" s="1614"/>
      <c r="C23" s="1648">
        <f>C20-C22</f>
        <v>124</v>
      </c>
      <c r="D23" s="1649"/>
      <c r="E23" s="1649"/>
      <c r="F23" s="1649"/>
      <c r="G23" s="1649"/>
      <c r="H23" s="1649"/>
      <c r="I23" s="1650"/>
    </row>
    <row r="24" spans="1:10" ht="15" thickBot="1"/>
    <row r="25" spans="1:10" ht="54" customHeight="1" thickBot="1">
      <c r="A25" s="1629" t="s">
        <v>257</v>
      </c>
      <c r="B25" s="1630"/>
      <c r="C25" s="194" t="s">
        <v>258</v>
      </c>
      <c r="D25" s="195" t="s">
        <v>259</v>
      </c>
    </row>
    <row r="26" spans="1:10" ht="15" thickBot="1">
      <c r="A26" s="1634" t="s">
        <v>260</v>
      </c>
      <c r="B26" s="1635"/>
      <c r="C26" s="678">
        <v>45999</v>
      </c>
      <c r="D26" s="1631">
        <f>C26-C14</f>
        <v>14</v>
      </c>
    </row>
    <row r="27" spans="1:10" ht="15" thickBot="1">
      <c r="A27" s="1636" t="s">
        <v>261</v>
      </c>
      <c r="B27" s="1637"/>
      <c r="C27" s="678">
        <v>46039</v>
      </c>
      <c r="D27" s="1632"/>
    </row>
    <row r="28" spans="1:10" ht="15" thickBot="1">
      <c r="A28" s="1638" t="s">
        <v>262</v>
      </c>
      <c r="B28" s="1639"/>
      <c r="C28" s="1083">
        <v>1</v>
      </c>
      <c r="D28" s="1633"/>
    </row>
    <row r="29" spans="1:10" ht="15" thickBot="1">
      <c r="C29" s="5"/>
      <c r="H29" s="5"/>
    </row>
    <row r="30" spans="1:10" ht="15" thickBot="1">
      <c r="A30" s="1634" t="s">
        <v>263</v>
      </c>
      <c r="B30" s="1635"/>
      <c r="C30" s="678">
        <v>46007</v>
      </c>
      <c r="D30" s="1631">
        <f>C30-C14</f>
        <v>22</v>
      </c>
    </row>
    <row r="31" spans="1:10" ht="15" thickBot="1">
      <c r="A31" s="1636" t="s">
        <v>264</v>
      </c>
      <c r="B31" s="1637"/>
      <c r="C31" s="678">
        <v>46019</v>
      </c>
      <c r="D31" s="1632"/>
    </row>
    <row r="32" spans="1:10" ht="15" thickBot="1">
      <c r="A32" s="1638" t="s">
        <v>265</v>
      </c>
      <c r="B32" s="1639"/>
      <c r="C32" s="1083">
        <v>1</v>
      </c>
      <c r="D32" s="1633"/>
    </row>
    <row r="33" spans="1:4" ht="15" thickBot="1">
      <c r="C33" s="5"/>
    </row>
    <row r="34" spans="1:4" ht="15" thickBot="1">
      <c r="A34" s="1634" t="s">
        <v>266</v>
      </c>
      <c r="B34" s="1635"/>
      <c r="C34" s="678">
        <v>46026</v>
      </c>
      <c r="D34" s="1631">
        <f>C34-C14</f>
        <v>41</v>
      </c>
    </row>
    <row r="35" spans="1:4" ht="15" thickBot="1">
      <c r="A35" s="1636" t="s">
        <v>267</v>
      </c>
      <c r="B35" s="1637"/>
      <c r="C35" s="678">
        <v>46027</v>
      </c>
      <c r="D35" s="1632"/>
    </row>
    <row r="36" spans="1:4" ht="15" thickBot="1">
      <c r="A36" s="1638" t="s">
        <v>268</v>
      </c>
      <c r="B36" s="1639"/>
      <c r="C36" s="1083">
        <v>1</v>
      </c>
      <c r="D36" s="1633"/>
    </row>
    <row r="37" spans="1:4" ht="15" thickBot="1">
      <c r="A37" s="680"/>
      <c r="B37" s="681"/>
      <c r="C37" s="682"/>
      <c r="D37" s="193"/>
    </row>
    <row r="38" spans="1:4" ht="15" thickBot="1">
      <c r="A38" s="1634" t="s">
        <v>269</v>
      </c>
      <c r="B38" s="1635"/>
      <c r="C38" s="678">
        <v>46012</v>
      </c>
      <c r="D38" s="1631">
        <f>C38-C14</f>
        <v>27</v>
      </c>
    </row>
    <row r="39" spans="1:4" ht="15" thickBot="1">
      <c r="A39" s="1636" t="s">
        <v>270</v>
      </c>
      <c r="B39" s="1637"/>
      <c r="C39" s="678">
        <v>46012</v>
      </c>
      <c r="D39" s="1632"/>
    </row>
    <row r="40" spans="1:4" ht="15" thickBot="1">
      <c r="A40" s="1636" t="s">
        <v>271</v>
      </c>
      <c r="B40" s="1637"/>
      <c r="C40" s="683">
        <v>1</v>
      </c>
      <c r="D40" s="1632"/>
    </row>
    <row r="41" spans="1:4" ht="15" thickBot="1">
      <c r="A41" s="1638" t="s">
        <v>272</v>
      </c>
      <c r="B41" s="1639"/>
      <c r="C41" s="679">
        <f>C39</f>
        <v>46012</v>
      </c>
      <c r="D41" s="1633"/>
    </row>
    <row r="42" spans="1:4" ht="15" thickBot="1">
      <c r="C42" s="5"/>
    </row>
    <row r="43" spans="1:4" ht="15" thickBot="1">
      <c r="A43" s="1640" t="s">
        <v>273</v>
      </c>
      <c r="B43" s="1641"/>
      <c r="C43" s="678">
        <v>45985</v>
      </c>
      <c r="D43" s="1631">
        <f>C43-C14</f>
        <v>0</v>
      </c>
    </row>
    <row r="44" spans="1:4" ht="15" thickBot="1">
      <c r="A44" s="1636" t="s">
        <v>274</v>
      </c>
      <c r="B44" s="1642"/>
      <c r="C44" s="678">
        <v>45985</v>
      </c>
      <c r="D44" s="1632"/>
    </row>
    <row r="45" spans="1:4" ht="15" thickBot="1">
      <c r="A45" s="1643" t="s">
        <v>275</v>
      </c>
      <c r="B45" s="1644"/>
      <c r="C45" s="683">
        <v>1</v>
      </c>
      <c r="D45" s="1633"/>
    </row>
    <row r="46" spans="1:4" ht="15" thickBot="1">
      <c r="C46" s="5"/>
    </row>
    <row r="47" spans="1:4" ht="15" thickBot="1">
      <c r="A47" s="1645" t="s">
        <v>1113</v>
      </c>
      <c r="B47" s="1646"/>
      <c r="C47" s="678">
        <v>46026</v>
      </c>
      <c r="D47" s="1631">
        <f>C47-C14</f>
        <v>41</v>
      </c>
    </row>
    <row r="48" spans="1:4" ht="15" thickBot="1">
      <c r="A48" s="1638" t="s">
        <v>1139</v>
      </c>
      <c r="B48" s="1647"/>
      <c r="C48" s="684">
        <v>46034</v>
      </c>
      <c r="D48" s="1633"/>
    </row>
  </sheetData>
  <mergeCells count="64">
    <mergeCell ref="C23:I23"/>
    <mergeCell ref="C19:I19"/>
    <mergeCell ref="C20:I20"/>
    <mergeCell ref="C15:I15"/>
    <mergeCell ref="C16:I16"/>
    <mergeCell ref="C17:I17"/>
    <mergeCell ref="C18:I18"/>
    <mergeCell ref="D43:D45"/>
    <mergeCell ref="D47:D48"/>
    <mergeCell ref="A43:B43"/>
    <mergeCell ref="A44:B44"/>
    <mergeCell ref="A45:B45"/>
    <mergeCell ref="A47:B47"/>
    <mergeCell ref="A48:B48"/>
    <mergeCell ref="D38:D41"/>
    <mergeCell ref="A38:B38"/>
    <mergeCell ref="A39:B39"/>
    <mergeCell ref="A40:B40"/>
    <mergeCell ref="A41:B41"/>
    <mergeCell ref="D30:D32"/>
    <mergeCell ref="D34:D36"/>
    <mergeCell ref="A30:B30"/>
    <mergeCell ref="A31:B31"/>
    <mergeCell ref="A32:B32"/>
    <mergeCell ref="A34:B34"/>
    <mergeCell ref="A35:B35"/>
    <mergeCell ref="A36:B36"/>
    <mergeCell ref="A25:B25"/>
    <mergeCell ref="D26:D28"/>
    <mergeCell ref="A26:B26"/>
    <mergeCell ref="A27:B27"/>
    <mergeCell ref="A28:B28"/>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tabSelected="1" zoomScale="70" zoomScaleNormal="70" workbookViewId="0">
      <selection activeCell="X7" sqref="X7"/>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512" customFormat="1" ht="32.25" customHeight="1">
      <c r="B1" s="537" t="s">
        <v>284</v>
      </c>
      <c r="C1" s="1656">
        <f>'Weekly Progress Report'!AG1</f>
        <v>46308</v>
      </c>
      <c r="D1" s="1656"/>
    </row>
    <row r="2" spans="2:20" ht="27.6" customHeight="1"/>
    <row r="4" spans="2:20" s="431" customFormat="1" ht="33.75" customHeight="1" thickBot="1">
      <c r="B4" s="1654" t="s">
        <v>1378</v>
      </c>
      <c r="C4" s="1655"/>
      <c r="D4" s="1655"/>
      <c r="E4" s="1655"/>
      <c r="F4" s="1655"/>
      <c r="G4" s="1655"/>
      <c r="H4" s="1655"/>
      <c r="I4" s="1655"/>
      <c r="J4" s="1655"/>
      <c r="L4" s="1654" t="s">
        <v>1276</v>
      </c>
      <c r="M4" s="1655"/>
      <c r="N4" s="1655"/>
      <c r="O4" s="1655"/>
      <c r="P4" s="1655"/>
      <c r="Q4" s="1655"/>
      <c r="R4" s="1655"/>
      <c r="S4" s="1655"/>
      <c r="T4" s="1655"/>
    </row>
    <row r="5" spans="2:20">
      <c r="B5" s="94"/>
      <c r="C5" s="95"/>
      <c r="D5" s="95"/>
      <c r="E5" s="95"/>
      <c r="F5" s="95"/>
      <c r="G5" s="95"/>
      <c r="H5" s="95"/>
      <c r="I5" s="95"/>
      <c r="J5" s="96"/>
      <c r="L5" s="94"/>
      <c r="M5" s="95"/>
      <c r="N5" s="95"/>
      <c r="O5" s="95"/>
      <c r="P5" s="95"/>
      <c r="Q5" s="95"/>
      <c r="R5" s="95"/>
      <c r="S5" s="95"/>
      <c r="T5" s="96"/>
    </row>
    <row r="6" spans="2:20">
      <c r="B6" s="97"/>
      <c r="J6" s="98"/>
      <c r="L6" s="97"/>
      <c r="T6" s="98"/>
    </row>
    <row r="7" spans="2:20">
      <c r="B7" s="97"/>
      <c r="J7" s="98"/>
      <c r="L7" s="97"/>
      <c r="T7" s="98"/>
    </row>
    <row r="8" spans="2:20">
      <c r="B8" s="97"/>
      <c r="J8" s="98"/>
      <c r="L8" s="97"/>
      <c r="T8" s="98"/>
    </row>
    <row r="9" spans="2:20">
      <c r="B9" s="97"/>
      <c r="J9" s="98"/>
      <c r="L9" s="97"/>
      <c r="T9" s="98"/>
    </row>
    <row r="10" spans="2:20">
      <c r="B10" s="97"/>
      <c r="J10" s="98"/>
      <c r="L10" s="97"/>
      <c r="T10" s="98"/>
    </row>
    <row r="11" spans="2:20">
      <c r="B11" s="97"/>
      <c r="J11" s="98"/>
      <c r="L11" s="97"/>
      <c r="T11" s="98"/>
    </row>
    <row r="12" spans="2:20">
      <c r="B12" s="97"/>
      <c r="J12" s="98"/>
      <c r="L12" s="97"/>
      <c r="T12" s="98"/>
    </row>
    <row r="13" spans="2:20">
      <c r="B13" s="97"/>
      <c r="J13" s="98"/>
      <c r="L13" s="97"/>
      <c r="T13" s="98"/>
    </row>
    <row r="14" spans="2:20">
      <c r="B14" s="97"/>
      <c r="J14" s="98"/>
      <c r="L14" s="97"/>
      <c r="T14" s="98"/>
    </row>
    <row r="15" spans="2:20">
      <c r="B15" s="97"/>
      <c r="J15" s="98"/>
      <c r="L15" s="97"/>
      <c r="T15" s="98"/>
    </row>
    <row r="16" spans="2:20">
      <c r="B16" s="97"/>
      <c r="J16" s="98"/>
      <c r="L16" s="97"/>
      <c r="T16" s="98"/>
    </row>
    <row r="17" spans="2:33">
      <c r="B17" s="97"/>
      <c r="J17" s="98"/>
      <c r="L17" s="97"/>
      <c r="T17" s="98"/>
    </row>
    <row r="18" spans="2:33">
      <c r="B18" s="97"/>
      <c r="J18" s="98"/>
      <c r="L18" s="97"/>
      <c r="T18" s="98"/>
    </row>
    <row r="19" spans="2:33">
      <c r="B19" s="97"/>
      <c r="J19" s="98"/>
      <c r="L19" s="97"/>
      <c r="T19" s="98"/>
    </row>
    <row r="20" spans="2:33">
      <c r="B20" s="97"/>
      <c r="J20" s="98"/>
      <c r="L20" s="97"/>
      <c r="T20" s="98"/>
    </row>
    <row r="21" spans="2:33" ht="15" thickBot="1">
      <c r="B21" s="141"/>
      <c r="C21" s="142"/>
      <c r="D21" s="142"/>
      <c r="E21" s="142"/>
      <c r="F21" s="142"/>
      <c r="G21" s="142"/>
      <c r="H21" s="142"/>
      <c r="I21" s="142"/>
      <c r="J21" s="143"/>
      <c r="L21" s="141"/>
      <c r="M21" s="142"/>
      <c r="N21" s="142"/>
      <c r="O21" s="142"/>
      <c r="P21" s="142"/>
      <c r="Q21" s="142"/>
      <c r="R21" s="142"/>
      <c r="S21" s="142"/>
      <c r="T21" s="143"/>
    </row>
    <row r="23" spans="2:33" s="431" customFormat="1" ht="33.75" customHeight="1" thickBot="1">
      <c r="B23" s="1654" t="s">
        <v>1380</v>
      </c>
      <c r="C23" s="1655"/>
      <c r="D23" s="1655"/>
      <c r="E23" s="1655"/>
      <c r="F23" s="1655"/>
      <c r="G23" s="1655"/>
      <c r="H23" s="1655"/>
      <c r="I23" s="1655"/>
      <c r="J23" s="1655"/>
      <c r="L23" s="1654" t="s">
        <v>1379</v>
      </c>
      <c r="M23" s="1655"/>
      <c r="N23" s="1655"/>
      <c r="O23" s="1655"/>
      <c r="P23" s="1655"/>
      <c r="Q23" s="1655"/>
      <c r="R23" s="1655"/>
      <c r="S23" s="1655"/>
      <c r="T23" s="1655"/>
      <c r="V23"/>
      <c r="W23"/>
      <c r="X23"/>
      <c r="Y23"/>
      <c r="Z23"/>
      <c r="AA23"/>
      <c r="AB23"/>
      <c r="AC23"/>
      <c r="AD23"/>
      <c r="AE23"/>
      <c r="AG23"/>
    </row>
    <row r="24" spans="2:33">
      <c r="B24" s="94"/>
      <c r="C24" s="95"/>
      <c r="D24" s="95"/>
      <c r="E24" s="95"/>
      <c r="F24" s="95"/>
      <c r="G24" s="95"/>
      <c r="H24" s="95"/>
      <c r="I24" s="95"/>
      <c r="J24" s="96"/>
      <c r="L24" s="94"/>
      <c r="M24" s="95"/>
      <c r="N24" s="95"/>
      <c r="O24" s="95"/>
      <c r="P24" s="95"/>
      <c r="Q24" s="95"/>
      <c r="R24" s="95"/>
      <c r="S24" s="95"/>
      <c r="T24" s="96"/>
    </row>
    <row r="25" spans="2:33">
      <c r="B25" s="97"/>
      <c r="J25" s="98"/>
      <c r="T25" s="98"/>
    </row>
    <row r="26" spans="2:33">
      <c r="B26" s="97"/>
      <c r="J26" s="98"/>
      <c r="L26" s="97"/>
      <c r="T26" s="98"/>
    </row>
    <row r="27" spans="2:33">
      <c r="B27" s="97"/>
      <c r="J27" s="98"/>
      <c r="L27" s="97"/>
      <c r="T27" s="98"/>
    </row>
    <row r="28" spans="2:33">
      <c r="B28" s="97"/>
      <c r="J28" s="98"/>
      <c r="L28" s="97"/>
      <c r="T28" s="98"/>
    </row>
    <row r="29" spans="2:33">
      <c r="B29" s="97"/>
      <c r="J29" s="98"/>
      <c r="L29" s="97"/>
      <c r="T29" s="98"/>
    </row>
    <row r="30" spans="2:33">
      <c r="B30" s="97"/>
      <c r="J30" s="98"/>
      <c r="L30" s="97"/>
      <c r="T30" s="98"/>
    </row>
    <row r="31" spans="2:33">
      <c r="B31" s="97"/>
      <c r="J31" s="98"/>
      <c r="L31" s="97"/>
      <c r="T31" s="98"/>
    </row>
    <row r="32" spans="2:33">
      <c r="B32" s="97"/>
      <c r="J32" s="98"/>
      <c r="L32" s="97"/>
      <c r="T32" s="98"/>
    </row>
    <row r="33" spans="2:20">
      <c r="B33" s="97"/>
      <c r="J33" s="98"/>
      <c r="L33" s="97"/>
      <c r="T33" s="98"/>
    </row>
    <row r="34" spans="2:20">
      <c r="B34" s="97"/>
      <c r="J34" s="98"/>
      <c r="L34" s="97"/>
      <c r="T34" s="98"/>
    </row>
    <row r="35" spans="2:20">
      <c r="B35" s="97"/>
      <c r="J35" s="98"/>
      <c r="L35" s="97"/>
      <c r="T35" s="98"/>
    </row>
    <row r="36" spans="2:20">
      <c r="B36" s="97"/>
      <c r="J36" s="98"/>
      <c r="L36" s="97"/>
      <c r="T36" s="98"/>
    </row>
    <row r="37" spans="2:20">
      <c r="B37" s="97"/>
      <c r="J37" s="98"/>
      <c r="L37" s="97"/>
      <c r="T37" s="98"/>
    </row>
    <row r="38" spans="2:20">
      <c r="B38" s="97"/>
      <c r="J38" s="98"/>
      <c r="L38" s="97"/>
      <c r="T38" s="98"/>
    </row>
    <row r="39" spans="2:20">
      <c r="B39" s="97"/>
      <c r="J39" s="98"/>
      <c r="L39" s="97"/>
      <c r="T39" s="98"/>
    </row>
    <row r="40" spans="2:20" ht="15" thickBot="1">
      <c r="B40" s="141"/>
      <c r="C40" s="142"/>
      <c r="D40" s="142"/>
      <c r="E40" s="142"/>
      <c r="F40" s="142"/>
      <c r="G40" s="142"/>
      <c r="H40" s="142"/>
      <c r="I40" s="142"/>
      <c r="J40" s="143"/>
      <c r="L40" s="141"/>
      <c r="M40" s="142"/>
      <c r="N40" s="142"/>
      <c r="O40" s="142"/>
      <c r="P40" s="142"/>
      <c r="Q40" s="142"/>
      <c r="R40" s="142"/>
      <c r="S40" s="142"/>
      <c r="T40" s="14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55" zoomScaleNormal="55" zoomScaleSheetLayoutView="50" workbookViewId="0">
      <selection activeCell="B2" sqref="B2:AD53"/>
    </sheetView>
  </sheetViews>
  <sheetFormatPr defaultColWidth="9.109375" defaultRowHeight="13.2"/>
  <cols>
    <col min="1" max="1" width="1.6640625" style="144" customWidth="1"/>
    <col min="2" max="9" width="3.88671875" style="144" customWidth="1"/>
    <col min="10" max="10" width="2.109375" style="144" customWidth="1"/>
    <col min="11" max="15" width="4.33203125" style="144" customWidth="1"/>
    <col min="16" max="16" width="2.44140625" style="144" customWidth="1"/>
    <col min="17" max="25" width="3.88671875" style="144" customWidth="1"/>
    <col min="26" max="28" width="4.33203125" style="144" customWidth="1"/>
    <col min="29" max="29" width="4.44140625" style="144" bestFit="1" customWidth="1"/>
    <col min="30" max="30" width="4.33203125" style="144" customWidth="1"/>
    <col min="31" max="31" width="3.44140625" style="145" customWidth="1"/>
    <col min="32" max="32" width="7.33203125" style="145" bestFit="1" customWidth="1"/>
    <col min="33" max="33" width="2.33203125" style="145" bestFit="1" customWidth="1"/>
    <col min="34" max="38" width="3.44140625" style="145" hidden="1" customWidth="1"/>
    <col min="39" max="39" width="2.6640625" style="145" bestFit="1" customWidth="1"/>
    <col min="40" max="40" width="4" style="144" bestFit="1" customWidth="1"/>
    <col min="41" max="41" width="7.33203125" style="144" bestFit="1" customWidth="1"/>
    <col min="42" max="42" width="14.6640625" style="144" bestFit="1" customWidth="1"/>
    <col min="43" max="43" width="1.88671875" style="144" bestFit="1" customWidth="1"/>
    <col min="44" max="47" width="9.109375" style="144" hidden="1" customWidth="1"/>
    <col min="48" max="48" width="19.88671875" style="144" bestFit="1" customWidth="1"/>
    <col min="49" max="49" width="8.33203125" style="144" bestFit="1" customWidth="1"/>
    <col min="50" max="50" width="20.5546875" style="144" bestFit="1" customWidth="1"/>
    <col min="51" max="51" width="11.33203125" style="144" bestFit="1" customWidth="1"/>
    <col min="52" max="52" width="1.88671875" style="144" hidden="1" customWidth="1"/>
    <col min="53" max="53" width="9.109375" style="144"/>
    <col min="54" max="54" width="11.33203125" style="144" bestFit="1" customWidth="1"/>
    <col min="55" max="55" width="37.5546875" style="144" bestFit="1" customWidth="1"/>
    <col min="56" max="62" width="9.109375" style="144"/>
    <col min="63" max="63" width="9.109375" style="144" customWidth="1"/>
    <col min="64" max="67" width="9.109375" style="144"/>
    <col min="68" max="68" width="0" style="144" hidden="1" customWidth="1"/>
    <col min="69" max="16384" width="9.109375" style="144"/>
  </cols>
  <sheetData>
    <row r="1" spans="2:72" ht="7.2" customHeight="1" thickBot="1"/>
    <row r="2" spans="2:72" ht="13.95" customHeight="1">
      <c r="B2" s="1657" t="s">
        <v>285</v>
      </c>
      <c r="C2" s="1658"/>
      <c r="D2" s="1659"/>
      <c r="E2" s="1659"/>
      <c r="F2" s="1659"/>
      <c r="G2" s="1659"/>
      <c r="H2" s="1659"/>
      <c r="I2" s="1659"/>
      <c r="J2" s="1659"/>
      <c r="K2" s="1659"/>
      <c r="L2" s="1659"/>
      <c r="M2" s="1660"/>
      <c r="N2" s="1660"/>
      <c r="O2" s="1660"/>
      <c r="P2" s="1660"/>
      <c r="Q2" s="1660"/>
      <c r="R2" s="1660"/>
      <c r="S2" s="1660"/>
      <c r="T2" s="1660"/>
      <c r="U2" s="1660"/>
      <c r="V2" s="1660"/>
      <c r="W2" s="1660"/>
      <c r="X2" s="1660"/>
      <c r="Y2" s="1660"/>
      <c r="Z2" s="1660"/>
      <c r="AA2" s="1660"/>
      <c r="AB2" s="1660"/>
      <c r="AC2" s="1660"/>
      <c r="AD2" s="1661"/>
      <c r="AE2" s="144"/>
      <c r="AF2" s="144"/>
      <c r="AG2" s="144"/>
      <c r="AH2" s="144"/>
      <c r="AI2" s="144"/>
      <c r="AJ2" s="144"/>
      <c r="AK2" s="144"/>
      <c r="AL2" s="144"/>
      <c r="AM2" s="144"/>
    </row>
    <row r="3" spans="2:72" ht="13.95" customHeight="1">
      <c r="B3" s="1662"/>
      <c r="C3" s="1663"/>
      <c r="D3" s="1663"/>
      <c r="E3" s="1663"/>
      <c r="F3" s="1663"/>
      <c r="G3" s="1663"/>
      <c r="H3" s="1663"/>
      <c r="I3" s="1663"/>
      <c r="J3" s="1663"/>
      <c r="K3" s="1663"/>
      <c r="L3" s="1663"/>
      <c r="M3" s="1664"/>
      <c r="N3" s="1664"/>
      <c r="O3" s="1664"/>
      <c r="P3" s="1664"/>
      <c r="Q3" s="1664"/>
      <c r="R3" s="1664"/>
      <c r="S3" s="1664"/>
      <c r="T3" s="1664"/>
      <c r="U3" s="1664"/>
      <c r="V3" s="1664"/>
      <c r="W3" s="1664"/>
      <c r="X3" s="1664"/>
      <c r="Y3" s="1664"/>
      <c r="Z3" s="1664"/>
      <c r="AA3" s="1664"/>
      <c r="AB3" s="1664"/>
      <c r="AC3" s="1664"/>
      <c r="AD3" s="1665"/>
      <c r="AE3" s="144"/>
      <c r="AF3" s="144"/>
      <c r="AG3" s="144"/>
      <c r="AH3" s="144"/>
      <c r="AI3" s="144"/>
      <c r="AJ3" s="144"/>
      <c r="AK3" s="144"/>
      <c r="AL3" s="144"/>
      <c r="AM3" s="144"/>
    </row>
    <row r="4" spans="2:72" ht="14.4" customHeight="1" thickBot="1">
      <c r="B4" s="1666"/>
      <c r="C4" s="1667"/>
      <c r="D4" s="1667"/>
      <c r="E4" s="1667"/>
      <c r="F4" s="1667"/>
      <c r="G4" s="1667"/>
      <c r="H4" s="1667"/>
      <c r="I4" s="1667"/>
      <c r="J4" s="1667"/>
      <c r="K4" s="1667"/>
      <c r="L4" s="1667"/>
      <c r="M4" s="1668"/>
      <c r="N4" s="1668"/>
      <c r="O4" s="1668"/>
      <c r="P4" s="1668"/>
      <c r="Q4" s="1668"/>
      <c r="R4" s="1668"/>
      <c r="S4" s="1668"/>
      <c r="T4" s="1668"/>
      <c r="U4" s="1668"/>
      <c r="V4" s="1668"/>
      <c r="W4" s="1668"/>
      <c r="X4" s="1668"/>
      <c r="Y4" s="1668"/>
      <c r="Z4" s="1668"/>
      <c r="AA4" s="1668"/>
      <c r="AB4" s="1668"/>
      <c r="AC4" s="1668"/>
      <c r="AD4" s="1669"/>
      <c r="AE4" s="144"/>
      <c r="AF4" s="144"/>
      <c r="AG4" s="144"/>
      <c r="AH4" s="144"/>
      <c r="AI4" s="144"/>
      <c r="AJ4" s="144"/>
      <c r="AK4" s="144"/>
      <c r="AL4" s="144"/>
      <c r="AM4" s="144"/>
      <c r="BB4" s="580">
        <f>'General Information'!C14</f>
        <v>45985</v>
      </c>
    </row>
    <row r="5" spans="2:72" ht="5.0999999999999996" customHeight="1" thickBot="1">
      <c r="B5" s="1670"/>
      <c r="C5" s="1670"/>
      <c r="D5" s="1670"/>
      <c r="E5" s="1670"/>
      <c r="F5" s="1670"/>
      <c r="G5" s="1670"/>
      <c r="H5" s="1670"/>
      <c r="I5" s="1670"/>
      <c r="J5" s="1670"/>
      <c r="K5" s="1670"/>
      <c r="L5" s="1670"/>
      <c r="M5" s="1670"/>
      <c r="N5" s="1670"/>
      <c r="O5" s="1670"/>
      <c r="P5" s="1670"/>
      <c r="Q5" s="1670"/>
      <c r="R5" s="1670"/>
      <c r="S5" s="1670"/>
      <c r="T5" s="1670"/>
      <c r="U5" s="1670"/>
      <c r="V5" s="1670"/>
      <c r="W5" s="1670"/>
      <c r="X5" s="1670"/>
      <c r="Y5" s="1670"/>
      <c r="Z5" s="1670"/>
      <c r="AA5" s="1670"/>
      <c r="AB5" s="1670"/>
      <c r="AC5" s="1670"/>
      <c r="AD5" s="1670"/>
      <c r="AE5" s="144"/>
      <c r="AF5" s="144"/>
      <c r="AG5" s="144"/>
      <c r="AH5" s="144"/>
      <c r="AI5" s="144"/>
      <c r="AJ5" s="144"/>
      <c r="AK5" s="144"/>
      <c r="AL5" s="144"/>
      <c r="AM5" s="144"/>
    </row>
    <row r="6" spans="2:72" ht="35.1" customHeight="1" thickBot="1">
      <c r="B6" s="1671" t="s">
        <v>286</v>
      </c>
      <c r="C6" s="1672"/>
      <c r="D6" s="1673"/>
      <c r="E6" s="1674" t="str">
        <f>'General Information'!C4</f>
        <v>JHD4-02-007</v>
      </c>
      <c r="F6" s="1675"/>
      <c r="G6" s="1675"/>
      <c r="H6" s="1675"/>
      <c r="I6" s="1675"/>
      <c r="J6" s="1676"/>
      <c r="K6" s="1671" t="s">
        <v>287</v>
      </c>
      <c r="L6" s="1672"/>
      <c r="M6" s="1672"/>
      <c r="N6" s="1673"/>
      <c r="O6" s="1677">
        <f>ROUNDDOWN(((X6-BB4)/7)+1,0)</f>
        <v>47</v>
      </c>
      <c r="P6" s="1678"/>
      <c r="Q6" s="1678"/>
      <c r="R6" s="1678"/>
      <c r="S6" s="1678"/>
      <c r="T6" s="1679"/>
      <c r="U6" s="1671" t="s">
        <v>288</v>
      </c>
      <c r="V6" s="1672"/>
      <c r="W6" s="1673"/>
      <c r="X6" s="1680">
        <f>'General Information'!L1</f>
        <v>46308</v>
      </c>
      <c r="Y6" s="1681"/>
      <c r="Z6" s="1681"/>
      <c r="AA6" s="1681"/>
      <c r="AB6" s="1681"/>
      <c r="AC6" s="1681"/>
      <c r="AD6" s="1682"/>
    </row>
    <row r="7" spans="2:72" ht="5.0999999999999996" customHeight="1" thickBot="1">
      <c r="B7" s="1703"/>
      <c r="C7" s="1703"/>
      <c r="D7" s="1703"/>
      <c r="E7" s="1703"/>
      <c r="F7" s="1703"/>
      <c r="G7" s="1703"/>
      <c r="H7" s="1703"/>
      <c r="I7" s="1703"/>
      <c r="J7" s="1703"/>
      <c r="K7" s="1703"/>
      <c r="L7" s="1703"/>
      <c r="M7" s="1703"/>
      <c r="N7" s="1703"/>
      <c r="O7" s="1703"/>
      <c r="P7" s="1703"/>
      <c r="Q7" s="1703"/>
      <c r="R7" s="1703"/>
      <c r="S7" s="1703"/>
      <c r="T7" s="1703"/>
      <c r="U7" s="1703"/>
      <c r="V7" s="1703"/>
      <c r="W7" s="1703"/>
      <c r="X7" s="1703"/>
      <c r="Y7" s="1703"/>
      <c r="Z7" s="1703"/>
      <c r="AA7" s="1703"/>
      <c r="AB7" s="1703"/>
      <c r="AC7" s="1703"/>
      <c r="AD7" s="1703"/>
    </row>
    <row r="8" spans="2:72" ht="35.1" customHeight="1" thickBot="1">
      <c r="B8" s="1704" t="s">
        <v>289</v>
      </c>
      <c r="C8" s="1705"/>
      <c r="D8" s="1706"/>
      <c r="E8" s="1707" t="str">
        <f>'General Information'!C3</f>
        <v>LAND DEVELOPMENT OF JEDDAH OASIS</v>
      </c>
      <c r="F8" s="1708"/>
      <c r="G8" s="1708"/>
      <c r="H8" s="1708"/>
      <c r="I8" s="1708"/>
      <c r="J8" s="1708"/>
      <c r="K8" s="1708"/>
      <c r="L8" s="1708"/>
      <c r="M8" s="1708"/>
      <c r="N8" s="1709"/>
      <c r="O8" s="1671" t="s">
        <v>290</v>
      </c>
      <c r="P8" s="1672"/>
      <c r="Q8" s="1672"/>
      <c r="R8" s="1672"/>
      <c r="S8" s="1672"/>
      <c r="T8" s="1673"/>
      <c r="U8" s="1707" t="str">
        <f>'General Information'!C5&amp;" "&amp;'General Information'!C6</f>
        <v>AL-ENJAZ TRADING AND CONTRACTING COMPANY SAUDI ARABIA CONSULTING ENGINEERING COMPANY "EGIS"</v>
      </c>
      <c r="V8" s="1708"/>
      <c r="W8" s="1708"/>
      <c r="X8" s="1708"/>
      <c r="Y8" s="1708"/>
      <c r="Z8" s="1708"/>
      <c r="AA8" s="1708"/>
      <c r="AB8" s="1708"/>
      <c r="AC8" s="1708"/>
      <c r="AD8" s="1709"/>
    </row>
    <row r="9" spans="2:72" ht="5.0999999999999996" customHeight="1" thickBot="1">
      <c r="B9" s="1710"/>
      <c r="C9" s="1710"/>
      <c r="D9" s="1711"/>
      <c r="E9" s="1711"/>
      <c r="F9" s="1711"/>
      <c r="G9" s="1711"/>
      <c r="H9" s="1711"/>
      <c r="I9" s="1711"/>
      <c r="J9" s="1711"/>
      <c r="K9" s="1711"/>
      <c r="L9" s="1711"/>
      <c r="M9" s="1711"/>
      <c r="N9" s="1711"/>
      <c r="O9" s="1711"/>
      <c r="P9" s="1711"/>
      <c r="Q9" s="1711"/>
      <c r="R9" s="1711"/>
      <c r="S9" s="1711"/>
      <c r="T9" s="1711"/>
      <c r="U9" s="1711"/>
      <c r="V9" s="1711"/>
      <c r="W9" s="1711"/>
      <c r="X9" s="1711"/>
      <c r="Y9" s="1711"/>
      <c r="Z9" s="1710"/>
      <c r="AA9" s="1710"/>
      <c r="AB9" s="1710"/>
      <c r="AC9" s="1710"/>
      <c r="AD9" s="1710"/>
    </row>
    <row r="10" spans="2:72" ht="20.100000000000001" customHeight="1">
      <c r="B10" s="1683">
        <v>4</v>
      </c>
      <c r="C10" s="1684"/>
      <c r="D10" s="1685" t="s">
        <v>291</v>
      </c>
      <c r="E10" s="1686"/>
      <c r="F10" s="1687"/>
      <c r="G10" s="1688" t="s">
        <v>292</v>
      </c>
      <c r="H10" s="1689"/>
      <c r="I10" s="1689"/>
      <c r="J10" s="1689"/>
      <c r="K10" s="1689"/>
      <c r="L10" s="1689"/>
      <c r="M10" s="1689"/>
      <c r="N10" s="1689"/>
      <c r="O10" s="1689"/>
      <c r="P10" s="1689"/>
      <c r="Q10" s="1689"/>
      <c r="R10" s="1689"/>
      <c r="S10" s="1689"/>
      <c r="T10" s="1689"/>
      <c r="U10" s="1689"/>
      <c r="V10" s="1689"/>
      <c r="W10" s="1689"/>
      <c r="X10" s="1689"/>
      <c r="Y10" s="1690"/>
      <c r="Z10" s="1691" t="s">
        <v>293</v>
      </c>
      <c r="AA10" s="1692"/>
      <c r="AB10" s="1734" t="s">
        <v>294</v>
      </c>
      <c r="AC10" s="1737">
        <f>Q49</f>
        <v>0.85303793103448289</v>
      </c>
      <c r="AD10" s="1738"/>
      <c r="AE10" s="144"/>
      <c r="AF10" s="144"/>
      <c r="AG10" s="144"/>
      <c r="AH10" s="144"/>
      <c r="AI10" s="144"/>
      <c r="AJ10" s="144"/>
      <c r="AK10" s="144"/>
      <c r="AL10" s="144"/>
      <c r="AN10" s="146">
        <f>SUM(Z10:Z13)</f>
        <v>0</v>
      </c>
      <c r="AO10" s="144">
        <v>100</v>
      </c>
      <c r="AP10" s="144">
        <v>0.2288329519450801</v>
      </c>
    </row>
    <row r="11" spans="2:72" ht="20.100000000000001" customHeight="1">
      <c r="B11" s="1693">
        <v>3</v>
      </c>
      <c r="C11" s="1694"/>
      <c r="D11" s="1695" t="s">
        <v>295</v>
      </c>
      <c r="E11" s="1696"/>
      <c r="F11" s="1697"/>
      <c r="G11" s="1698" t="s">
        <v>296</v>
      </c>
      <c r="H11" s="1699"/>
      <c r="I11" s="1699"/>
      <c r="J11" s="1699"/>
      <c r="K11" s="1699"/>
      <c r="L11" s="1699"/>
      <c r="M11" s="1699"/>
      <c r="N11" s="1699"/>
      <c r="O11" s="1699"/>
      <c r="P11" s="1699"/>
      <c r="Q11" s="1699"/>
      <c r="R11" s="1699"/>
      <c r="S11" s="1699"/>
      <c r="T11" s="1699"/>
      <c r="U11" s="1699"/>
      <c r="V11" s="1699"/>
      <c r="W11" s="1699"/>
      <c r="X11" s="1699"/>
      <c r="Y11" s="1700"/>
      <c r="Z11" s="1701" t="s">
        <v>297</v>
      </c>
      <c r="AA11" s="1702"/>
      <c r="AB11" s="1735"/>
      <c r="AC11" s="1739"/>
      <c r="AD11" s="1740"/>
      <c r="AE11" s="144"/>
      <c r="AF11" s="144"/>
      <c r="AG11" s="144"/>
      <c r="AH11" s="144"/>
      <c r="AI11" s="144"/>
      <c r="AJ11" s="144"/>
      <c r="AK11" s="144"/>
      <c r="AL11" s="144"/>
      <c r="AN11" s="147">
        <f>SUM(Y10:Y14)</f>
        <v>0</v>
      </c>
      <c r="AO11" s="144">
        <v>89</v>
      </c>
      <c r="AP11" s="144">
        <v>0.20366132723112129</v>
      </c>
    </row>
    <row r="12" spans="2:72" ht="20.100000000000001" customHeight="1">
      <c r="B12" s="1693">
        <v>2</v>
      </c>
      <c r="C12" s="1694"/>
      <c r="D12" s="1695" t="s">
        <v>298</v>
      </c>
      <c r="E12" s="1696"/>
      <c r="F12" s="1697"/>
      <c r="G12" s="1698" t="s">
        <v>299</v>
      </c>
      <c r="H12" s="1699"/>
      <c r="I12" s="1699"/>
      <c r="J12" s="1699"/>
      <c r="K12" s="1699"/>
      <c r="L12" s="1699"/>
      <c r="M12" s="1699"/>
      <c r="N12" s="1699"/>
      <c r="O12" s="1699"/>
      <c r="P12" s="1699"/>
      <c r="Q12" s="1699"/>
      <c r="R12" s="1699"/>
      <c r="S12" s="1699"/>
      <c r="T12" s="1699"/>
      <c r="U12" s="1699"/>
      <c r="V12" s="1699"/>
      <c r="W12" s="1699"/>
      <c r="X12" s="1699"/>
      <c r="Y12" s="1700"/>
      <c r="Z12" s="1701" t="s">
        <v>300</v>
      </c>
      <c r="AA12" s="1702"/>
      <c r="AB12" s="1735"/>
      <c r="AC12" s="1739"/>
      <c r="AD12" s="1740"/>
      <c r="AE12" s="144"/>
      <c r="AF12" s="144"/>
      <c r="AG12" s="144"/>
      <c r="AH12" s="144"/>
      <c r="AI12" s="144"/>
      <c r="AJ12" s="144"/>
      <c r="AK12" s="144"/>
      <c r="AL12" s="144"/>
      <c r="AO12" s="144">
        <v>79</v>
      </c>
      <c r="AP12" s="144">
        <v>0.18077803203661327</v>
      </c>
    </row>
    <row r="13" spans="2:72" ht="20.100000000000001" customHeight="1">
      <c r="B13" s="1693">
        <v>1</v>
      </c>
      <c r="C13" s="1694"/>
      <c r="D13" s="1695" t="s">
        <v>301</v>
      </c>
      <c r="E13" s="1696"/>
      <c r="F13" s="1697"/>
      <c r="G13" s="1698" t="s">
        <v>302</v>
      </c>
      <c r="H13" s="1699"/>
      <c r="I13" s="1699"/>
      <c r="J13" s="1699"/>
      <c r="K13" s="1699"/>
      <c r="L13" s="1699"/>
      <c r="M13" s="1699"/>
      <c r="N13" s="1699"/>
      <c r="O13" s="1699"/>
      <c r="P13" s="1699"/>
      <c r="Q13" s="1699"/>
      <c r="R13" s="1699"/>
      <c r="S13" s="1699"/>
      <c r="T13" s="1699"/>
      <c r="U13" s="1699"/>
      <c r="V13" s="1699"/>
      <c r="W13" s="1699"/>
      <c r="X13" s="1699"/>
      <c r="Y13" s="1700"/>
      <c r="Z13" s="1743" t="s">
        <v>303</v>
      </c>
      <c r="AA13" s="1744"/>
      <c r="AB13" s="1735"/>
      <c r="AC13" s="1739"/>
      <c r="AD13" s="1740"/>
      <c r="AE13" s="144"/>
      <c r="AF13" s="144"/>
      <c r="AG13" s="144"/>
      <c r="AH13" s="144"/>
      <c r="AI13" s="144"/>
      <c r="AJ13" s="144"/>
      <c r="AK13" s="144"/>
      <c r="AL13" s="144"/>
      <c r="AM13" s="144"/>
      <c r="AO13" s="144">
        <v>69</v>
      </c>
      <c r="AP13" s="144">
        <v>0.15789473684210525</v>
      </c>
    </row>
    <row r="14" spans="2:72" ht="20.100000000000001" customHeight="1" thickBot="1">
      <c r="B14" s="1719">
        <v>0</v>
      </c>
      <c r="C14" s="1720"/>
      <c r="D14" s="1721" t="s">
        <v>304</v>
      </c>
      <c r="E14" s="1722"/>
      <c r="F14" s="1723"/>
      <c r="G14" s="1724" t="s">
        <v>305</v>
      </c>
      <c r="H14" s="1725"/>
      <c r="I14" s="1725"/>
      <c r="J14" s="1725"/>
      <c r="K14" s="1725"/>
      <c r="L14" s="1725"/>
      <c r="M14" s="1725"/>
      <c r="N14" s="1725"/>
      <c r="O14" s="1725"/>
      <c r="P14" s="1725"/>
      <c r="Q14" s="1725"/>
      <c r="R14" s="1725"/>
      <c r="S14" s="1725"/>
      <c r="T14" s="1725"/>
      <c r="U14" s="1725"/>
      <c r="V14" s="1725"/>
      <c r="W14" s="1725"/>
      <c r="X14" s="1725"/>
      <c r="Y14" s="1726"/>
      <c r="Z14" s="1727" t="s">
        <v>306</v>
      </c>
      <c r="AA14" s="1728"/>
      <c r="AB14" s="1736"/>
      <c r="AC14" s="1741"/>
      <c r="AD14" s="1742"/>
      <c r="AO14" s="144">
        <v>100</v>
      </c>
      <c r="AP14" s="144">
        <v>0.2288329519450801</v>
      </c>
    </row>
    <row r="15" spans="2:72" ht="5.0999999999999996" customHeight="1" thickBot="1">
      <c r="B15" s="1710"/>
      <c r="C15" s="1710"/>
      <c r="D15" s="1729"/>
      <c r="E15" s="1729"/>
      <c r="F15" s="1729"/>
      <c r="G15" s="1729"/>
      <c r="H15" s="1729"/>
      <c r="I15" s="1729"/>
      <c r="J15" s="1729"/>
      <c r="K15" s="1729"/>
      <c r="L15" s="1729"/>
      <c r="M15" s="1729"/>
      <c r="N15" s="1729"/>
      <c r="O15" s="1729"/>
      <c r="P15" s="1729"/>
      <c r="Q15" s="1729"/>
      <c r="R15" s="1729"/>
      <c r="S15" s="1729"/>
      <c r="T15" s="1729"/>
      <c r="U15" s="1729"/>
      <c r="V15" s="1729"/>
      <c r="W15" s="1729"/>
      <c r="X15" s="1729"/>
      <c r="Y15" s="1729"/>
      <c r="Z15" s="1710"/>
      <c r="AA15" s="1710"/>
      <c r="AB15" s="1710"/>
      <c r="AC15" s="1710"/>
      <c r="AD15" s="1710"/>
    </row>
    <row r="16" spans="2:72" ht="47.25" customHeight="1">
      <c r="B16" s="148" t="s">
        <v>307</v>
      </c>
      <c r="C16" s="1730" t="s">
        <v>308</v>
      </c>
      <c r="D16" s="1730"/>
      <c r="E16" s="1730"/>
      <c r="F16" s="1730"/>
      <c r="G16" s="1730"/>
      <c r="H16" s="1730"/>
      <c r="I16" s="1730"/>
      <c r="J16" s="1730"/>
      <c r="K16" s="149" t="s">
        <v>309</v>
      </c>
      <c r="L16" s="149" t="s">
        <v>310</v>
      </c>
      <c r="M16" s="149" t="s">
        <v>311</v>
      </c>
      <c r="N16" s="149" t="s">
        <v>312</v>
      </c>
      <c r="O16" s="150" t="s">
        <v>313</v>
      </c>
      <c r="P16" s="151"/>
      <c r="Q16" s="152" t="s">
        <v>307</v>
      </c>
      <c r="R16" s="1731" t="s">
        <v>308</v>
      </c>
      <c r="S16" s="1732"/>
      <c r="T16" s="1732"/>
      <c r="U16" s="1732"/>
      <c r="V16" s="1732"/>
      <c r="W16" s="1732"/>
      <c r="X16" s="1732"/>
      <c r="Y16" s="1733"/>
      <c r="Z16" s="149" t="s">
        <v>309</v>
      </c>
      <c r="AA16" s="149" t="s">
        <v>310</v>
      </c>
      <c r="AB16" s="149" t="s">
        <v>311</v>
      </c>
      <c r="AC16" s="149" t="s">
        <v>312</v>
      </c>
      <c r="AD16" s="150" t="s">
        <v>313</v>
      </c>
      <c r="AE16" s="144"/>
      <c r="AF16" s="144"/>
      <c r="AG16" s="144"/>
      <c r="AH16" s="144"/>
      <c r="AI16" s="144"/>
      <c r="AJ16" s="144"/>
      <c r="AK16" s="144"/>
      <c r="AL16" s="144"/>
      <c r="AO16" s="144">
        <f>SUM(AO10:AO15)</f>
        <v>437</v>
      </c>
      <c r="BQ16" s="153"/>
      <c r="BR16" s="153"/>
      <c r="BS16" s="153"/>
      <c r="BT16" s="153"/>
    </row>
    <row r="17" spans="1:127" ht="47.25" customHeight="1" thickBot="1">
      <c r="B17" s="921"/>
      <c r="C17" s="922"/>
      <c r="D17" s="923"/>
      <c r="E17" s="923"/>
      <c r="F17" s="923"/>
      <c r="G17" s="923"/>
      <c r="H17" s="923"/>
      <c r="I17" s="923"/>
      <c r="J17" s="924"/>
      <c r="K17" s="925">
        <v>1</v>
      </c>
      <c r="L17" s="925">
        <v>0.89</v>
      </c>
      <c r="M17" s="925">
        <v>0.79</v>
      </c>
      <c r="N17" s="926">
        <v>0.69</v>
      </c>
      <c r="O17" s="927">
        <v>1</v>
      </c>
      <c r="P17" s="154"/>
      <c r="Q17" s="928"/>
      <c r="R17" s="929"/>
      <c r="S17" s="930"/>
      <c r="T17" s="930"/>
      <c r="U17" s="930"/>
      <c r="V17" s="930"/>
      <c r="W17" s="930"/>
      <c r="X17" s="930"/>
      <c r="Y17" s="931"/>
      <c r="Z17" s="925">
        <v>1</v>
      </c>
      <c r="AA17" s="925">
        <v>0.89</v>
      </c>
      <c r="AB17" s="925">
        <v>0.79</v>
      </c>
      <c r="AC17" s="926">
        <v>0.69</v>
      </c>
      <c r="AD17" s="927">
        <v>1</v>
      </c>
      <c r="AE17" s="144"/>
      <c r="AF17" s="1194">
        <f>SUM(AF18:AG46)/COUNT(AF18:AG46)</f>
        <v>0.85303793103448289</v>
      </c>
      <c r="AG17" s="144"/>
      <c r="AH17" s="144"/>
      <c r="AI17" s="144"/>
      <c r="AJ17" s="144"/>
      <c r="AK17" s="144"/>
      <c r="AL17" s="144"/>
      <c r="AV17" s="155"/>
      <c r="AW17" s="155"/>
      <c r="AX17" s="155"/>
      <c r="AY17" s="155"/>
      <c r="BQ17" s="156"/>
      <c r="BR17" s="156"/>
      <c r="BS17" s="156"/>
      <c r="BT17" s="156"/>
    </row>
    <row r="18" spans="1:127" ht="47.25" customHeight="1">
      <c r="B18" s="932">
        <v>1</v>
      </c>
      <c r="C18" s="1712" t="s">
        <v>314</v>
      </c>
      <c r="D18" s="1712"/>
      <c r="E18" s="1712"/>
      <c r="F18" s="1712"/>
      <c r="G18" s="1712"/>
      <c r="H18" s="1712"/>
      <c r="I18" s="1712"/>
      <c r="J18" s="1712"/>
      <c r="K18" s="973"/>
      <c r="L18" s="972">
        <v>1</v>
      </c>
      <c r="M18" s="972"/>
      <c r="N18" s="972"/>
      <c r="O18" s="974"/>
      <c r="P18" s="151"/>
      <c r="Q18" s="932">
        <v>30</v>
      </c>
      <c r="R18" s="1712" t="s">
        <v>315</v>
      </c>
      <c r="S18" s="1712"/>
      <c r="T18" s="1712"/>
      <c r="U18" s="1712"/>
      <c r="V18" s="1712"/>
      <c r="W18" s="1712"/>
      <c r="X18" s="1712"/>
      <c r="Y18" s="1712"/>
      <c r="Z18" s="972"/>
      <c r="AA18" s="972">
        <v>1</v>
      </c>
      <c r="AB18" s="972"/>
      <c r="AC18" s="973"/>
      <c r="AD18" s="974"/>
      <c r="AE18" s="144"/>
      <c r="AF18" s="157">
        <f>SUMPRODUCT($K$17:$O$17,K18:O18)</f>
        <v>0.89</v>
      </c>
      <c r="AG18" s="157">
        <f>SUMPRODUCT($Z$17:$AD$17,Z18:AD18)</f>
        <v>0.89</v>
      </c>
      <c r="AH18" s="144"/>
      <c r="AI18" s="144"/>
      <c r="AJ18" s="144"/>
      <c r="AK18" s="144"/>
      <c r="AL18" s="144"/>
      <c r="AV18" s="1713" t="s">
        <v>316</v>
      </c>
      <c r="AW18" s="1713" t="s">
        <v>317</v>
      </c>
      <c r="AX18" s="1715" t="s">
        <v>318</v>
      </c>
      <c r="AY18" s="1716"/>
      <c r="BQ18" s="156"/>
      <c r="BR18" s="156"/>
      <c r="BS18" s="156"/>
      <c r="BT18" s="156"/>
    </row>
    <row r="19" spans="1:127" s="158" customFormat="1" ht="21" customHeight="1">
      <c r="A19" s="144"/>
      <c r="B19" s="971">
        <v>2</v>
      </c>
      <c r="C19" s="1717" t="s">
        <v>319</v>
      </c>
      <c r="D19" s="1717"/>
      <c r="E19" s="1717"/>
      <c r="F19" s="1717"/>
      <c r="G19" s="1717"/>
      <c r="H19" s="1717"/>
      <c r="I19" s="1717"/>
      <c r="J19" s="1717"/>
      <c r="K19" s="975"/>
      <c r="L19" s="975">
        <v>1</v>
      </c>
      <c r="M19" s="976"/>
      <c r="N19" s="975"/>
      <c r="O19" s="977"/>
      <c r="P19" s="151"/>
      <c r="Q19" s="971">
        <v>31</v>
      </c>
      <c r="R19" s="1718" t="s">
        <v>320</v>
      </c>
      <c r="S19" s="1718"/>
      <c r="T19" s="1718"/>
      <c r="U19" s="1718"/>
      <c r="V19" s="1718"/>
      <c r="W19" s="1718"/>
      <c r="X19" s="1718"/>
      <c r="Y19" s="1718"/>
      <c r="Z19" s="975"/>
      <c r="AB19" s="975"/>
      <c r="AC19" s="975">
        <v>1</v>
      </c>
      <c r="AD19" s="977"/>
      <c r="AE19" s="144"/>
      <c r="AF19" s="157">
        <f t="shared" ref="AF19:AF46" si="0">SUMPRODUCT($K$17:$O$17,K19:O19)</f>
        <v>0.89</v>
      </c>
      <c r="AG19" s="157">
        <f t="shared" ref="AG19:AG46" si="1">SUMPRODUCT($Z$17:$AD$17,Z19:AD19)</f>
        <v>0.69</v>
      </c>
      <c r="AH19" s="144"/>
      <c r="AI19" s="144"/>
      <c r="AJ19" s="144"/>
      <c r="AK19" s="144"/>
      <c r="AL19" s="144"/>
      <c r="AM19" s="144"/>
      <c r="AN19" s="144"/>
      <c r="AO19" s="144"/>
      <c r="AP19" s="156"/>
      <c r="AQ19" s="156"/>
      <c r="AR19" s="156"/>
      <c r="AS19" s="156"/>
      <c r="AT19" s="156"/>
      <c r="AU19" s="156"/>
      <c r="AV19" s="1714"/>
      <c r="AW19" s="1714"/>
      <c r="AX19" s="939" t="s">
        <v>321</v>
      </c>
      <c r="AY19" s="939" t="s">
        <v>322</v>
      </c>
      <c r="AZ19" s="144"/>
      <c r="BA19" s="144"/>
      <c r="BB19" s="144"/>
      <c r="BC19" s="144"/>
      <c r="BD19" s="144"/>
      <c r="BE19" s="144"/>
      <c r="BF19" s="144"/>
      <c r="BG19" s="144"/>
      <c r="BH19" s="144"/>
      <c r="BI19" s="144"/>
      <c r="BJ19" s="144"/>
      <c r="BK19" s="144"/>
      <c r="BL19" s="144"/>
      <c r="BM19" s="144"/>
      <c r="BN19" s="144"/>
      <c r="BO19" s="144"/>
      <c r="BP19" s="144"/>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c r="CY19" s="156"/>
      <c r="CZ19" s="156"/>
      <c r="DA19" s="156"/>
      <c r="DB19" s="156"/>
      <c r="DC19" s="156"/>
      <c r="DD19" s="156"/>
      <c r="DE19" s="156"/>
      <c r="DF19" s="156"/>
      <c r="DG19" s="156"/>
      <c r="DH19" s="156"/>
      <c r="DI19" s="156"/>
      <c r="DJ19" s="156"/>
      <c r="DK19" s="156"/>
      <c r="DL19" s="156"/>
      <c r="DM19" s="156"/>
      <c r="DN19" s="156"/>
      <c r="DO19" s="156"/>
      <c r="DP19" s="156"/>
      <c r="DQ19" s="156"/>
      <c r="DR19" s="156"/>
      <c r="DS19" s="156"/>
      <c r="DT19" s="156"/>
      <c r="DU19" s="156"/>
      <c r="DV19" s="156"/>
      <c r="DW19" s="156"/>
    </row>
    <row r="20" spans="1:127" s="158" customFormat="1" ht="21" customHeight="1">
      <c r="A20" s="144"/>
      <c r="B20" s="971">
        <v>3</v>
      </c>
      <c r="C20" s="1717" t="s">
        <v>323</v>
      </c>
      <c r="D20" s="1717"/>
      <c r="E20" s="1717"/>
      <c r="F20" s="1717"/>
      <c r="G20" s="1717"/>
      <c r="H20" s="1717"/>
      <c r="I20" s="1717"/>
      <c r="J20" s="1717"/>
      <c r="K20" s="975"/>
      <c r="L20" s="975">
        <v>1</v>
      </c>
      <c r="M20" s="976"/>
      <c r="N20" s="975"/>
      <c r="O20" s="977"/>
      <c r="P20" s="151"/>
      <c r="Q20" s="971">
        <v>32</v>
      </c>
      <c r="R20" s="1718" t="s">
        <v>324</v>
      </c>
      <c r="S20" s="1718"/>
      <c r="T20" s="1718"/>
      <c r="U20" s="1718"/>
      <c r="V20" s="1718"/>
      <c r="W20" s="1718"/>
      <c r="X20" s="1718"/>
      <c r="Y20" s="1718"/>
      <c r="Z20" s="975"/>
      <c r="AA20" s="975"/>
      <c r="AB20" s="975"/>
      <c r="AD20" s="975">
        <v>1</v>
      </c>
      <c r="AE20" s="144"/>
      <c r="AF20" s="157">
        <v>0</v>
      </c>
      <c r="AG20" s="157">
        <f t="shared" si="1"/>
        <v>1</v>
      </c>
      <c r="AH20" s="144"/>
      <c r="AI20" s="144"/>
      <c r="AJ20" s="144"/>
      <c r="AK20" s="144"/>
      <c r="AL20" s="144"/>
      <c r="AM20" s="159">
        <v>4</v>
      </c>
      <c r="AN20" s="159">
        <f>58</f>
        <v>58</v>
      </c>
      <c r="AO20" s="159" t="s">
        <v>325</v>
      </c>
      <c r="AP20" s="156"/>
      <c r="AQ20" s="160">
        <v>4</v>
      </c>
      <c r="AR20" s="1745" t="s">
        <v>291</v>
      </c>
      <c r="AS20" s="1745"/>
      <c r="AT20" s="1745"/>
      <c r="AU20" s="1745"/>
      <c r="AV20" s="940">
        <f>SUM(Z18:Z46,K18:K46)</f>
        <v>4</v>
      </c>
      <c r="AW20" s="940">
        <f>AQ20*AV20</f>
        <v>16</v>
      </c>
      <c r="AX20" s="941">
        <f>AV20/$AV$25</f>
        <v>7.02000702000702E-2</v>
      </c>
      <c r="AY20" s="941">
        <f>AV20/SUM($AV$20:$AV$23)</f>
        <v>8.6994345367551101E-2</v>
      </c>
      <c r="AZ20" s="161"/>
      <c r="BA20" s="144"/>
      <c r="BB20" s="144"/>
      <c r="BC20" s="144"/>
      <c r="BD20" s="144"/>
      <c r="BE20" s="144"/>
      <c r="BF20" s="144"/>
      <c r="BG20" s="144"/>
      <c r="BH20" s="144"/>
      <c r="BI20" s="144"/>
      <c r="BJ20" s="144"/>
      <c r="BK20" s="144"/>
      <c r="BL20" s="144"/>
      <c r="BM20" s="144"/>
      <c r="BN20" s="144"/>
      <c r="BO20" s="144"/>
      <c r="BP20" s="144"/>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c r="CY20" s="156"/>
      <c r="CZ20" s="156"/>
      <c r="DA20" s="156"/>
      <c r="DB20" s="156"/>
      <c r="DC20" s="156"/>
      <c r="DD20" s="156"/>
      <c r="DE20" s="156"/>
      <c r="DF20" s="156"/>
      <c r="DG20" s="156"/>
      <c r="DH20" s="156"/>
      <c r="DI20" s="156"/>
      <c r="DJ20" s="156"/>
      <c r="DK20" s="156"/>
      <c r="DL20" s="156"/>
      <c r="DM20" s="156"/>
      <c r="DN20" s="156"/>
      <c r="DO20" s="156"/>
      <c r="DP20" s="156"/>
      <c r="DQ20" s="156"/>
      <c r="DR20" s="156"/>
      <c r="DS20" s="156"/>
      <c r="DT20" s="156"/>
      <c r="DU20" s="156"/>
      <c r="DV20" s="156"/>
      <c r="DW20" s="156"/>
    </row>
    <row r="21" spans="1:127" s="158" customFormat="1" ht="21" customHeight="1">
      <c r="A21" s="144"/>
      <c r="B21" s="971">
        <v>4</v>
      </c>
      <c r="C21" s="1718" t="s">
        <v>326</v>
      </c>
      <c r="D21" s="1718"/>
      <c r="E21" s="1718"/>
      <c r="F21" s="1718"/>
      <c r="G21" s="1718"/>
      <c r="H21" s="1718"/>
      <c r="I21" s="1718"/>
      <c r="J21" s="1718"/>
      <c r="K21" s="975"/>
      <c r="L21" s="976">
        <v>1</v>
      </c>
      <c r="M21" s="975"/>
      <c r="N21" s="975"/>
      <c r="O21" s="977"/>
      <c r="P21" s="151"/>
      <c r="Q21" s="971">
        <v>33</v>
      </c>
      <c r="R21" s="1746" t="s">
        <v>327</v>
      </c>
      <c r="S21" s="1746"/>
      <c r="T21" s="1746"/>
      <c r="U21" s="1746"/>
      <c r="V21" s="1746"/>
      <c r="W21" s="1746"/>
      <c r="X21" s="1746"/>
      <c r="Y21" s="1746"/>
      <c r="Z21" s="975"/>
      <c r="AA21" s="975">
        <v>0.5</v>
      </c>
      <c r="AB21" s="975"/>
      <c r="AC21" s="975"/>
      <c r="AD21" s="977"/>
      <c r="AE21" s="144"/>
      <c r="AF21" s="157">
        <f t="shared" si="0"/>
        <v>0.89</v>
      </c>
      <c r="AG21" s="157">
        <f t="shared" si="1"/>
        <v>0.44500000000000001</v>
      </c>
      <c r="AH21" s="144"/>
      <c r="AI21" s="144"/>
      <c r="AJ21" s="144"/>
      <c r="AK21" s="144"/>
      <c r="AL21" s="144"/>
      <c r="AM21" s="159">
        <v>3</v>
      </c>
      <c r="AN21" s="159">
        <f>58</f>
        <v>58</v>
      </c>
      <c r="AO21" s="159" t="s">
        <v>325</v>
      </c>
      <c r="AP21" s="159"/>
      <c r="AQ21" s="160">
        <v>3</v>
      </c>
      <c r="AR21" s="1745" t="s">
        <v>328</v>
      </c>
      <c r="AS21" s="1745"/>
      <c r="AT21" s="1745"/>
      <c r="AU21" s="1745"/>
      <c r="AV21" s="940">
        <f>SUM(L18:L46,AA18:AA46)</f>
        <v>27.5</v>
      </c>
      <c r="AW21" s="940">
        <f>AQ21*AV21</f>
        <v>82.5</v>
      </c>
      <c r="AX21" s="941">
        <f>AV21/$AV$25</f>
        <v>0.4826254826254826</v>
      </c>
      <c r="AY21" s="941">
        <f>AV21/SUM($AV$20:$AV$23)</f>
        <v>0.59808612440191378</v>
      </c>
      <c r="AZ21" s="161"/>
      <c r="BA21" s="144"/>
      <c r="BB21" s="144"/>
      <c r="BC21" s="144"/>
      <c r="BD21" s="144"/>
      <c r="BE21" s="144"/>
      <c r="BF21" s="144"/>
      <c r="BG21" s="144"/>
      <c r="BH21" s="144"/>
      <c r="BI21" s="144"/>
      <c r="BJ21" s="144"/>
      <c r="BK21" s="144"/>
      <c r="BL21" s="144"/>
      <c r="BM21" s="144"/>
      <c r="BN21" s="144"/>
      <c r="BO21" s="144"/>
      <c r="BP21" s="144"/>
      <c r="BQ21" s="156"/>
      <c r="BR21" s="162"/>
      <c r="BS21" s="162"/>
      <c r="BT21" s="162"/>
      <c r="BU21" s="162"/>
      <c r="BV21" s="162"/>
      <c r="BW21" s="162"/>
      <c r="BX21" s="162"/>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c r="CY21" s="156"/>
      <c r="CZ21" s="156"/>
      <c r="DA21" s="156"/>
      <c r="DB21" s="156"/>
      <c r="DC21" s="156"/>
      <c r="DD21" s="156"/>
      <c r="DE21" s="156"/>
      <c r="DF21" s="156"/>
      <c r="DG21" s="156"/>
      <c r="DH21" s="156"/>
      <c r="DI21" s="156"/>
      <c r="DJ21" s="156"/>
      <c r="DK21" s="156"/>
      <c r="DL21" s="156"/>
      <c r="DM21" s="156"/>
      <c r="DN21" s="156"/>
      <c r="DO21" s="156"/>
      <c r="DP21" s="156"/>
      <c r="DQ21" s="156"/>
      <c r="DR21" s="156"/>
      <c r="DS21" s="156"/>
      <c r="DT21" s="156"/>
      <c r="DU21" s="156"/>
      <c r="DV21" s="156"/>
      <c r="DW21" s="156"/>
    </row>
    <row r="22" spans="1:127" s="158" customFormat="1" ht="21" customHeight="1">
      <c r="A22" s="144"/>
      <c r="B22" s="971">
        <v>5</v>
      </c>
      <c r="C22" s="1718" t="s">
        <v>329</v>
      </c>
      <c r="D22" s="1718"/>
      <c r="E22" s="1718"/>
      <c r="F22" s="1718"/>
      <c r="G22" s="1718"/>
      <c r="H22" s="1718"/>
      <c r="I22" s="1718"/>
      <c r="J22" s="1718"/>
      <c r="K22" s="975"/>
      <c r="L22" s="975">
        <v>1</v>
      </c>
      <c r="M22" s="975"/>
      <c r="N22" s="975"/>
      <c r="O22" s="977"/>
      <c r="P22" s="151"/>
      <c r="Q22" s="971">
        <v>34</v>
      </c>
      <c r="R22" s="1718" t="s">
        <v>330</v>
      </c>
      <c r="S22" s="1718"/>
      <c r="T22" s="1718"/>
      <c r="U22" s="1718"/>
      <c r="V22" s="1718"/>
      <c r="W22" s="1718"/>
      <c r="X22" s="1718"/>
      <c r="Y22" s="1718"/>
      <c r="Z22" s="975"/>
      <c r="AA22" s="975">
        <v>1</v>
      </c>
      <c r="AB22" s="976"/>
      <c r="AC22" s="975"/>
      <c r="AD22" s="977"/>
      <c r="AE22" s="144"/>
      <c r="AF22" s="157">
        <f t="shared" si="0"/>
        <v>0.89</v>
      </c>
      <c r="AG22" s="157">
        <f t="shared" si="1"/>
        <v>0.89</v>
      </c>
      <c r="AH22" s="144"/>
      <c r="AI22" s="144"/>
      <c r="AJ22" s="144"/>
      <c r="AK22" s="144"/>
      <c r="AL22" s="144"/>
      <c r="AM22" s="159">
        <v>2</v>
      </c>
      <c r="AN22" s="159">
        <f>58</f>
        <v>58</v>
      </c>
      <c r="AO22" s="159" t="s">
        <v>325</v>
      </c>
      <c r="AP22" s="160"/>
      <c r="AQ22" s="160">
        <v>2</v>
      </c>
      <c r="AR22" s="1745" t="s">
        <v>298</v>
      </c>
      <c r="AS22" s="1745"/>
      <c r="AT22" s="1745"/>
      <c r="AU22" s="1745"/>
      <c r="AV22" s="940">
        <f>SUM(M18:M46,AB18:AB46)</f>
        <v>9</v>
      </c>
      <c r="AW22" s="940">
        <f>AQ22*AV22</f>
        <v>18</v>
      </c>
      <c r="AX22" s="941">
        <f>AV22/$AV$25</f>
        <v>0.15795015795015793</v>
      </c>
      <c r="AY22" s="941">
        <f>AV22/SUM($AV$20:$AV$23)</f>
        <v>0.19573727707698999</v>
      </c>
      <c r="AZ22" s="161"/>
      <c r="BA22" s="144"/>
      <c r="BB22" s="144"/>
      <c r="BC22" s="144" t="s">
        <v>331</v>
      </c>
      <c r="BD22" s="144"/>
      <c r="BE22" s="144"/>
      <c r="BF22" s="144"/>
      <c r="BG22" s="144"/>
      <c r="BH22" s="144"/>
      <c r="BI22" s="144"/>
      <c r="BJ22" s="144"/>
      <c r="BK22" s="144"/>
      <c r="BL22" s="144"/>
      <c r="BM22" s="144"/>
      <c r="BN22" s="144"/>
      <c r="BO22" s="144"/>
      <c r="BP22" s="144"/>
      <c r="BQ22" s="156"/>
      <c r="BR22" s="162"/>
      <c r="BS22" s="162"/>
      <c r="BT22" s="162"/>
      <c r="BU22" s="162"/>
      <c r="BV22" s="162"/>
      <c r="BW22" s="162"/>
      <c r="BX22" s="162"/>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c r="CY22" s="156"/>
      <c r="CZ22" s="156"/>
      <c r="DA22" s="156"/>
      <c r="DB22" s="156"/>
      <c r="DC22" s="156"/>
      <c r="DD22" s="156"/>
      <c r="DE22" s="156"/>
      <c r="DF22" s="156"/>
      <c r="DG22" s="156"/>
      <c r="DH22" s="156"/>
      <c r="DI22" s="156"/>
      <c r="DJ22" s="156"/>
      <c r="DK22" s="156"/>
      <c r="DL22" s="156"/>
      <c r="DM22" s="156"/>
      <c r="DN22" s="156"/>
      <c r="DO22" s="156"/>
      <c r="DP22" s="156"/>
      <c r="DQ22" s="156"/>
      <c r="DR22" s="156"/>
      <c r="DS22" s="156"/>
      <c r="DT22" s="156"/>
      <c r="DU22" s="156"/>
      <c r="DV22" s="156"/>
      <c r="DW22" s="156"/>
    </row>
    <row r="23" spans="1:127" s="158" customFormat="1" ht="21" customHeight="1">
      <c r="A23" s="144"/>
      <c r="B23" s="971">
        <v>6</v>
      </c>
      <c r="C23" s="1718" t="s">
        <v>332</v>
      </c>
      <c r="D23" s="1718"/>
      <c r="E23" s="1718"/>
      <c r="F23" s="1718"/>
      <c r="G23" s="1718"/>
      <c r="H23" s="1718"/>
      <c r="I23" s="1718"/>
      <c r="J23" s="1718"/>
      <c r="K23" s="975"/>
      <c r="L23" s="975">
        <v>1</v>
      </c>
      <c r="M23" s="975"/>
      <c r="N23" s="975"/>
      <c r="O23" s="977"/>
      <c r="P23" s="151"/>
      <c r="Q23" s="971">
        <v>35</v>
      </c>
      <c r="R23" s="1746" t="s">
        <v>333</v>
      </c>
      <c r="S23" s="1746"/>
      <c r="T23" s="1746"/>
      <c r="U23" s="1746"/>
      <c r="V23" s="1746"/>
      <c r="W23" s="1746"/>
      <c r="X23" s="1746"/>
      <c r="Y23" s="1746"/>
      <c r="Z23" s="975"/>
      <c r="AA23" s="975"/>
      <c r="AB23" s="976">
        <v>1</v>
      </c>
      <c r="AC23" s="975"/>
      <c r="AD23" s="977"/>
      <c r="AE23" s="144"/>
      <c r="AF23" s="157">
        <f t="shared" si="0"/>
        <v>0.89</v>
      </c>
      <c r="AG23" s="157">
        <f t="shared" si="1"/>
        <v>0.79</v>
      </c>
      <c r="AH23" s="144"/>
      <c r="AI23" s="144"/>
      <c r="AJ23" s="144"/>
      <c r="AK23" s="144"/>
      <c r="AL23" s="144"/>
      <c r="AM23" s="159">
        <v>1</v>
      </c>
      <c r="AN23" s="159">
        <f>58</f>
        <v>58</v>
      </c>
      <c r="AO23" s="159" t="s">
        <v>325</v>
      </c>
      <c r="AP23" s="160"/>
      <c r="AQ23" s="160">
        <v>1</v>
      </c>
      <c r="AR23" s="1745" t="s">
        <v>301</v>
      </c>
      <c r="AS23" s="1745"/>
      <c r="AT23" s="1745"/>
      <c r="AU23" s="1745"/>
      <c r="AV23" s="940">
        <f>SUM(N18:N46,AC18:AC46)</f>
        <v>5.48</v>
      </c>
      <c r="AW23" s="940">
        <f>AQ23*AV23</f>
        <v>5.48</v>
      </c>
      <c r="AX23" s="941">
        <f>AV23/$AV$25</f>
        <v>9.6174096174096169E-2</v>
      </c>
      <c r="AY23" s="941">
        <f>AV23/SUM($AV$20:$AV$23)</f>
        <v>0.11918225315354501</v>
      </c>
      <c r="AZ23" s="161"/>
      <c r="BA23" s="144"/>
      <c r="BB23" s="144"/>
      <c r="BC23" s="144"/>
      <c r="BD23" s="144"/>
      <c r="BE23" s="144"/>
      <c r="BF23" s="144"/>
      <c r="BG23" s="144"/>
      <c r="BH23" s="144"/>
      <c r="BI23" s="144"/>
      <c r="BJ23" s="144"/>
      <c r="BK23" s="144"/>
      <c r="BL23" s="144"/>
      <c r="BM23" s="144"/>
      <c r="BN23" s="144"/>
      <c r="BO23" s="144"/>
      <c r="BP23" s="144"/>
      <c r="BQ23" s="156"/>
      <c r="BR23" s="162"/>
      <c r="BS23" s="162"/>
      <c r="BT23" s="162"/>
      <c r="BU23" s="162"/>
      <c r="BV23" s="162"/>
      <c r="BW23" s="162"/>
      <c r="BX23" s="162"/>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c r="CY23" s="156"/>
      <c r="CZ23" s="156"/>
      <c r="DA23" s="156"/>
      <c r="DB23" s="156"/>
      <c r="DC23" s="156"/>
      <c r="DD23" s="156"/>
      <c r="DE23" s="156"/>
      <c r="DF23" s="156"/>
      <c r="DG23" s="156"/>
      <c r="DH23" s="156"/>
      <c r="DI23" s="156"/>
      <c r="DJ23" s="156"/>
      <c r="DK23" s="156"/>
      <c r="DL23" s="156"/>
      <c r="DM23" s="156"/>
      <c r="DN23" s="156"/>
      <c r="DO23" s="156"/>
      <c r="DP23" s="156"/>
      <c r="DQ23" s="156"/>
      <c r="DR23" s="156"/>
      <c r="DS23" s="156"/>
      <c r="DT23" s="156"/>
      <c r="DU23" s="156"/>
      <c r="DV23" s="156"/>
      <c r="DW23" s="156"/>
    </row>
    <row r="24" spans="1:127" s="158" customFormat="1" ht="21" customHeight="1" thickBot="1">
      <c r="A24" s="144"/>
      <c r="B24" s="971">
        <v>7</v>
      </c>
      <c r="C24" s="1718" t="s">
        <v>334</v>
      </c>
      <c r="D24" s="1718"/>
      <c r="E24" s="1718"/>
      <c r="F24" s="1718"/>
      <c r="G24" s="1718"/>
      <c r="H24" s="1718"/>
      <c r="I24" s="1718"/>
      <c r="J24" s="1718"/>
      <c r="K24" s="975"/>
      <c r="L24" s="975">
        <v>1</v>
      </c>
      <c r="M24" s="975"/>
      <c r="N24" s="975"/>
      <c r="O24" s="977"/>
      <c r="P24" s="151"/>
      <c r="Q24" s="971">
        <v>36</v>
      </c>
      <c r="R24" s="1718" t="s">
        <v>335</v>
      </c>
      <c r="S24" s="1718"/>
      <c r="T24" s="1718"/>
      <c r="U24" s="1718"/>
      <c r="V24" s="1718"/>
      <c r="W24" s="1718"/>
      <c r="X24" s="1718"/>
      <c r="Y24" s="1718"/>
      <c r="Z24" s="975"/>
      <c r="AA24" s="976"/>
      <c r="AB24" s="975"/>
      <c r="AC24" s="975"/>
      <c r="AD24" s="977">
        <v>0</v>
      </c>
      <c r="AE24" s="144"/>
      <c r="AF24" s="157">
        <f t="shared" si="0"/>
        <v>0.89</v>
      </c>
      <c r="AG24" s="157">
        <f t="shared" si="1"/>
        <v>0</v>
      </c>
      <c r="AH24" s="144"/>
      <c r="AI24" s="144"/>
      <c r="AJ24" s="144"/>
      <c r="AK24" s="144"/>
      <c r="AL24" s="144"/>
      <c r="AM24" s="159">
        <v>0</v>
      </c>
      <c r="AN24" s="159">
        <f>58</f>
        <v>58</v>
      </c>
      <c r="AO24" s="159" t="s">
        <v>325</v>
      </c>
      <c r="AP24" s="160"/>
      <c r="AQ24" s="160">
        <v>0</v>
      </c>
      <c r="AR24" s="1747" t="s">
        <v>304</v>
      </c>
      <c r="AS24" s="1747"/>
      <c r="AT24" s="1747"/>
      <c r="AU24" s="1747"/>
      <c r="AV24" s="163">
        <f>SUM(O18:O46,AD18:AD46)</f>
        <v>11</v>
      </c>
      <c r="AW24" s="163">
        <f>AQ24*AV24</f>
        <v>0</v>
      </c>
      <c r="AX24" s="164">
        <f>AV24/$AV$25</f>
        <v>0.19305019305019303</v>
      </c>
      <c r="AY24" s="164" t="s">
        <v>336</v>
      </c>
      <c r="AZ24" s="161"/>
      <c r="BA24" s="144"/>
      <c r="BB24" s="144"/>
      <c r="BC24" s="144"/>
      <c r="BD24" s="144"/>
      <c r="BE24" s="144"/>
      <c r="BF24" s="144"/>
      <c r="BG24" s="144"/>
      <c r="BH24" s="144"/>
      <c r="BI24" s="144"/>
      <c r="BJ24" s="144"/>
      <c r="BK24" s="144"/>
      <c r="BL24" s="144"/>
      <c r="BM24" s="144"/>
      <c r="BN24" s="144"/>
      <c r="BO24" s="144"/>
      <c r="BP24" s="144"/>
      <c r="BQ24" s="165"/>
      <c r="BR24" s="165"/>
      <c r="BS24" s="165"/>
      <c r="BT24" s="165"/>
      <c r="BU24" s="165"/>
      <c r="BV24" s="165"/>
      <c r="BW24" s="165"/>
      <c r="BX24" s="165"/>
      <c r="BY24" s="165"/>
      <c r="BZ24" s="165"/>
      <c r="CA24" s="165"/>
      <c r="CB24" s="165"/>
      <c r="CC24" s="165"/>
      <c r="CD24" s="165"/>
      <c r="CE24" s="165"/>
      <c r="CF24" s="165"/>
      <c r="CG24" s="165"/>
      <c r="CH24" s="165"/>
      <c r="CI24" s="165"/>
      <c r="CJ24" s="165"/>
      <c r="CK24" s="165"/>
      <c r="CL24" s="165"/>
      <c r="CM24" s="165"/>
      <c r="CN24" s="165"/>
      <c r="CO24" s="165"/>
      <c r="CP24" s="165"/>
      <c r="CQ24" s="165"/>
      <c r="CR24" s="165"/>
      <c r="CS24" s="165"/>
      <c r="CT24" s="165"/>
      <c r="CU24" s="165"/>
      <c r="CV24" s="165"/>
      <c r="CW24" s="165"/>
      <c r="CX24" s="165"/>
      <c r="CY24" s="165"/>
      <c r="CZ24" s="165"/>
      <c r="DA24" s="165"/>
      <c r="DB24" s="165"/>
      <c r="DC24" s="165"/>
      <c r="DD24" s="165"/>
      <c r="DE24" s="165"/>
      <c r="DF24" s="165"/>
      <c r="DG24" s="165"/>
      <c r="DH24" s="165"/>
      <c r="DI24" s="165"/>
      <c r="DJ24" s="165"/>
      <c r="DK24" s="165"/>
      <c r="DL24" s="165"/>
      <c r="DM24" s="165"/>
      <c r="DN24" s="165"/>
      <c r="DO24" s="165"/>
      <c r="DP24" s="165"/>
      <c r="DQ24" s="165"/>
      <c r="DR24" s="165"/>
      <c r="DS24" s="165"/>
      <c r="DT24" s="165"/>
      <c r="DU24" s="165"/>
      <c r="DV24" s="165"/>
      <c r="DW24" s="165"/>
    </row>
    <row r="25" spans="1:127" s="158" customFormat="1" ht="21" customHeight="1" thickTop="1">
      <c r="A25" s="144"/>
      <c r="B25" s="971">
        <v>8</v>
      </c>
      <c r="C25" s="1718" t="s">
        <v>337</v>
      </c>
      <c r="D25" s="1718"/>
      <c r="E25" s="1718"/>
      <c r="F25" s="1718"/>
      <c r="G25" s="1718"/>
      <c r="H25" s="1718"/>
      <c r="I25" s="1718"/>
      <c r="J25" s="1718"/>
      <c r="K25" s="975"/>
      <c r="L25" s="975">
        <v>1</v>
      </c>
      <c r="M25" s="975"/>
      <c r="N25" s="976"/>
      <c r="O25" s="977"/>
      <c r="P25" s="151"/>
      <c r="Q25" s="971">
        <v>37</v>
      </c>
      <c r="R25" s="1718" t="s">
        <v>338</v>
      </c>
      <c r="S25" s="1718"/>
      <c r="T25" s="1718"/>
      <c r="U25" s="1718"/>
      <c r="V25" s="1718"/>
      <c r="W25" s="1718"/>
      <c r="X25" s="1718"/>
      <c r="Y25" s="1718"/>
      <c r="Z25" s="975"/>
      <c r="AA25" s="976"/>
      <c r="AB25" s="975">
        <v>0</v>
      </c>
      <c r="AC25" s="975"/>
      <c r="AD25" s="977"/>
      <c r="AE25" s="144"/>
      <c r="AF25" s="157">
        <f t="shared" si="0"/>
        <v>0.89</v>
      </c>
      <c r="AG25" s="157">
        <f t="shared" si="1"/>
        <v>0</v>
      </c>
      <c r="AH25" s="144"/>
      <c r="AI25" s="144"/>
      <c r="AJ25" s="144"/>
      <c r="AK25" s="144"/>
      <c r="AL25" s="144"/>
      <c r="AM25" s="161"/>
      <c r="AN25" s="161"/>
      <c r="AO25" s="161"/>
      <c r="AP25" s="161"/>
      <c r="AQ25" s="161"/>
      <c r="AR25" s="1748" t="s">
        <v>88</v>
      </c>
      <c r="AS25" s="1748"/>
      <c r="AT25" s="1748"/>
      <c r="AU25" s="1748"/>
      <c r="AV25" s="166">
        <f>SUM(AV20:AV24)</f>
        <v>56.980000000000004</v>
      </c>
      <c r="AW25" s="166">
        <f>SUM(AW20:AW24)</f>
        <v>121.98</v>
      </c>
      <c r="AX25" s="167">
        <f>SUM(AX20:AX24)</f>
        <v>0.99999999999999989</v>
      </c>
      <c r="AY25" s="167">
        <f>SUM(AY20:AY24)</f>
        <v>0.99999999999999989</v>
      </c>
      <c r="AZ25" s="161"/>
      <c r="BA25" s="144"/>
      <c r="BB25" s="144"/>
      <c r="BC25" s="144"/>
      <c r="BD25" s="144"/>
      <c r="BE25" s="144"/>
      <c r="BF25" s="144"/>
      <c r="BG25" s="144"/>
      <c r="BH25" s="144"/>
      <c r="BI25" s="144"/>
      <c r="BJ25" s="144"/>
      <c r="BK25" s="144"/>
      <c r="BL25" s="144"/>
      <c r="BM25" s="144"/>
      <c r="BN25" s="144"/>
      <c r="BO25" s="144"/>
      <c r="BP25" s="144"/>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c r="CY25" s="156"/>
      <c r="CZ25" s="156"/>
      <c r="DA25" s="156"/>
      <c r="DB25" s="156"/>
      <c r="DC25" s="156"/>
      <c r="DD25" s="156"/>
      <c r="DE25" s="156"/>
      <c r="DF25" s="156"/>
      <c r="DG25" s="156"/>
      <c r="DH25" s="156"/>
      <c r="DI25" s="156"/>
      <c r="DJ25" s="156"/>
      <c r="DK25" s="156"/>
      <c r="DL25" s="156"/>
      <c r="DM25" s="156"/>
      <c r="DN25" s="156"/>
      <c r="DO25" s="156"/>
      <c r="DP25" s="156"/>
      <c r="DQ25" s="156"/>
      <c r="DR25" s="156"/>
      <c r="DS25" s="156"/>
      <c r="DT25" s="156"/>
      <c r="DU25" s="156"/>
      <c r="DV25" s="156"/>
      <c r="DW25" s="156"/>
    </row>
    <row r="26" spans="1:127" s="158" customFormat="1" ht="21" customHeight="1">
      <c r="A26" s="144"/>
      <c r="B26" s="971">
        <v>9</v>
      </c>
      <c r="C26" s="1717" t="s">
        <v>339</v>
      </c>
      <c r="D26" s="1717"/>
      <c r="E26" s="1717"/>
      <c r="F26" s="1717"/>
      <c r="G26" s="1717"/>
      <c r="H26" s="1717"/>
      <c r="I26" s="1717"/>
      <c r="J26" s="1717"/>
      <c r="K26" s="975"/>
      <c r="L26" s="975">
        <v>1</v>
      </c>
      <c r="M26" s="975"/>
      <c r="N26" s="976"/>
      <c r="O26" s="977"/>
      <c r="P26" s="151"/>
      <c r="Q26" s="971">
        <v>38</v>
      </c>
      <c r="R26" s="1718" t="s">
        <v>340</v>
      </c>
      <c r="S26" s="1718"/>
      <c r="T26" s="1718"/>
      <c r="U26" s="1718"/>
      <c r="V26" s="1718"/>
      <c r="W26" s="1718"/>
      <c r="X26" s="1718"/>
      <c r="Y26" s="1718"/>
      <c r="Z26" s="975"/>
      <c r="AA26" s="975"/>
      <c r="AB26" s="976">
        <v>1</v>
      </c>
      <c r="AC26" s="975"/>
      <c r="AD26" s="977"/>
      <c r="AE26" s="144"/>
      <c r="AF26" s="157">
        <f t="shared" si="0"/>
        <v>0.89</v>
      </c>
      <c r="AG26" s="157">
        <f t="shared" si="1"/>
        <v>0.79</v>
      </c>
      <c r="AH26" s="144"/>
      <c r="AI26" s="144"/>
      <c r="AJ26" s="144"/>
      <c r="AK26" s="144"/>
      <c r="AL26" s="144"/>
      <c r="AM26" s="161"/>
      <c r="AN26" s="161"/>
      <c r="AO26" s="161"/>
      <c r="AP26" s="161"/>
      <c r="AQ26" s="161"/>
      <c r="AR26" s="161"/>
      <c r="AS26" s="161"/>
      <c r="AT26" s="161"/>
      <c r="AU26" s="161"/>
      <c r="AX26" s="161"/>
      <c r="AY26" s="161"/>
      <c r="AZ26" s="161"/>
      <c r="BA26" s="144"/>
      <c r="BB26" s="144"/>
      <c r="BC26" s="144"/>
      <c r="BD26" s="144"/>
      <c r="BE26" s="144"/>
      <c r="BF26" s="144"/>
      <c r="BG26" s="144"/>
      <c r="BH26" s="144"/>
      <c r="BI26" s="144"/>
      <c r="BJ26" s="144"/>
      <c r="BK26" s="144"/>
      <c r="BL26" s="144"/>
      <c r="BM26" s="144"/>
      <c r="BN26" s="144"/>
      <c r="BO26" s="144"/>
      <c r="BP26" s="144"/>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c r="CY26" s="156"/>
      <c r="CZ26" s="156"/>
      <c r="DA26" s="156"/>
      <c r="DB26" s="156"/>
      <c r="DC26" s="156"/>
      <c r="DD26" s="156"/>
      <c r="DE26" s="156"/>
      <c r="DF26" s="156"/>
      <c r="DG26" s="156"/>
      <c r="DH26" s="156"/>
      <c r="DI26" s="156"/>
      <c r="DJ26" s="156"/>
      <c r="DK26" s="156"/>
      <c r="DL26" s="156"/>
      <c r="DM26" s="156"/>
      <c r="DN26" s="156"/>
      <c r="DO26" s="156"/>
      <c r="DP26" s="156"/>
      <c r="DQ26" s="156"/>
      <c r="DR26" s="156"/>
      <c r="DS26" s="156"/>
      <c r="DT26" s="156"/>
      <c r="DU26" s="156"/>
      <c r="DV26" s="156"/>
      <c r="DW26" s="156"/>
    </row>
    <row r="27" spans="1:127" s="158" customFormat="1" ht="21" customHeight="1">
      <c r="A27" s="144"/>
      <c r="B27" s="971">
        <v>10</v>
      </c>
      <c r="C27" s="1717" t="s">
        <v>341</v>
      </c>
      <c r="D27" s="1717"/>
      <c r="E27" s="1717"/>
      <c r="F27" s="1717"/>
      <c r="G27" s="1717"/>
      <c r="H27" s="1717"/>
      <c r="I27" s="1717"/>
      <c r="J27" s="1717"/>
      <c r="K27" s="975"/>
      <c r="L27" s="975">
        <v>1</v>
      </c>
      <c r="M27" s="975"/>
      <c r="N27" s="975"/>
      <c r="O27" s="977"/>
      <c r="P27" s="151"/>
      <c r="Q27" s="971">
        <v>39</v>
      </c>
      <c r="R27" s="1718" t="s">
        <v>342</v>
      </c>
      <c r="S27" s="1718"/>
      <c r="T27" s="1718"/>
      <c r="U27" s="1718"/>
      <c r="V27" s="1718"/>
      <c r="W27" s="1718"/>
      <c r="X27" s="1718"/>
      <c r="Y27" s="1718"/>
      <c r="Z27" s="975"/>
      <c r="AA27" s="975"/>
      <c r="AB27" s="975"/>
      <c r="AC27" s="976"/>
      <c r="AD27" s="977">
        <v>1</v>
      </c>
      <c r="AE27" s="144"/>
      <c r="AF27" s="157">
        <f t="shared" si="0"/>
        <v>0.89</v>
      </c>
      <c r="AG27" s="157">
        <f t="shared" si="1"/>
        <v>1</v>
      </c>
      <c r="AH27" s="144"/>
      <c r="AI27" s="144"/>
      <c r="AJ27" s="144"/>
      <c r="AK27" s="144"/>
      <c r="AL27" s="144"/>
      <c r="AM27" s="161"/>
      <c r="AN27" s="161"/>
      <c r="AO27" s="161"/>
      <c r="AP27" s="161"/>
      <c r="AQ27" s="161"/>
      <c r="AR27" s="161"/>
      <c r="AS27" s="161"/>
      <c r="AT27" s="161"/>
      <c r="AU27" s="161"/>
      <c r="AV27" s="168" t="s">
        <v>343</v>
      </c>
      <c r="AW27" s="159">
        <f>SUM(AV20:AV23)*AQ20</f>
        <v>183.92000000000002</v>
      </c>
      <c r="AX27" s="161" t="s">
        <v>344</v>
      </c>
      <c r="AY27" s="161"/>
      <c r="AZ27" s="161"/>
      <c r="BA27" s="144"/>
      <c r="BB27" s="144"/>
      <c r="BC27" s="144"/>
      <c r="BD27" s="144"/>
      <c r="BE27" s="144"/>
      <c r="BF27" s="144"/>
      <c r="BG27" s="144"/>
      <c r="BH27" s="144"/>
      <c r="BI27" s="144"/>
      <c r="BJ27" s="144"/>
      <c r="BK27" s="144"/>
      <c r="BL27" s="144"/>
      <c r="BM27" s="144"/>
      <c r="BN27" s="144"/>
      <c r="BO27" s="144"/>
      <c r="BP27" s="144"/>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c r="CY27" s="156"/>
      <c r="CZ27" s="156"/>
      <c r="DA27" s="156"/>
      <c r="DB27" s="156"/>
      <c r="DC27" s="156"/>
      <c r="DD27" s="156"/>
      <c r="DE27" s="156"/>
      <c r="DF27" s="156"/>
      <c r="DG27" s="156"/>
      <c r="DH27" s="156"/>
      <c r="DI27" s="156"/>
      <c r="DJ27" s="156"/>
      <c r="DK27" s="156"/>
      <c r="DL27" s="156"/>
      <c r="DM27" s="156"/>
      <c r="DN27" s="156"/>
      <c r="DO27" s="156"/>
      <c r="DP27" s="156"/>
      <c r="DQ27" s="156"/>
      <c r="DR27" s="156"/>
      <c r="DS27" s="156"/>
      <c r="DT27" s="156"/>
      <c r="DU27" s="156"/>
      <c r="DV27" s="156"/>
      <c r="DW27" s="156"/>
    </row>
    <row r="28" spans="1:127" s="158" customFormat="1" ht="21" customHeight="1">
      <c r="A28" s="144"/>
      <c r="B28" s="971">
        <v>11</v>
      </c>
      <c r="C28" s="1718" t="s">
        <v>345</v>
      </c>
      <c r="D28" s="1718"/>
      <c r="E28" s="1718"/>
      <c r="F28" s="1718"/>
      <c r="G28" s="1718"/>
      <c r="H28" s="1718"/>
      <c r="I28" s="1718"/>
      <c r="J28" s="1718"/>
      <c r="K28" s="975"/>
      <c r="L28" s="975"/>
      <c r="M28" s="975">
        <v>1</v>
      </c>
      <c r="N28" s="976"/>
      <c r="O28" s="977"/>
      <c r="P28" s="151"/>
      <c r="Q28" s="971">
        <v>40</v>
      </c>
      <c r="R28" s="1718" t="s">
        <v>346</v>
      </c>
      <c r="S28" s="1718"/>
      <c r="T28" s="1718"/>
      <c r="U28" s="1718"/>
      <c r="V28" s="1718"/>
      <c r="W28" s="1718"/>
      <c r="X28" s="1718"/>
      <c r="Y28" s="1718"/>
      <c r="Z28" s="975"/>
      <c r="AA28" s="975"/>
      <c r="AB28" s="975"/>
      <c r="AC28" s="976"/>
      <c r="AD28" s="977">
        <v>1</v>
      </c>
      <c r="AE28" s="144"/>
      <c r="AF28" s="157">
        <f t="shared" si="0"/>
        <v>0.79</v>
      </c>
      <c r="AG28" s="157">
        <f t="shared" si="1"/>
        <v>1</v>
      </c>
      <c r="AH28" s="144"/>
      <c r="AI28" s="144"/>
      <c r="AJ28" s="144"/>
      <c r="AK28" s="144"/>
      <c r="AL28" s="144"/>
      <c r="AM28" s="161"/>
      <c r="AN28" s="161"/>
      <c r="AO28" s="161"/>
      <c r="AP28" s="161"/>
      <c r="AQ28" s="161"/>
      <c r="AR28" s="161"/>
      <c r="AS28" s="161"/>
      <c r="AT28" s="161"/>
      <c r="AU28" s="168"/>
      <c r="AV28" s="161"/>
      <c r="AW28" s="161"/>
      <c r="AX28" s="161"/>
      <c r="AY28" s="161"/>
      <c r="AZ28" s="161"/>
      <c r="BA28" s="144"/>
      <c r="BB28" s="144"/>
      <c r="BC28" s="144"/>
      <c r="BD28" s="144"/>
      <c r="BE28" s="144"/>
      <c r="BF28" s="144"/>
      <c r="BG28" s="144"/>
      <c r="BH28" s="144"/>
      <c r="BI28" s="144"/>
      <c r="BJ28" s="144"/>
      <c r="BK28" s="144"/>
      <c r="BL28" s="144"/>
      <c r="BM28" s="144"/>
      <c r="BN28" s="144"/>
      <c r="BO28" s="144"/>
      <c r="BP28" s="144"/>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c r="CY28" s="156"/>
      <c r="CZ28" s="156"/>
      <c r="DA28" s="156"/>
      <c r="DB28" s="156"/>
      <c r="DC28" s="156"/>
      <c r="DD28" s="156"/>
      <c r="DE28" s="156"/>
      <c r="DF28" s="156"/>
      <c r="DG28" s="156"/>
      <c r="DH28" s="156"/>
      <c r="DI28" s="156"/>
      <c r="DJ28" s="156"/>
      <c r="DK28" s="156"/>
      <c r="DL28" s="156"/>
      <c r="DM28" s="156"/>
      <c r="DN28" s="156"/>
      <c r="DO28" s="156"/>
      <c r="DP28" s="156"/>
      <c r="DQ28" s="156"/>
      <c r="DR28" s="156"/>
      <c r="DS28" s="156"/>
      <c r="DT28" s="156"/>
      <c r="DU28" s="156"/>
      <c r="DV28" s="156"/>
      <c r="DW28" s="156"/>
    </row>
    <row r="29" spans="1:127" s="158" customFormat="1" ht="21" customHeight="1" thickBot="1">
      <c r="A29" s="144"/>
      <c r="B29" s="971">
        <v>12</v>
      </c>
      <c r="C29" s="1718" t="s">
        <v>347</v>
      </c>
      <c r="D29" s="1718"/>
      <c r="E29" s="1718"/>
      <c r="F29" s="1718"/>
      <c r="G29" s="1718"/>
      <c r="H29" s="1718"/>
      <c r="I29" s="1718"/>
      <c r="J29" s="1718"/>
      <c r="K29" s="975"/>
      <c r="L29" s="975">
        <v>1</v>
      </c>
      <c r="M29" s="975"/>
      <c r="N29" s="976"/>
      <c r="O29" s="977"/>
      <c r="P29" s="151"/>
      <c r="Q29" s="971">
        <v>41</v>
      </c>
      <c r="R29" s="1718" t="s">
        <v>348</v>
      </c>
      <c r="S29" s="1718"/>
      <c r="T29" s="1718"/>
      <c r="U29" s="1718"/>
      <c r="V29" s="1718"/>
      <c r="W29" s="1718"/>
      <c r="X29" s="1718"/>
      <c r="Y29" s="1718"/>
      <c r="Z29" s="975"/>
      <c r="AA29" s="975"/>
      <c r="AB29" s="975"/>
      <c r="AC29" s="975"/>
      <c r="AD29" s="978">
        <v>1</v>
      </c>
      <c r="AE29" s="144"/>
      <c r="AF29" s="157">
        <f t="shared" si="0"/>
        <v>0.89</v>
      </c>
      <c r="AG29" s="157">
        <f t="shared" si="1"/>
        <v>1</v>
      </c>
      <c r="AH29" s="144"/>
      <c r="AI29" s="144"/>
      <c r="AJ29" s="144"/>
      <c r="AK29" s="144"/>
      <c r="AL29" s="144"/>
      <c r="AM29" s="161"/>
      <c r="AN29" s="161"/>
      <c r="AO29" s="159"/>
      <c r="AP29" s="160"/>
      <c r="AQ29" s="156"/>
      <c r="AR29" s="156"/>
      <c r="AS29" s="156"/>
      <c r="AT29" s="156"/>
      <c r="AU29" s="156"/>
      <c r="AV29" s="156"/>
      <c r="AW29" s="156"/>
      <c r="AX29" s="161"/>
      <c r="AY29" s="161"/>
      <c r="AZ29" s="161"/>
      <c r="BA29" s="144"/>
      <c r="BB29" s="144"/>
      <c r="BC29" s="144"/>
      <c r="BD29" s="144"/>
      <c r="BE29" s="144"/>
      <c r="BF29" s="144"/>
      <c r="BG29" s="144"/>
      <c r="BH29" s="144"/>
      <c r="BI29" s="144"/>
      <c r="BJ29" s="144"/>
      <c r="BK29" s="144"/>
      <c r="BL29" s="144"/>
      <c r="BM29" s="144"/>
      <c r="BN29" s="144"/>
      <c r="BO29" s="144"/>
      <c r="BP29" s="144"/>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c r="CY29" s="156"/>
      <c r="CZ29" s="156"/>
      <c r="DA29" s="156"/>
      <c r="DB29" s="156"/>
      <c r="DC29" s="156"/>
      <c r="DD29" s="156"/>
      <c r="DE29" s="156"/>
      <c r="DF29" s="156"/>
      <c r="DG29" s="156"/>
      <c r="DH29" s="156"/>
      <c r="DI29" s="156"/>
      <c r="DJ29" s="156"/>
      <c r="DK29" s="156"/>
      <c r="DL29" s="156"/>
      <c r="DM29" s="156"/>
      <c r="DN29" s="156"/>
      <c r="DO29" s="156"/>
      <c r="DP29" s="156"/>
      <c r="DQ29" s="156"/>
      <c r="DR29" s="156"/>
      <c r="DS29" s="156"/>
      <c r="DT29" s="156"/>
      <c r="DU29" s="156"/>
      <c r="DV29" s="156"/>
      <c r="DW29" s="156"/>
    </row>
    <row r="30" spans="1:127" s="158" customFormat="1" ht="21" customHeight="1" thickBot="1">
      <c r="A30" s="144"/>
      <c r="B30" s="971">
        <v>13</v>
      </c>
      <c r="C30" s="1717" t="s">
        <v>349</v>
      </c>
      <c r="D30" s="1717"/>
      <c r="E30" s="1717"/>
      <c r="F30" s="1717"/>
      <c r="G30" s="1717"/>
      <c r="H30" s="1717"/>
      <c r="I30" s="1717"/>
      <c r="J30" s="1717"/>
      <c r="K30" s="975"/>
      <c r="L30" s="975">
        <v>1</v>
      </c>
      <c r="M30" s="976"/>
      <c r="N30" s="975"/>
      <c r="O30" s="977"/>
      <c r="P30" s="151"/>
      <c r="Q30" s="971">
        <v>42</v>
      </c>
      <c r="R30" s="1718" t="s">
        <v>350</v>
      </c>
      <c r="S30" s="1718"/>
      <c r="T30" s="1718"/>
      <c r="U30" s="1718"/>
      <c r="V30" s="1718"/>
      <c r="W30" s="1718"/>
      <c r="X30" s="1718"/>
      <c r="Y30" s="1718"/>
      <c r="Z30" s="975"/>
      <c r="AA30" s="975"/>
      <c r="AB30" s="975"/>
      <c r="AC30" s="975"/>
      <c r="AD30" s="978">
        <v>1</v>
      </c>
      <c r="AE30" s="144"/>
      <c r="AF30" s="157">
        <f t="shared" si="0"/>
        <v>0.89</v>
      </c>
      <c r="AG30" s="157">
        <f t="shared" si="1"/>
        <v>1</v>
      </c>
      <c r="AH30" s="144"/>
      <c r="AI30" s="144"/>
      <c r="AJ30" s="144"/>
      <c r="AK30" s="144"/>
      <c r="AL30" s="144"/>
      <c r="AM30" s="161"/>
      <c r="AN30" s="161"/>
      <c r="AO30" s="159"/>
      <c r="AP30" s="156"/>
      <c r="AQ30" s="156"/>
      <c r="AR30" s="1757" t="s">
        <v>351</v>
      </c>
      <c r="AS30" s="1758"/>
      <c r="AT30" s="1758"/>
      <c r="AU30" s="1758"/>
      <c r="AV30" s="1759"/>
      <c r="AW30" s="1760" t="s">
        <v>352</v>
      </c>
      <c r="AX30" s="1761"/>
      <c r="AY30" s="1762"/>
      <c r="AZ30" s="153"/>
      <c r="BA30" s="144"/>
      <c r="BB30" s="144"/>
      <c r="BC30" s="144"/>
      <c r="BD30" s="144"/>
      <c r="BE30" s="144"/>
      <c r="BF30" s="144"/>
      <c r="BG30" s="144"/>
      <c r="BH30" s="144"/>
      <c r="BI30" s="144"/>
      <c r="BJ30" s="144"/>
      <c r="BK30" s="144"/>
      <c r="BL30" s="144"/>
      <c r="BM30" s="144"/>
      <c r="BN30" s="144"/>
      <c r="BO30" s="144"/>
      <c r="BP30" s="144"/>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c r="CY30" s="156"/>
      <c r="CZ30" s="156"/>
      <c r="DA30" s="156"/>
      <c r="DB30" s="156"/>
      <c r="DC30" s="156"/>
      <c r="DD30" s="156"/>
      <c r="DE30" s="156"/>
      <c r="DF30" s="156"/>
      <c r="DG30" s="156"/>
      <c r="DH30" s="156"/>
      <c r="DI30" s="156"/>
      <c r="DJ30" s="156"/>
      <c r="DK30" s="156"/>
      <c r="DL30" s="156"/>
      <c r="DM30" s="156"/>
      <c r="DN30" s="156"/>
      <c r="DO30" s="156"/>
      <c r="DP30" s="156"/>
      <c r="DQ30" s="156"/>
      <c r="DR30" s="156"/>
      <c r="DS30" s="156"/>
      <c r="DT30" s="156"/>
      <c r="DU30" s="156"/>
      <c r="DV30" s="156"/>
      <c r="DW30" s="156"/>
    </row>
    <row r="31" spans="1:127" s="158" customFormat="1" ht="21" customHeight="1" thickBot="1">
      <c r="A31" s="144"/>
      <c r="B31" s="971">
        <v>14</v>
      </c>
      <c r="C31" s="1717" t="s">
        <v>353</v>
      </c>
      <c r="D31" s="1717"/>
      <c r="E31" s="1717"/>
      <c r="F31" s="1717"/>
      <c r="G31" s="1717"/>
      <c r="H31" s="1717"/>
      <c r="I31" s="1717"/>
      <c r="J31" s="1717"/>
      <c r="K31" s="975"/>
      <c r="L31" s="975">
        <v>1</v>
      </c>
      <c r="M31" s="976"/>
      <c r="N31" s="975"/>
      <c r="O31" s="977"/>
      <c r="P31" s="151"/>
      <c r="Q31" s="971">
        <v>43</v>
      </c>
      <c r="R31" s="1718" t="s">
        <v>354</v>
      </c>
      <c r="S31" s="1718"/>
      <c r="T31" s="1718"/>
      <c r="U31" s="1718"/>
      <c r="V31" s="1718"/>
      <c r="W31" s="1718"/>
      <c r="X31" s="1718"/>
      <c r="Y31" s="1718"/>
      <c r="Z31" s="975"/>
      <c r="AA31" s="975"/>
      <c r="AB31" s="975">
        <v>1</v>
      </c>
      <c r="AC31" s="975">
        <v>1</v>
      </c>
      <c r="AD31" s="978"/>
      <c r="AE31" s="144"/>
      <c r="AF31" s="157">
        <f t="shared" si="0"/>
        <v>0.89</v>
      </c>
      <c r="AG31" s="157">
        <f t="shared" si="1"/>
        <v>1.48</v>
      </c>
      <c r="AH31" s="144"/>
      <c r="AI31" s="144"/>
      <c r="AJ31" s="144"/>
      <c r="AK31" s="144"/>
      <c r="AL31" s="144"/>
      <c r="AM31" s="161"/>
      <c r="AN31" s="159">
        <f>MAX(AN20:AN24)</f>
        <v>58</v>
      </c>
      <c r="AO31" s="161"/>
      <c r="AP31" s="156"/>
      <c r="AQ31" s="156"/>
      <c r="AR31" s="1763">
        <f>AW25</f>
        <v>121.98</v>
      </c>
      <c r="AS31" s="1764"/>
      <c r="AT31" s="1764"/>
      <c r="AU31" s="1764"/>
      <c r="AV31" s="1765"/>
      <c r="AW31" s="1749">
        <f>SUM(100/AR33*AR31)</f>
        <v>66.322314049586765</v>
      </c>
      <c r="AX31" s="1750"/>
      <c r="AY31" s="1753" t="s">
        <v>355</v>
      </c>
      <c r="AZ31" s="169"/>
      <c r="BA31" s="144"/>
      <c r="BB31" s="144"/>
      <c r="BC31" s="144"/>
      <c r="BD31" s="144"/>
      <c r="BE31" s="144"/>
      <c r="BF31" s="144"/>
      <c r="BG31" s="144"/>
      <c r="BH31" s="144"/>
      <c r="BI31" s="144"/>
      <c r="BJ31" s="144"/>
      <c r="BK31" s="144"/>
      <c r="BL31" s="144"/>
      <c r="BM31" s="144"/>
      <c r="BN31" s="144"/>
      <c r="BO31" s="144"/>
      <c r="BP31" s="144"/>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c r="CY31" s="156"/>
      <c r="CZ31" s="156"/>
      <c r="DA31" s="156"/>
      <c r="DB31" s="156"/>
      <c r="DC31" s="156"/>
      <c r="DD31" s="156"/>
      <c r="DE31" s="156"/>
      <c r="DF31" s="156"/>
      <c r="DG31" s="156"/>
      <c r="DH31" s="156"/>
      <c r="DI31" s="156"/>
      <c r="DJ31" s="156"/>
      <c r="DK31" s="156"/>
      <c r="DL31" s="156"/>
      <c r="DM31" s="156"/>
      <c r="DN31" s="156"/>
      <c r="DO31" s="156"/>
      <c r="DP31" s="156"/>
      <c r="DQ31" s="156"/>
      <c r="DR31" s="156"/>
      <c r="DS31" s="156"/>
      <c r="DT31" s="156"/>
      <c r="DU31" s="156"/>
      <c r="DV31" s="156"/>
      <c r="DW31" s="156"/>
    </row>
    <row r="32" spans="1:127" s="158" customFormat="1" ht="21" customHeight="1">
      <c r="A32" s="144"/>
      <c r="B32" s="971">
        <v>15</v>
      </c>
      <c r="C32" s="1718" t="s">
        <v>356</v>
      </c>
      <c r="D32" s="1756"/>
      <c r="E32" s="1756"/>
      <c r="F32" s="1756"/>
      <c r="G32" s="1756"/>
      <c r="H32" s="1756"/>
      <c r="I32" s="1756"/>
      <c r="J32" s="1756"/>
      <c r="K32" s="975"/>
      <c r="L32" s="975"/>
      <c r="M32" s="976"/>
      <c r="N32" s="975">
        <v>1</v>
      </c>
      <c r="O32" s="977"/>
      <c r="P32" s="151"/>
      <c r="Q32" s="971">
        <v>44</v>
      </c>
      <c r="R32" s="1746" t="s">
        <v>357</v>
      </c>
      <c r="S32" s="1746"/>
      <c r="T32" s="1746"/>
      <c r="U32" s="1746"/>
      <c r="V32" s="1746"/>
      <c r="W32" s="1746"/>
      <c r="X32" s="1746"/>
      <c r="Y32" s="1746"/>
      <c r="Z32" s="975"/>
      <c r="AA32" s="975"/>
      <c r="AB32" s="975">
        <v>1</v>
      </c>
      <c r="AC32" s="975">
        <v>0.48</v>
      </c>
      <c r="AD32" s="978"/>
      <c r="AE32" s="144"/>
      <c r="AF32" s="157">
        <f t="shared" si="0"/>
        <v>0.69</v>
      </c>
      <c r="AG32" s="157">
        <f t="shared" si="1"/>
        <v>1.1212</v>
      </c>
      <c r="AH32" s="144"/>
      <c r="AI32" s="144"/>
      <c r="AJ32" s="144"/>
      <c r="AK32" s="144"/>
      <c r="AL32" s="144"/>
      <c r="AM32" s="161"/>
      <c r="AN32" s="161"/>
      <c r="AO32" s="161"/>
      <c r="AP32" s="156"/>
      <c r="AQ32" s="156"/>
      <c r="AR32" s="1757" t="s">
        <v>358</v>
      </c>
      <c r="AS32" s="1758"/>
      <c r="AT32" s="1758"/>
      <c r="AU32" s="1758"/>
      <c r="AV32" s="1759"/>
      <c r="AW32" s="1749"/>
      <c r="AX32" s="1750"/>
      <c r="AY32" s="1754"/>
      <c r="AZ32" s="169"/>
      <c r="BA32" s="144"/>
      <c r="BB32" s="170"/>
      <c r="BC32" s="156"/>
      <c r="BD32" s="156"/>
      <c r="BE32" s="156"/>
      <c r="BF32" s="156"/>
      <c r="BG32" s="156"/>
      <c r="BH32" s="156"/>
      <c r="BI32" s="156"/>
      <c r="BJ32" s="156"/>
      <c r="BK32" s="156"/>
      <c r="BL32" s="156"/>
      <c r="BM32" s="156"/>
      <c r="BN32" s="156"/>
      <c r="BO32" s="161"/>
      <c r="BP32" s="171">
        <v>31</v>
      </c>
      <c r="BQ32" s="156"/>
      <c r="BR32" s="156"/>
      <c r="BS32" s="156"/>
      <c r="BT32" s="156"/>
      <c r="BU32" s="156"/>
      <c r="BV32" s="156"/>
      <c r="BW32" s="156"/>
      <c r="BX32" s="156"/>
      <c r="BY32" s="165"/>
      <c r="BZ32" s="165"/>
      <c r="CA32" s="165"/>
      <c r="CB32" s="165"/>
      <c r="CC32" s="165"/>
      <c r="CD32" s="165"/>
      <c r="CE32" s="165"/>
      <c r="CF32" s="165"/>
      <c r="CG32" s="165"/>
      <c r="CH32" s="165"/>
      <c r="CI32" s="165"/>
      <c r="CJ32" s="165"/>
      <c r="CK32" s="165"/>
      <c r="CL32" s="165"/>
      <c r="CM32" s="165"/>
      <c r="CN32" s="165"/>
      <c r="CO32" s="165"/>
      <c r="CP32" s="165"/>
      <c r="CQ32" s="165"/>
      <c r="CR32" s="165"/>
      <c r="CS32" s="165"/>
      <c r="CT32" s="165"/>
      <c r="CU32" s="165"/>
      <c r="CV32" s="165"/>
      <c r="CW32" s="165"/>
      <c r="CX32" s="165"/>
      <c r="CY32" s="165"/>
      <c r="CZ32" s="165"/>
      <c r="DA32" s="165"/>
      <c r="DB32" s="165"/>
      <c r="DC32" s="165"/>
      <c r="DD32" s="165"/>
      <c r="DE32" s="165"/>
      <c r="DF32" s="165"/>
      <c r="DG32" s="165"/>
      <c r="DH32" s="165"/>
      <c r="DI32" s="165"/>
      <c r="DJ32" s="165"/>
      <c r="DK32" s="165"/>
      <c r="DL32" s="165"/>
      <c r="DM32" s="165"/>
      <c r="DN32" s="165"/>
      <c r="DO32" s="165"/>
      <c r="DP32" s="165"/>
      <c r="DQ32" s="165"/>
      <c r="DR32" s="165"/>
      <c r="DS32" s="165"/>
      <c r="DT32" s="165"/>
      <c r="DU32" s="165"/>
      <c r="DV32" s="165"/>
      <c r="DW32" s="165"/>
    </row>
    <row r="33" spans="1:127" s="158" customFormat="1" ht="21" customHeight="1" thickBot="1">
      <c r="A33" s="144"/>
      <c r="B33" s="971">
        <v>16</v>
      </c>
      <c r="C33" s="1717" t="s">
        <v>359</v>
      </c>
      <c r="D33" s="1717"/>
      <c r="E33" s="1717"/>
      <c r="F33" s="1717"/>
      <c r="G33" s="1717"/>
      <c r="H33" s="1717"/>
      <c r="I33" s="1717"/>
      <c r="J33" s="1717"/>
      <c r="K33" s="975"/>
      <c r="L33" s="975"/>
      <c r="M33" s="976"/>
      <c r="N33" s="975"/>
      <c r="O33" s="977">
        <v>1</v>
      </c>
      <c r="P33" s="151"/>
      <c r="Q33" s="971">
        <v>45</v>
      </c>
      <c r="R33" s="1717" t="s">
        <v>360</v>
      </c>
      <c r="S33" s="1717"/>
      <c r="T33" s="1717"/>
      <c r="U33" s="1717"/>
      <c r="V33" s="1717"/>
      <c r="W33" s="1717"/>
      <c r="X33" s="1717"/>
      <c r="Y33" s="1717"/>
      <c r="Z33" s="975"/>
      <c r="AA33" s="975"/>
      <c r="AB33" s="975">
        <v>1</v>
      </c>
      <c r="AC33" s="975"/>
      <c r="AD33" s="978"/>
      <c r="AE33" s="144"/>
      <c r="AF33" s="157">
        <f t="shared" si="0"/>
        <v>1</v>
      </c>
      <c r="AG33" s="157">
        <f t="shared" si="1"/>
        <v>0.79</v>
      </c>
      <c r="AH33" s="144"/>
      <c r="AI33" s="144"/>
      <c r="AJ33" s="144"/>
      <c r="AK33" s="144"/>
      <c r="AL33" s="144"/>
      <c r="AM33" s="161"/>
      <c r="AN33" s="161"/>
      <c r="AO33" s="161"/>
      <c r="AP33" s="156"/>
      <c r="AQ33" s="156"/>
      <c r="AR33" s="1763">
        <f>AW27</f>
        <v>183.92000000000002</v>
      </c>
      <c r="AS33" s="1764"/>
      <c r="AT33" s="1764"/>
      <c r="AU33" s="1764"/>
      <c r="AV33" s="1765"/>
      <c r="AW33" s="1751"/>
      <c r="AX33" s="1752"/>
      <c r="AY33" s="1755"/>
      <c r="AZ33" s="172"/>
      <c r="BA33" s="144"/>
      <c r="BB33" s="170"/>
      <c r="BC33" s="156"/>
      <c r="BD33" s="156"/>
      <c r="BE33" s="156"/>
      <c r="BF33" s="156"/>
      <c r="BG33" s="156"/>
      <c r="BH33" s="156"/>
      <c r="BI33" s="156"/>
      <c r="BJ33" s="156"/>
      <c r="BK33" s="156"/>
      <c r="BL33" s="156"/>
      <c r="BM33" s="156"/>
      <c r="BN33" s="156"/>
      <c r="BO33" s="161"/>
      <c r="BP33" s="171">
        <v>32</v>
      </c>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c r="CY33" s="156"/>
      <c r="CZ33" s="156"/>
      <c r="DA33" s="156"/>
      <c r="DB33" s="156"/>
      <c r="DC33" s="156"/>
      <c r="DD33" s="156"/>
      <c r="DE33" s="156"/>
      <c r="DF33" s="156"/>
      <c r="DG33" s="156"/>
      <c r="DH33" s="156"/>
      <c r="DI33" s="156"/>
      <c r="DJ33" s="156"/>
      <c r="DK33" s="156"/>
      <c r="DL33" s="156"/>
      <c r="DM33" s="156"/>
      <c r="DN33" s="156"/>
      <c r="DO33" s="156"/>
      <c r="DP33" s="156"/>
      <c r="DQ33" s="156"/>
      <c r="DR33" s="156"/>
      <c r="DS33" s="156"/>
      <c r="DT33" s="156"/>
      <c r="DU33" s="156"/>
      <c r="DV33" s="156"/>
      <c r="DW33" s="156"/>
    </row>
    <row r="34" spans="1:127" s="158" customFormat="1" ht="21" customHeight="1">
      <c r="A34" s="144"/>
      <c r="B34" s="971">
        <v>17</v>
      </c>
      <c r="C34" s="1718" t="s">
        <v>361</v>
      </c>
      <c r="D34" s="1718"/>
      <c r="E34" s="1718"/>
      <c r="F34" s="1718"/>
      <c r="G34" s="1718"/>
      <c r="H34" s="1718"/>
      <c r="I34" s="1718"/>
      <c r="J34" s="1718"/>
      <c r="K34" s="975">
        <v>1</v>
      </c>
      <c r="L34" s="975"/>
      <c r="M34" s="976"/>
      <c r="N34" s="975"/>
      <c r="O34" s="977"/>
      <c r="P34" s="151"/>
      <c r="Q34" s="971">
        <v>46</v>
      </c>
      <c r="R34" s="1718" t="s">
        <v>362</v>
      </c>
      <c r="S34" s="1718"/>
      <c r="T34" s="1718"/>
      <c r="U34" s="1718"/>
      <c r="V34" s="1718"/>
      <c r="W34" s="1718"/>
      <c r="X34" s="1718"/>
      <c r="Y34" s="1718"/>
      <c r="Z34" s="975"/>
      <c r="AA34" s="975"/>
      <c r="AB34" s="975"/>
      <c r="AC34" s="975"/>
      <c r="AD34" s="978">
        <v>1</v>
      </c>
      <c r="AE34" s="144"/>
      <c r="AF34" s="157">
        <f t="shared" si="0"/>
        <v>1</v>
      </c>
      <c r="AG34" s="157">
        <f t="shared" si="1"/>
        <v>1</v>
      </c>
      <c r="AH34" s="144"/>
      <c r="AI34" s="144"/>
      <c r="AJ34" s="144"/>
      <c r="AK34" s="144"/>
      <c r="AL34" s="144"/>
      <c r="AM34" s="144"/>
      <c r="AN34" s="144"/>
      <c r="AO34" s="144"/>
      <c r="AP34" s="144"/>
      <c r="AQ34" s="144"/>
      <c r="AR34" s="144"/>
      <c r="AS34" s="144"/>
      <c r="AT34" s="173"/>
      <c r="AU34" s="144"/>
      <c r="AV34" s="144"/>
      <c r="AW34" s="144"/>
      <c r="AX34" s="144"/>
      <c r="AY34" s="144"/>
      <c r="AZ34" s="144"/>
      <c r="BA34" s="144"/>
      <c r="BB34" s="170"/>
      <c r="BC34" s="156"/>
      <c r="BD34" s="156"/>
      <c r="BE34" s="156"/>
      <c r="BF34" s="156"/>
      <c r="BG34" s="156"/>
      <c r="BH34" s="156"/>
      <c r="BI34" s="156"/>
      <c r="BJ34" s="156"/>
      <c r="BK34" s="156"/>
      <c r="BL34" s="156"/>
      <c r="BM34" s="156"/>
      <c r="BN34" s="156"/>
      <c r="BO34" s="161"/>
      <c r="BP34" s="171">
        <v>33</v>
      </c>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c r="CY34" s="156"/>
      <c r="CZ34" s="156"/>
      <c r="DA34" s="156"/>
      <c r="DB34" s="156"/>
      <c r="DC34" s="156"/>
      <c r="DD34" s="156"/>
      <c r="DE34" s="156"/>
      <c r="DF34" s="156"/>
      <c r="DG34" s="156"/>
      <c r="DH34" s="156"/>
      <c r="DI34" s="156"/>
      <c r="DJ34" s="156"/>
      <c r="DK34" s="156"/>
      <c r="DL34" s="156"/>
      <c r="DM34" s="156"/>
      <c r="DN34" s="156"/>
      <c r="DO34" s="156"/>
      <c r="DP34" s="156"/>
      <c r="DQ34" s="156"/>
      <c r="DR34" s="156"/>
      <c r="DS34" s="156"/>
      <c r="DT34" s="156"/>
      <c r="DU34" s="156"/>
      <c r="DV34" s="156"/>
      <c r="DW34" s="156"/>
    </row>
    <row r="35" spans="1:127" s="158" customFormat="1" ht="21" customHeight="1">
      <c r="A35" s="144"/>
      <c r="B35" s="971">
        <v>18</v>
      </c>
      <c r="C35" s="1718" t="s">
        <v>363</v>
      </c>
      <c r="D35" s="1718"/>
      <c r="E35" s="1718"/>
      <c r="F35" s="1718"/>
      <c r="G35" s="1718"/>
      <c r="H35" s="1718"/>
      <c r="I35" s="1718"/>
      <c r="J35" s="1718"/>
      <c r="K35" s="975"/>
      <c r="L35" s="975">
        <v>1</v>
      </c>
      <c r="M35" s="976"/>
      <c r="N35" s="975"/>
      <c r="O35" s="977"/>
      <c r="P35" s="151"/>
      <c r="Q35" s="971">
        <v>47</v>
      </c>
      <c r="R35" s="1718" t="s">
        <v>364</v>
      </c>
      <c r="S35" s="1718"/>
      <c r="T35" s="1718"/>
      <c r="U35" s="1718"/>
      <c r="V35" s="1718"/>
      <c r="W35" s="1718"/>
      <c r="X35" s="1718"/>
      <c r="Y35" s="1718"/>
      <c r="Z35" s="975"/>
      <c r="AA35" s="975"/>
      <c r="AB35" s="975"/>
      <c r="AC35" s="975"/>
      <c r="AD35" s="978">
        <v>1</v>
      </c>
      <c r="AE35" s="144"/>
      <c r="AF35" s="157">
        <f t="shared" si="0"/>
        <v>0.89</v>
      </c>
      <c r="AG35" s="157">
        <f t="shared" si="1"/>
        <v>1</v>
      </c>
      <c r="AH35" s="144"/>
      <c r="AI35" s="144"/>
      <c r="AJ35" s="144"/>
      <c r="AK35" s="144"/>
      <c r="AL35" s="144"/>
      <c r="AM35" s="144"/>
      <c r="AN35" s="144"/>
      <c r="AO35" s="144"/>
      <c r="AP35" s="144"/>
      <c r="AQ35" s="144"/>
      <c r="AR35" s="144"/>
      <c r="AS35" s="144"/>
      <c r="AT35" s="144"/>
      <c r="AU35" s="144"/>
      <c r="AV35" s="144"/>
      <c r="AW35" s="144"/>
      <c r="AX35" s="144"/>
      <c r="AY35" s="144"/>
      <c r="AZ35" s="144"/>
      <c r="BA35" s="144"/>
      <c r="BB35" s="170"/>
      <c r="BC35" s="156"/>
      <c r="BD35" s="156"/>
      <c r="BE35" s="156"/>
      <c r="BF35" s="156"/>
      <c r="BG35" s="156"/>
      <c r="BH35" s="156"/>
      <c r="BI35" s="156"/>
      <c r="BJ35" s="156"/>
      <c r="BK35" s="156"/>
      <c r="BL35" s="156"/>
      <c r="BM35" s="156"/>
      <c r="BN35" s="156"/>
      <c r="BO35" s="161"/>
      <c r="BP35" s="171">
        <v>34</v>
      </c>
      <c r="BQ35" s="156"/>
      <c r="BR35" s="156"/>
      <c r="BS35" s="156"/>
      <c r="BT35" s="156"/>
      <c r="BU35" s="156"/>
      <c r="BV35" s="156"/>
      <c r="BW35" s="156"/>
      <c r="BX35" s="156"/>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c r="DN35" s="174"/>
      <c r="DO35" s="174"/>
      <c r="DP35" s="174"/>
      <c r="DQ35" s="174"/>
      <c r="DR35" s="174"/>
      <c r="DS35" s="174"/>
      <c r="DT35" s="174"/>
      <c r="DU35" s="174"/>
      <c r="DV35" s="174"/>
      <c r="DW35" s="174"/>
    </row>
    <row r="36" spans="1:127" s="158" customFormat="1" ht="21" customHeight="1">
      <c r="A36" s="144"/>
      <c r="B36" s="971">
        <v>19</v>
      </c>
      <c r="C36" s="1718" t="s">
        <v>365</v>
      </c>
      <c r="D36" s="1718"/>
      <c r="E36" s="1718"/>
      <c r="F36" s="1718"/>
      <c r="G36" s="1718"/>
      <c r="H36" s="1718"/>
      <c r="I36" s="1718"/>
      <c r="J36" s="1718"/>
      <c r="K36" s="975"/>
      <c r="L36" s="975"/>
      <c r="M36" s="975"/>
      <c r="N36" s="975">
        <v>1</v>
      </c>
      <c r="O36" s="978"/>
      <c r="P36" s="151"/>
      <c r="Q36" s="971">
        <v>48</v>
      </c>
      <c r="R36" s="1718" t="s">
        <v>366</v>
      </c>
      <c r="S36" s="1718"/>
      <c r="T36" s="1718"/>
      <c r="U36" s="1718"/>
      <c r="V36" s="1718"/>
      <c r="W36" s="1718"/>
      <c r="X36" s="1718"/>
      <c r="Y36" s="1718"/>
      <c r="Z36" s="975"/>
      <c r="AA36" s="975"/>
      <c r="AB36" s="975">
        <v>1</v>
      </c>
      <c r="AC36" s="975"/>
      <c r="AD36" s="978"/>
      <c r="AE36" s="144"/>
      <c r="AF36" s="157">
        <f t="shared" si="0"/>
        <v>0.69</v>
      </c>
      <c r="AG36" s="157">
        <f t="shared" si="1"/>
        <v>0.79</v>
      </c>
      <c r="AH36" s="144"/>
      <c r="AI36" s="144"/>
      <c r="AJ36" s="144"/>
      <c r="AK36" s="144"/>
      <c r="AL36" s="144"/>
      <c r="AM36" s="144"/>
      <c r="AN36" s="144"/>
      <c r="AO36" s="144"/>
      <c r="AP36" s="144"/>
      <c r="AQ36" s="144"/>
      <c r="AR36" s="144"/>
      <c r="AS36" s="144"/>
      <c r="AT36" s="144"/>
      <c r="AU36" s="144"/>
      <c r="AV36" s="144"/>
      <c r="AW36" s="144"/>
      <c r="AX36" s="144"/>
      <c r="AY36" s="144"/>
      <c r="AZ36" s="144"/>
      <c r="BA36" s="144"/>
      <c r="BB36" s="170"/>
      <c r="BC36" s="156"/>
      <c r="BD36" s="156"/>
      <c r="BE36" s="156"/>
      <c r="BF36" s="156"/>
      <c r="BG36" s="156"/>
      <c r="BH36" s="156"/>
      <c r="BI36" s="156"/>
      <c r="BJ36" s="156"/>
      <c r="BK36" s="156"/>
      <c r="BL36" s="156"/>
      <c r="BM36" s="156"/>
      <c r="BN36" s="156"/>
      <c r="BO36" s="161"/>
      <c r="BP36" s="171">
        <v>35</v>
      </c>
      <c r="BQ36" s="156"/>
      <c r="BR36" s="156"/>
      <c r="BS36" s="156"/>
      <c r="BT36" s="156"/>
      <c r="BU36" s="156"/>
      <c r="BV36" s="156"/>
      <c r="BW36" s="156"/>
      <c r="BX36" s="156"/>
      <c r="BY36" s="174"/>
      <c r="BZ36" s="174"/>
      <c r="CA36" s="174"/>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c r="DN36" s="174"/>
      <c r="DO36" s="174"/>
      <c r="DP36" s="174"/>
      <c r="DQ36" s="174"/>
      <c r="DR36" s="174"/>
      <c r="DS36" s="174"/>
      <c r="DT36" s="174"/>
      <c r="DU36" s="174"/>
      <c r="DV36" s="174"/>
      <c r="DW36" s="174"/>
    </row>
    <row r="37" spans="1:127" s="158" customFormat="1" ht="21" customHeight="1">
      <c r="A37" s="144"/>
      <c r="B37" s="971">
        <v>20</v>
      </c>
      <c r="C37" s="1718" t="s">
        <v>367</v>
      </c>
      <c r="D37" s="1718"/>
      <c r="E37" s="1718"/>
      <c r="F37" s="1718"/>
      <c r="G37" s="1718"/>
      <c r="H37" s="1718"/>
      <c r="I37" s="1718"/>
      <c r="J37" s="1718"/>
      <c r="K37" s="975">
        <v>1</v>
      </c>
      <c r="L37" s="976"/>
      <c r="M37" s="975"/>
      <c r="N37" s="975"/>
      <c r="O37" s="977"/>
      <c r="P37" s="151"/>
      <c r="Q37" s="971">
        <v>49</v>
      </c>
      <c r="R37" s="1718" t="s">
        <v>368</v>
      </c>
      <c r="S37" s="1718"/>
      <c r="T37" s="1718"/>
      <c r="U37" s="1718"/>
      <c r="V37" s="1718"/>
      <c r="W37" s="1718"/>
      <c r="X37" s="1718"/>
      <c r="Y37" s="1718"/>
      <c r="Z37" s="975"/>
      <c r="AA37" s="975"/>
      <c r="AB37" s="975"/>
      <c r="AC37" s="975"/>
      <c r="AD37" s="978">
        <v>1</v>
      </c>
      <c r="AE37" s="144"/>
      <c r="AF37" s="157">
        <f t="shared" si="0"/>
        <v>1</v>
      </c>
      <c r="AG37" s="157">
        <f t="shared" si="1"/>
        <v>1</v>
      </c>
      <c r="AH37" s="144"/>
      <c r="AI37" s="144"/>
      <c r="AJ37" s="144"/>
      <c r="AK37" s="144"/>
      <c r="AL37" s="144"/>
      <c r="AM37" s="144"/>
      <c r="AN37" s="144"/>
      <c r="AO37" s="144"/>
      <c r="AP37" s="144"/>
      <c r="AQ37" s="144"/>
      <c r="AR37" s="144"/>
      <c r="AS37" s="144"/>
      <c r="AT37" s="144"/>
      <c r="AU37" s="144"/>
      <c r="AV37" s="144"/>
      <c r="AW37" s="144"/>
      <c r="AX37" s="144"/>
      <c r="AY37" s="144"/>
      <c r="AZ37" s="144"/>
      <c r="BA37" s="144"/>
      <c r="BB37" s="170"/>
      <c r="BC37" s="156"/>
      <c r="BD37" s="156"/>
      <c r="BE37" s="156"/>
      <c r="BF37" s="156"/>
      <c r="BG37" s="156"/>
      <c r="BH37" s="156"/>
      <c r="BI37" s="156"/>
      <c r="BJ37" s="156"/>
      <c r="BK37" s="156"/>
      <c r="BL37" s="156"/>
      <c r="BM37" s="156"/>
      <c r="BN37" s="156"/>
      <c r="BO37" s="161"/>
      <c r="BP37" s="171">
        <v>36</v>
      </c>
      <c r="BQ37" s="156"/>
      <c r="BR37" s="156"/>
      <c r="BS37" s="156"/>
      <c r="BT37" s="156"/>
      <c r="BU37" s="156"/>
      <c r="BV37" s="156"/>
      <c r="BW37" s="156"/>
      <c r="BX37" s="156"/>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c r="DN37" s="174"/>
      <c r="DO37" s="174"/>
      <c r="DP37" s="174"/>
      <c r="DQ37" s="174"/>
      <c r="DR37" s="174"/>
      <c r="DS37" s="174"/>
      <c r="DT37" s="174"/>
      <c r="DU37" s="174"/>
      <c r="DV37" s="174"/>
      <c r="DW37" s="174"/>
    </row>
    <row r="38" spans="1:127" s="158" customFormat="1" ht="21" customHeight="1">
      <c r="A38" s="144"/>
      <c r="B38" s="971">
        <v>21</v>
      </c>
      <c r="C38" s="1718" t="s">
        <v>369</v>
      </c>
      <c r="D38" s="1718"/>
      <c r="E38" s="1718"/>
      <c r="F38" s="1718"/>
      <c r="G38" s="1718"/>
      <c r="H38" s="1718"/>
      <c r="I38" s="1718"/>
      <c r="J38" s="1718"/>
      <c r="K38" s="975"/>
      <c r="L38" s="976">
        <v>1</v>
      </c>
      <c r="M38" s="975"/>
      <c r="N38" s="975"/>
      <c r="O38" s="977"/>
      <c r="P38" s="151"/>
      <c r="Q38" s="971">
        <v>50</v>
      </c>
      <c r="R38" s="1718" t="s">
        <v>370</v>
      </c>
      <c r="S38" s="1718"/>
      <c r="T38" s="1718"/>
      <c r="U38" s="1718"/>
      <c r="V38" s="1718"/>
      <c r="W38" s="1718"/>
      <c r="X38" s="1718"/>
      <c r="Y38" s="1718"/>
      <c r="Z38" s="975">
        <v>1</v>
      </c>
      <c r="AA38" s="975"/>
      <c r="AB38" s="976"/>
      <c r="AC38" s="975"/>
      <c r="AD38" s="977"/>
      <c r="AE38" s="144"/>
      <c r="AF38" s="157">
        <f t="shared" si="0"/>
        <v>0.89</v>
      </c>
      <c r="AG38" s="157">
        <f t="shared" si="1"/>
        <v>1</v>
      </c>
      <c r="AH38" s="144"/>
      <c r="AI38" s="144"/>
      <c r="AJ38" s="144"/>
      <c r="AK38" s="144"/>
      <c r="AL38" s="144"/>
      <c r="AM38" s="144"/>
      <c r="AN38" s="144"/>
      <c r="AO38" s="144"/>
      <c r="AP38" s="144"/>
      <c r="AQ38" s="144"/>
      <c r="AR38" s="144"/>
      <c r="AS38" s="144"/>
      <c r="AT38" s="144"/>
      <c r="AU38" s="144"/>
      <c r="AV38" s="144"/>
      <c r="AW38" s="144"/>
      <c r="AX38" s="144"/>
      <c r="AY38" s="144"/>
      <c r="AZ38" s="144"/>
      <c r="BA38" s="144"/>
      <c r="BB38" s="170"/>
      <c r="BC38" s="156"/>
      <c r="BD38" s="156"/>
      <c r="BE38" s="156"/>
      <c r="BF38" s="156"/>
      <c r="BG38" s="156"/>
      <c r="BH38" s="156"/>
      <c r="BI38" s="156"/>
      <c r="BJ38" s="156"/>
      <c r="BK38" s="156"/>
      <c r="BL38" s="156"/>
      <c r="BM38" s="156"/>
      <c r="BN38" s="156"/>
      <c r="BO38" s="161"/>
      <c r="BP38" s="171">
        <v>37</v>
      </c>
      <c r="BQ38" s="156"/>
      <c r="BR38" s="156"/>
      <c r="BS38" s="156"/>
      <c r="BT38" s="156"/>
      <c r="BU38" s="156"/>
      <c r="BV38" s="156"/>
      <c r="BW38" s="156"/>
      <c r="BX38" s="156"/>
      <c r="BY38" s="174"/>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c r="DN38" s="174"/>
      <c r="DO38" s="174"/>
      <c r="DP38" s="174"/>
      <c r="DQ38" s="174"/>
      <c r="DR38" s="174"/>
      <c r="DS38" s="174"/>
      <c r="DT38" s="174"/>
      <c r="DU38" s="174"/>
      <c r="DV38" s="174"/>
      <c r="DW38" s="174"/>
    </row>
    <row r="39" spans="1:127" s="158" customFormat="1" ht="21" customHeight="1">
      <c r="A39" s="144"/>
      <c r="B39" s="971">
        <v>22</v>
      </c>
      <c r="C39" s="1718" t="s">
        <v>371</v>
      </c>
      <c r="D39" s="1718"/>
      <c r="E39" s="1718"/>
      <c r="F39" s="1718"/>
      <c r="G39" s="1718"/>
      <c r="H39" s="1718"/>
      <c r="I39" s="1718"/>
      <c r="J39" s="1718"/>
      <c r="K39" s="975"/>
      <c r="L39" s="975"/>
      <c r="M39" s="975"/>
      <c r="N39" s="975"/>
      <c r="O39" s="978">
        <v>1</v>
      </c>
      <c r="P39" s="151"/>
      <c r="Q39" s="971">
        <v>51</v>
      </c>
      <c r="R39" s="1746" t="s">
        <v>372</v>
      </c>
      <c r="S39" s="1746"/>
      <c r="T39" s="1746"/>
      <c r="U39" s="1746"/>
      <c r="V39" s="1746"/>
      <c r="W39" s="1746"/>
      <c r="X39" s="1746"/>
      <c r="Y39" s="1746"/>
      <c r="Z39" s="975"/>
      <c r="AA39" s="975"/>
      <c r="AB39" s="976"/>
      <c r="AC39" s="975"/>
      <c r="AD39" s="977">
        <v>1</v>
      </c>
      <c r="AE39" s="144"/>
      <c r="AF39" s="157">
        <f t="shared" si="0"/>
        <v>1</v>
      </c>
      <c r="AG39" s="157">
        <f t="shared" si="1"/>
        <v>1</v>
      </c>
      <c r="AH39" s="144"/>
      <c r="AI39" s="144"/>
      <c r="AJ39" s="144"/>
      <c r="AK39" s="144"/>
      <c r="AL39" s="144"/>
      <c r="AM39" s="144"/>
      <c r="AN39" s="144"/>
      <c r="AO39" s="144"/>
      <c r="AP39" s="144"/>
      <c r="AQ39" s="144"/>
      <c r="AR39" s="144"/>
      <c r="AS39" s="144"/>
      <c r="AT39" s="144"/>
      <c r="AU39" s="144"/>
      <c r="AV39" s="144"/>
      <c r="AW39" s="144"/>
      <c r="AX39" s="144"/>
      <c r="AY39" s="144"/>
      <c r="AZ39" s="144"/>
      <c r="BA39" s="144"/>
      <c r="BB39" s="170"/>
      <c r="BC39" s="156"/>
      <c r="BD39" s="156"/>
      <c r="BE39" s="156"/>
      <c r="BF39" s="156"/>
      <c r="BG39" s="156"/>
      <c r="BH39" s="156"/>
      <c r="BI39" s="156"/>
      <c r="BJ39" s="156"/>
      <c r="BK39" s="156"/>
      <c r="BL39" s="156"/>
      <c r="BM39" s="156"/>
      <c r="BN39" s="156"/>
      <c r="BO39" s="161"/>
      <c r="BP39" s="171">
        <v>38</v>
      </c>
      <c r="BQ39" s="156"/>
      <c r="BR39" s="156"/>
      <c r="BS39" s="156"/>
      <c r="BT39" s="156"/>
      <c r="BU39" s="156"/>
      <c r="BV39" s="156"/>
      <c r="BW39" s="156"/>
      <c r="BX39" s="156"/>
      <c r="BY39" s="174"/>
      <c r="BZ39" s="174"/>
      <c r="CA39" s="174"/>
      <c r="CB39" s="174"/>
      <c r="CC39" s="174"/>
      <c r="CD39" s="174"/>
      <c r="CE39" s="174"/>
      <c r="CF39" s="174"/>
      <c r="CG39" s="174"/>
      <c r="CH39" s="174"/>
      <c r="CI39" s="174"/>
      <c r="CJ39" s="174"/>
      <c r="CK39" s="174"/>
      <c r="CL39" s="174"/>
      <c r="CM39" s="174"/>
      <c r="CN39" s="174"/>
      <c r="CO39" s="174"/>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c r="DN39" s="174"/>
      <c r="DO39" s="174"/>
      <c r="DP39" s="174"/>
      <c r="DQ39" s="174"/>
      <c r="DR39" s="174"/>
      <c r="DS39" s="174"/>
      <c r="DT39" s="174"/>
      <c r="DU39" s="174"/>
      <c r="DV39" s="174"/>
      <c r="DW39" s="174"/>
    </row>
    <row r="40" spans="1:127" s="158" customFormat="1" ht="21" customHeight="1">
      <c r="A40" s="144"/>
      <c r="B40" s="971">
        <v>23</v>
      </c>
      <c r="C40" s="1718" t="s">
        <v>373</v>
      </c>
      <c r="D40" s="1718"/>
      <c r="E40" s="1718"/>
      <c r="F40" s="1718"/>
      <c r="G40" s="1718"/>
      <c r="H40" s="1718"/>
      <c r="I40" s="1718"/>
      <c r="J40" s="1718"/>
      <c r="K40" s="975"/>
      <c r="L40" s="976">
        <v>1</v>
      </c>
      <c r="M40" s="975"/>
      <c r="N40" s="975"/>
      <c r="O40" s="977"/>
      <c r="P40" s="151"/>
      <c r="Q40" s="971">
        <v>52</v>
      </c>
      <c r="R40" s="1717" t="s">
        <v>374</v>
      </c>
      <c r="S40" s="1717"/>
      <c r="T40" s="1717"/>
      <c r="U40" s="1717"/>
      <c r="V40" s="1717"/>
      <c r="W40" s="1717"/>
      <c r="X40" s="1717"/>
      <c r="Y40" s="1717"/>
      <c r="Z40" s="976"/>
      <c r="AA40" s="975"/>
      <c r="AB40" s="975"/>
      <c r="AC40" s="975">
        <v>1</v>
      </c>
      <c r="AD40" s="977"/>
      <c r="AE40" s="144"/>
      <c r="AF40" s="157">
        <f t="shared" si="0"/>
        <v>0.89</v>
      </c>
      <c r="AG40" s="157">
        <f t="shared" si="1"/>
        <v>0.69</v>
      </c>
      <c r="AH40" s="144"/>
      <c r="AI40" s="144"/>
      <c r="AJ40" s="144"/>
      <c r="AK40" s="144"/>
      <c r="AL40" s="144"/>
      <c r="AM40" s="144"/>
      <c r="AN40" s="144"/>
      <c r="AO40" s="144"/>
      <c r="AP40" s="144"/>
      <c r="AQ40" s="144"/>
      <c r="AR40" s="144"/>
      <c r="AS40" s="144"/>
      <c r="AT40" s="144"/>
      <c r="AU40" s="144"/>
      <c r="AV40" s="144"/>
      <c r="AW40" s="144"/>
      <c r="AX40" s="144"/>
      <c r="AY40" s="144"/>
      <c r="AZ40" s="144"/>
      <c r="BA40" s="144"/>
      <c r="BB40" s="170"/>
      <c r="BC40" s="174"/>
      <c r="BD40" s="174"/>
      <c r="BE40" s="174"/>
      <c r="BF40" s="174"/>
      <c r="BG40" s="174"/>
      <c r="BH40" s="174"/>
      <c r="BI40" s="174"/>
      <c r="BJ40" s="174"/>
      <c r="BK40" s="161"/>
      <c r="BL40" s="170"/>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row>
    <row r="41" spans="1:127" s="158" customFormat="1" ht="21" customHeight="1">
      <c r="A41" s="144"/>
      <c r="B41" s="971">
        <v>24</v>
      </c>
      <c r="C41" s="1718" t="s">
        <v>375</v>
      </c>
      <c r="D41" s="1718"/>
      <c r="E41" s="1718"/>
      <c r="F41" s="1718"/>
      <c r="G41" s="1718"/>
      <c r="H41" s="1718"/>
      <c r="I41" s="1718"/>
      <c r="J41" s="1718"/>
      <c r="K41" s="975"/>
      <c r="L41" s="975">
        <v>1</v>
      </c>
      <c r="M41" s="975"/>
      <c r="N41" s="975"/>
      <c r="O41" s="978"/>
      <c r="P41" s="151"/>
      <c r="Q41" s="971">
        <v>53</v>
      </c>
      <c r="R41" s="1718" t="s">
        <v>376</v>
      </c>
      <c r="S41" s="1718"/>
      <c r="T41" s="1718"/>
      <c r="U41" s="1718"/>
      <c r="V41" s="1718"/>
      <c r="W41" s="1718"/>
      <c r="X41" s="1718"/>
      <c r="Y41" s="1718"/>
      <c r="Z41" s="976"/>
      <c r="AA41" s="975">
        <v>1</v>
      </c>
      <c r="AB41" s="975"/>
      <c r="AC41" s="975"/>
      <c r="AD41" s="977"/>
      <c r="AE41" s="144"/>
      <c r="AF41" s="157">
        <f t="shared" si="0"/>
        <v>0.89</v>
      </c>
      <c r="AG41" s="157">
        <f t="shared" si="1"/>
        <v>0.89</v>
      </c>
      <c r="AH41" s="144"/>
      <c r="AI41" s="144"/>
      <c r="AJ41" s="144"/>
      <c r="AK41" s="144"/>
      <c r="AL41" s="144"/>
      <c r="AM41" s="144"/>
      <c r="AN41" s="144"/>
      <c r="AO41" s="144"/>
      <c r="AP41" s="144"/>
      <c r="AQ41" s="144"/>
      <c r="AR41" s="144"/>
      <c r="AS41" s="144"/>
      <c r="AT41" s="144"/>
      <c r="AU41" s="144"/>
      <c r="AV41" s="144"/>
      <c r="AW41" s="144"/>
      <c r="AX41" s="144"/>
      <c r="AY41" s="144"/>
      <c r="AZ41" s="144"/>
      <c r="BA41" s="144"/>
      <c r="BB41" s="170"/>
      <c r="BC41" s="174"/>
      <c r="BD41" s="174"/>
      <c r="BE41" s="174"/>
      <c r="BF41" s="174"/>
      <c r="BG41" s="174"/>
      <c r="BH41" s="174"/>
      <c r="BI41" s="174"/>
      <c r="BJ41" s="174"/>
      <c r="BK41" s="161"/>
      <c r="BL41" s="170"/>
      <c r="BM41" s="174"/>
      <c r="BN41" s="174"/>
      <c r="BO41" s="174"/>
      <c r="BP41" s="174"/>
      <c r="BQ41" s="174"/>
      <c r="BR41" s="174"/>
      <c r="BS41" s="174"/>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row>
    <row r="42" spans="1:127" s="158" customFormat="1" ht="21" customHeight="1">
      <c r="A42" s="144"/>
      <c r="B42" s="971">
        <v>25</v>
      </c>
      <c r="C42" s="1718" t="s">
        <v>377</v>
      </c>
      <c r="D42" s="1718"/>
      <c r="E42" s="1718"/>
      <c r="F42" s="1718"/>
      <c r="G42" s="1718"/>
      <c r="H42" s="1718"/>
      <c r="I42" s="1718"/>
      <c r="J42" s="1718"/>
      <c r="K42" s="975"/>
      <c r="L42" s="976">
        <v>1</v>
      </c>
      <c r="M42" s="975"/>
      <c r="N42" s="975"/>
      <c r="O42" s="977"/>
      <c r="P42" s="151"/>
      <c r="Q42" s="971">
        <v>54</v>
      </c>
      <c r="R42" s="1718" t="s">
        <v>378</v>
      </c>
      <c r="S42" s="1718"/>
      <c r="T42" s="1718"/>
      <c r="U42" s="1718"/>
      <c r="V42" s="1718"/>
      <c r="W42" s="1718"/>
      <c r="X42" s="1718"/>
      <c r="Y42" s="1718"/>
      <c r="Z42" s="975"/>
      <c r="AA42" s="975">
        <v>1</v>
      </c>
      <c r="AB42" s="976"/>
      <c r="AC42" s="975"/>
      <c r="AD42" s="977"/>
      <c r="AE42" s="144"/>
      <c r="AF42" s="157">
        <f t="shared" si="0"/>
        <v>0.89</v>
      </c>
      <c r="AG42" s="157">
        <f t="shared" si="1"/>
        <v>0.89</v>
      </c>
      <c r="AH42" s="144"/>
      <c r="AI42" s="144"/>
      <c r="AJ42" s="144"/>
      <c r="AK42" s="144"/>
      <c r="AL42" s="144"/>
      <c r="AM42" s="144"/>
      <c r="AN42" s="144"/>
      <c r="AO42" s="144"/>
      <c r="AP42" s="144"/>
      <c r="AQ42" s="144"/>
      <c r="AR42" s="144"/>
      <c r="AS42" s="144"/>
      <c r="AT42" s="144"/>
      <c r="AU42" s="144"/>
      <c r="AV42" s="144"/>
      <c r="AW42" s="144"/>
      <c r="AX42" s="144"/>
      <c r="AY42" s="144"/>
      <c r="AZ42" s="144"/>
      <c r="BA42" s="144"/>
      <c r="BB42" s="170"/>
      <c r="BC42" s="174"/>
      <c r="BD42" s="174"/>
      <c r="BE42" s="174"/>
      <c r="BF42" s="174"/>
      <c r="BG42" s="174"/>
      <c r="BH42" s="174"/>
      <c r="BI42" s="174"/>
      <c r="BJ42" s="174"/>
      <c r="BK42" s="161"/>
      <c r="BL42" s="170"/>
      <c r="BM42" s="174"/>
      <c r="BN42" s="174"/>
      <c r="BO42" s="174"/>
      <c r="BP42" s="174"/>
      <c r="BQ42" s="174"/>
      <c r="BR42" s="174"/>
      <c r="BS42" s="174"/>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c r="DN42" s="174"/>
      <c r="DO42" s="174"/>
      <c r="DP42" s="174"/>
      <c r="DQ42" s="174"/>
      <c r="DR42" s="174"/>
      <c r="DS42" s="174"/>
      <c r="DT42" s="174"/>
      <c r="DU42" s="174"/>
      <c r="DV42" s="174"/>
      <c r="DW42" s="174"/>
    </row>
    <row r="43" spans="1:127" s="158" customFormat="1" ht="21" customHeight="1">
      <c r="A43" s="144"/>
      <c r="B43" s="971">
        <v>26</v>
      </c>
      <c r="C43" s="1718" t="s">
        <v>379</v>
      </c>
      <c r="D43" s="1718"/>
      <c r="E43" s="1718"/>
      <c r="F43" s="1718"/>
      <c r="G43" s="1718"/>
      <c r="H43" s="1718"/>
      <c r="I43" s="1718"/>
      <c r="J43" s="1718"/>
      <c r="K43" s="975"/>
      <c r="L43" s="976"/>
      <c r="M43" s="975">
        <v>1</v>
      </c>
      <c r="N43" s="975"/>
      <c r="O43" s="977"/>
      <c r="P43" s="151"/>
      <c r="Q43" s="971">
        <v>55</v>
      </c>
      <c r="R43" s="1718" t="s">
        <v>380</v>
      </c>
      <c r="S43" s="1718"/>
      <c r="T43" s="1718"/>
      <c r="U43" s="1718"/>
      <c r="V43" s="1718"/>
      <c r="W43" s="1718"/>
      <c r="X43" s="1718"/>
      <c r="Y43" s="1718"/>
      <c r="Z43" s="975"/>
      <c r="AA43" s="975">
        <v>1</v>
      </c>
      <c r="AB43" s="975"/>
      <c r="AC43" s="975"/>
      <c r="AD43" s="978"/>
      <c r="AE43" s="144"/>
      <c r="AF43" s="157">
        <f t="shared" si="0"/>
        <v>0.79</v>
      </c>
      <c r="AG43" s="157">
        <f t="shared" si="1"/>
        <v>0.89</v>
      </c>
      <c r="AH43" s="144"/>
      <c r="AI43" s="144"/>
      <c r="AJ43" s="144"/>
      <c r="AK43" s="144"/>
      <c r="AL43" s="144"/>
      <c r="AM43" s="144"/>
      <c r="AN43" s="144"/>
      <c r="AO43" s="144"/>
      <c r="AP43" s="144"/>
      <c r="AQ43" s="144"/>
      <c r="AR43" s="144"/>
      <c r="AS43" s="144"/>
      <c r="AT43" s="144"/>
      <c r="AU43" s="144"/>
      <c r="AV43" s="144"/>
      <c r="AW43" s="144"/>
      <c r="AX43" s="144"/>
      <c r="AY43" s="144"/>
      <c r="AZ43" s="144"/>
      <c r="BA43" s="144"/>
      <c r="BB43" s="170"/>
      <c r="BC43" s="174"/>
      <c r="BD43" s="174"/>
      <c r="BE43" s="174"/>
      <c r="BF43" s="174"/>
      <c r="BG43" s="174"/>
      <c r="BH43" s="174"/>
      <c r="BI43" s="174"/>
      <c r="BJ43" s="174"/>
      <c r="BK43" s="161"/>
      <c r="BL43" s="170"/>
      <c r="BM43" s="174"/>
      <c r="BN43" s="174"/>
      <c r="BO43" s="174"/>
      <c r="BP43" s="174"/>
      <c r="BQ43" s="174"/>
      <c r="BR43" s="174"/>
      <c r="BS43" s="174"/>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row>
    <row r="44" spans="1:127" s="158" customFormat="1" ht="21" customHeight="1">
      <c r="A44" s="144"/>
      <c r="B44" s="971">
        <v>27</v>
      </c>
      <c r="C44" s="1718" t="s">
        <v>381</v>
      </c>
      <c r="D44" s="1718"/>
      <c r="E44" s="1718"/>
      <c r="F44" s="1718"/>
      <c r="G44" s="1718"/>
      <c r="H44" s="1718"/>
      <c r="I44" s="1718"/>
      <c r="J44" s="1718"/>
      <c r="K44" s="975"/>
      <c r="L44" s="975">
        <v>1</v>
      </c>
      <c r="M44" s="975"/>
      <c r="N44" s="975"/>
      <c r="O44" s="978"/>
      <c r="P44" s="151"/>
      <c r="Q44" s="971">
        <v>56</v>
      </c>
      <c r="R44" s="1718" t="s">
        <v>382</v>
      </c>
      <c r="S44" s="1718"/>
      <c r="T44" s="1718"/>
      <c r="U44" s="1718"/>
      <c r="V44" s="1718"/>
      <c r="W44" s="1718"/>
      <c r="X44" s="1718"/>
      <c r="Y44" s="1718"/>
      <c r="Z44" s="975"/>
      <c r="AA44" s="975">
        <v>1</v>
      </c>
      <c r="AB44" s="976"/>
      <c r="AC44" s="975"/>
      <c r="AD44" s="977"/>
      <c r="AE44" s="144"/>
      <c r="AF44" s="157">
        <f t="shared" si="0"/>
        <v>0.89</v>
      </c>
      <c r="AG44" s="157">
        <f t="shared" si="1"/>
        <v>0.89</v>
      </c>
      <c r="AH44" s="144"/>
      <c r="AI44" s="144"/>
      <c r="AJ44" s="144"/>
      <c r="AK44" s="144"/>
      <c r="AL44" s="144"/>
      <c r="AM44" s="144"/>
      <c r="AN44" s="144"/>
      <c r="AO44" s="144"/>
      <c r="AP44" s="144"/>
      <c r="AQ44" s="144"/>
      <c r="AR44" s="144"/>
      <c r="AS44" s="144"/>
      <c r="AT44" s="144"/>
      <c r="AU44" s="144"/>
      <c r="AV44" s="144"/>
      <c r="AW44" s="144"/>
      <c r="AX44" s="144"/>
      <c r="AY44" s="144"/>
      <c r="AZ44" s="144"/>
      <c r="BA44" s="144"/>
      <c r="BB44" s="170"/>
      <c r="BC44" s="174"/>
      <c r="BD44" s="174"/>
      <c r="BE44" s="174"/>
      <c r="BF44" s="174"/>
      <c r="BG44" s="174"/>
      <c r="BH44" s="174"/>
      <c r="BI44" s="174"/>
      <c r="BJ44" s="174"/>
      <c r="BK44" s="161"/>
      <c r="BL44" s="170"/>
      <c r="BM44" s="174"/>
      <c r="BN44" s="174"/>
      <c r="BO44" s="174"/>
      <c r="BP44" s="174"/>
      <c r="BQ44" s="174"/>
      <c r="BR44" s="174"/>
      <c r="BS44" s="174"/>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c r="CY44" s="156"/>
      <c r="CZ44" s="156"/>
      <c r="DA44" s="156"/>
      <c r="DB44" s="156"/>
      <c r="DC44" s="156"/>
      <c r="DD44" s="156"/>
      <c r="DE44" s="156"/>
      <c r="DF44" s="156"/>
      <c r="DG44" s="156"/>
      <c r="DH44" s="156"/>
      <c r="DI44" s="156"/>
      <c r="DJ44" s="156"/>
      <c r="DK44" s="156"/>
      <c r="DL44" s="156"/>
      <c r="DM44" s="156"/>
      <c r="DN44" s="156"/>
      <c r="DO44" s="156"/>
      <c r="DP44" s="156"/>
      <c r="DQ44" s="156"/>
      <c r="DR44" s="156"/>
      <c r="DS44" s="156"/>
      <c r="DT44" s="156"/>
      <c r="DU44" s="156"/>
      <c r="DV44" s="156"/>
      <c r="DW44" s="156"/>
    </row>
    <row r="45" spans="1:127" s="158" customFormat="1" ht="21" customHeight="1">
      <c r="A45" s="144"/>
      <c r="B45" s="971">
        <v>28</v>
      </c>
      <c r="C45" s="1718" t="s">
        <v>383</v>
      </c>
      <c r="D45" s="1718"/>
      <c r="E45" s="1718"/>
      <c r="F45" s="1718"/>
      <c r="G45" s="1718"/>
      <c r="H45" s="1718"/>
      <c r="I45" s="1718"/>
      <c r="J45" s="1718"/>
      <c r="K45" s="975"/>
      <c r="L45" s="975">
        <v>1</v>
      </c>
      <c r="M45" s="975"/>
      <c r="N45" s="976"/>
      <c r="O45" s="977"/>
      <c r="P45" s="151"/>
      <c r="Q45" s="971">
        <v>57</v>
      </c>
      <c r="R45" s="1746" t="s">
        <v>384</v>
      </c>
      <c r="S45" s="1746"/>
      <c r="T45" s="1746"/>
      <c r="U45" s="1746"/>
      <c r="V45" s="1746"/>
      <c r="W45" s="1746"/>
      <c r="X45" s="1746"/>
      <c r="Y45" s="1746"/>
      <c r="Z45" s="975"/>
      <c r="AA45" s="975">
        <v>1</v>
      </c>
      <c r="AB45" s="976"/>
      <c r="AC45" s="975"/>
      <c r="AD45" s="977"/>
      <c r="AE45" s="144"/>
      <c r="AF45" s="157">
        <f t="shared" si="0"/>
        <v>0.89</v>
      </c>
      <c r="AG45" s="157">
        <f t="shared" si="1"/>
        <v>0.89</v>
      </c>
      <c r="AH45" s="144"/>
      <c r="AI45" s="144"/>
      <c r="AJ45" s="144"/>
      <c r="AK45" s="144"/>
      <c r="AL45" s="144"/>
      <c r="AM45" s="144"/>
      <c r="AN45" s="144"/>
      <c r="AO45" s="144"/>
      <c r="AP45" s="144"/>
      <c r="AQ45" s="144"/>
      <c r="AR45" s="144"/>
      <c r="AS45" s="144"/>
      <c r="AT45" s="144"/>
      <c r="AU45" s="144"/>
      <c r="AV45" s="144"/>
      <c r="AW45" s="144"/>
      <c r="AX45" s="144"/>
      <c r="AY45" s="144"/>
      <c r="AZ45" s="144"/>
      <c r="BA45" s="144"/>
      <c r="BB45" s="170"/>
      <c r="BC45" s="174"/>
      <c r="BD45" s="174"/>
      <c r="BE45" s="174"/>
      <c r="BF45" s="174"/>
      <c r="BG45" s="174"/>
      <c r="BH45" s="174"/>
      <c r="BI45" s="174"/>
      <c r="BJ45" s="174"/>
      <c r="BK45" s="161"/>
      <c r="BL45" s="170"/>
      <c r="BM45" s="174"/>
      <c r="BN45" s="174"/>
      <c r="BO45" s="174"/>
      <c r="BP45" s="174"/>
      <c r="BQ45" s="174"/>
      <c r="BR45" s="174"/>
      <c r="BS45" s="174"/>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c r="CY45" s="156"/>
      <c r="CZ45" s="156"/>
      <c r="DA45" s="156"/>
      <c r="DB45" s="156"/>
      <c r="DC45" s="156"/>
      <c r="DD45" s="156"/>
      <c r="DE45" s="156"/>
      <c r="DF45" s="156"/>
      <c r="DG45" s="156"/>
      <c r="DH45" s="156"/>
      <c r="DI45" s="156"/>
      <c r="DJ45" s="156"/>
      <c r="DK45" s="156"/>
      <c r="DL45" s="156"/>
      <c r="DM45" s="156"/>
      <c r="DN45" s="156"/>
      <c r="DO45" s="156"/>
      <c r="DP45" s="156"/>
      <c r="DQ45" s="156"/>
      <c r="DR45" s="156"/>
      <c r="DS45" s="156"/>
      <c r="DT45" s="156"/>
      <c r="DU45" s="156"/>
      <c r="DV45" s="156"/>
      <c r="DW45" s="156"/>
    </row>
    <row r="46" spans="1:127" s="158" customFormat="1" ht="21" customHeight="1" thickBot="1">
      <c r="A46" s="144"/>
      <c r="B46" s="175">
        <v>29</v>
      </c>
      <c r="C46" s="1766" t="s">
        <v>385</v>
      </c>
      <c r="D46" s="1766"/>
      <c r="E46" s="1766"/>
      <c r="F46" s="1766"/>
      <c r="G46" s="1766"/>
      <c r="H46" s="1766"/>
      <c r="I46" s="1766"/>
      <c r="J46" s="1766"/>
      <c r="K46" s="979"/>
      <c r="L46" s="979"/>
      <c r="M46" s="980">
        <v>1</v>
      </c>
      <c r="N46" s="979"/>
      <c r="O46" s="981"/>
      <c r="P46" s="151"/>
      <c r="Q46" s="175">
        <v>58</v>
      </c>
      <c r="R46" s="1767" t="s">
        <v>386</v>
      </c>
      <c r="S46" s="1767"/>
      <c r="T46" s="1767"/>
      <c r="U46" s="1767"/>
      <c r="V46" s="1767"/>
      <c r="W46" s="1767"/>
      <c r="X46" s="1767"/>
      <c r="Y46" s="1767"/>
      <c r="Z46" s="979">
        <v>1</v>
      </c>
      <c r="AA46" s="979"/>
      <c r="AB46" s="980"/>
      <c r="AC46" s="979"/>
      <c r="AD46" s="981"/>
      <c r="AE46" s="144"/>
      <c r="AF46" s="157">
        <f t="shared" si="0"/>
        <v>0.79</v>
      </c>
      <c r="AG46" s="157">
        <f t="shared" si="1"/>
        <v>1</v>
      </c>
      <c r="AH46" s="144"/>
      <c r="AI46" s="144"/>
      <c r="AJ46" s="144"/>
      <c r="AK46" s="144"/>
      <c r="AL46" s="144"/>
      <c r="AM46" s="144"/>
      <c r="AN46" s="144"/>
      <c r="AO46" s="144"/>
      <c r="AP46" s="144"/>
      <c r="AQ46" s="144"/>
      <c r="AR46" s="144"/>
      <c r="AS46" s="144"/>
      <c r="AT46" s="144"/>
      <c r="AU46" s="144"/>
      <c r="AV46" s="144"/>
      <c r="AW46" s="144"/>
      <c r="AX46" s="144"/>
      <c r="AY46" s="144"/>
      <c r="AZ46" s="144"/>
      <c r="BA46" s="144"/>
      <c r="BB46" s="170"/>
      <c r="BC46" s="174"/>
      <c r="BD46" s="174"/>
      <c r="BE46" s="174"/>
      <c r="BF46" s="174"/>
      <c r="BG46" s="174"/>
      <c r="BH46" s="174"/>
      <c r="BI46" s="174"/>
      <c r="BJ46" s="174"/>
      <c r="BK46" s="161"/>
      <c r="BL46" s="170"/>
      <c r="BM46" s="174"/>
      <c r="BN46" s="174"/>
      <c r="BO46" s="174"/>
      <c r="BP46" s="174"/>
      <c r="BQ46" s="174"/>
      <c r="BR46" s="174"/>
      <c r="BS46" s="174"/>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c r="CY46" s="156"/>
      <c r="CZ46" s="156"/>
      <c r="DA46" s="156"/>
      <c r="DB46" s="156"/>
      <c r="DC46" s="156"/>
      <c r="DD46" s="156"/>
      <c r="DE46" s="156"/>
      <c r="DF46" s="156"/>
      <c r="DG46" s="156"/>
      <c r="DH46" s="156"/>
      <c r="DI46" s="156"/>
      <c r="DJ46" s="156"/>
      <c r="DK46" s="156"/>
      <c r="DL46" s="156"/>
      <c r="DM46" s="156"/>
      <c r="DN46" s="156"/>
      <c r="DO46" s="156"/>
      <c r="DP46" s="156"/>
      <c r="DQ46" s="156"/>
      <c r="DR46" s="156"/>
      <c r="DS46" s="156"/>
      <c r="DT46" s="156"/>
      <c r="DU46" s="156"/>
      <c r="DV46" s="156"/>
      <c r="DW46" s="156"/>
    </row>
    <row r="47" spans="1:127" s="158" customFormat="1" ht="53.25" hidden="1" customHeight="1">
      <c r="A47" s="144"/>
      <c r="B47" s="1768"/>
      <c r="C47" s="1768"/>
      <c r="D47" s="1768"/>
      <c r="E47" s="176"/>
      <c r="F47" s="176"/>
      <c r="G47" s="176"/>
      <c r="H47" s="176"/>
      <c r="I47" s="177"/>
      <c r="J47" s="177"/>
      <c r="K47" s="177"/>
      <c r="L47" s="178"/>
      <c r="M47" s="177"/>
      <c r="N47" s="177"/>
      <c r="O47" s="177"/>
      <c r="P47" s="177"/>
      <c r="Q47" s="176"/>
      <c r="R47" s="176"/>
      <c r="S47" s="176"/>
      <c r="T47" s="176"/>
      <c r="U47" s="176"/>
      <c r="V47" s="176"/>
      <c r="W47" s="176"/>
      <c r="X47" s="176"/>
      <c r="Y47" s="176"/>
      <c r="Z47" s="179"/>
      <c r="AA47" s="179"/>
      <c r="AB47" s="179"/>
      <c r="AC47" s="179"/>
      <c r="AD47" s="179"/>
      <c r="AE47" s="144"/>
      <c r="AF47" s="144"/>
      <c r="AG47" s="144"/>
      <c r="AH47" s="144"/>
      <c r="AI47" s="144"/>
      <c r="AJ47" s="144"/>
      <c r="AK47" s="144"/>
      <c r="AL47" s="144"/>
      <c r="AM47" s="144"/>
      <c r="AN47" s="144"/>
      <c r="AO47" s="144"/>
      <c r="AP47" s="144"/>
      <c r="AQ47" s="144"/>
      <c r="AR47" s="144"/>
      <c r="AS47" s="144"/>
      <c r="AT47" s="144"/>
      <c r="AU47" s="144"/>
      <c r="AV47" s="144"/>
      <c r="AW47" s="144"/>
      <c r="AX47" s="144"/>
      <c r="AY47" s="144"/>
      <c r="AZ47" s="144"/>
      <c r="BA47" s="144"/>
      <c r="BB47" s="144"/>
      <c r="BC47" s="144"/>
      <c r="BD47" s="144"/>
      <c r="BE47" s="144"/>
      <c r="BF47" s="144"/>
      <c r="BG47" s="144"/>
      <c r="BH47" s="144"/>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156"/>
      <c r="CZ47" s="156"/>
      <c r="DA47" s="156"/>
      <c r="DB47" s="156"/>
      <c r="DC47" s="156"/>
      <c r="DD47" s="156"/>
      <c r="DE47" s="156"/>
      <c r="DF47" s="156"/>
      <c r="DG47" s="156"/>
      <c r="DH47" s="156"/>
      <c r="DI47" s="156"/>
      <c r="DJ47" s="156"/>
      <c r="DK47" s="156"/>
      <c r="DL47" s="156"/>
      <c r="DM47" s="156"/>
      <c r="DN47" s="156"/>
      <c r="DO47" s="156"/>
      <c r="DP47" s="156"/>
      <c r="DQ47" s="156"/>
      <c r="DR47" s="156"/>
      <c r="DS47" s="156"/>
      <c r="DT47" s="156"/>
      <c r="DU47" s="156"/>
      <c r="DV47" s="156"/>
      <c r="DW47" s="156"/>
    </row>
    <row r="48" spans="1:127" s="158" customFormat="1" ht="53.25" hidden="1" customHeight="1" thickBot="1">
      <c r="A48" s="144"/>
      <c r="B48" s="1768"/>
      <c r="C48" s="1768"/>
      <c r="D48" s="1768"/>
      <c r="E48" s="176"/>
      <c r="F48" s="176"/>
      <c r="G48" s="176"/>
      <c r="H48" s="176"/>
      <c r="I48" s="1769" t="s">
        <v>317</v>
      </c>
      <c r="J48" s="1769"/>
      <c r="K48" s="1769"/>
      <c r="L48" s="1769"/>
      <c r="M48" s="177"/>
      <c r="N48" s="177"/>
      <c r="O48" s="177"/>
      <c r="P48" s="177"/>
      <c r="Q48" s="176"/>
      <c r="R48" s="176"/>
      <c r="S48" s="176"/>
      <c r="T48" s="176"/>
      <c r="U48" s="176"/>
      <c r="V48" s="176"/>
      <c r="W48" s="176"/>
      <c r="X48" s="176"/>
      <c r="Y48" s="176"/>
      <c r="Z48" s="179"/>
      <c r="AA48" s="179"/>
      <c r="AB48" s="179"/>
      <c r="AC48" s="179"/>
      <c r="AD48" s="179"/>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144"/>
      <c r="BC48" s="144"/>
      <c r="BD48" s="144"/>
      <c r="BE48" s="144"/>
      <c r="BF48" s="144"/>
      <c r="BG48" s="144"/>
      <c r="BH48" s="144"/>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c r="CY48" s="156"/>
      <c r="CZ48" s="156"/>
      <c r="DA48" s="156"/>
      <c r="DB48" s="156"/>
      <c r="DC48" s="156"/>
      <c r="DD48" s="156"/>
      <c r="DE48" s="156"/>
      <c r="DF48" s="156"/>
      <c r="DG48" s="156"/>
      <c r="DH48" s="156"/>
      <c r="DI48" s="156"/>
      <c r="DJ48" s="156"/>
      <c r="DK48" s="156"/>
      <c r="DL48" s="156"/>
      <c r="DM48" s="156"/>
      <c r="DN48" s="156"/>
      <c r="DO48" s="156"/>
      <c r="DP48" s="156"/>
      <c r="DQ48" s="156"/>
      <c r="DR48" s="156"/>
      <c r="DS48" s="156"/>
      <c r="DT48" s="156"/>
      <c r="DU48" s="156"/>
      <c r="DV48" s="156"/>
      <c r="DW48" s="156"/>
    </row>
    <row r="49" spans="1:127" s="158" customFormat="1" ht="53.25" hidden="1" customHeight="1" thickBot="1">
      <c r="A49" s="144"/>
      <c r="B49" s="180"/>
      <c r="C49" s="180"/>
      <c r="D49" s="180"/>
      <c r="E49" s="180"/>
      <c r="F49" s="180"/>
      <c r="G49" s="181"/>
      <c r="H49" s="181"/>
      <c r="I49" s="181"/>
      <c r="J49" s="181"/>
      <c r="K49" s="181"/>
      <c r="L49" s="181"/>
      <c r="M49" s="1770" t="s">
        <v>387</v>
      </c>
      <c r="N49" s="1771"/>
      <c r="O49" s="1772"/>
      <c r="P49" s="177"/>
      <c r="Q49" s="1773">
        <f>AF17</f>
        <v>0.85303793103448289</v>
      </c>
      <c r="R49" s="1774"/>
      <c r="S49" s="1775"/>
      <c r="T49" s="180"/>
      <c r="U49" s="180"/>
      <c r="V49" s="181"/>
      <c r="W49" s="181"/>
      <c r="X49" s="181"/>
      <c r="Y49" s="181"/>
      <c r="Z49" s="181"/>
      <c r="AA49" s="181"/>
      <c r="AB49" s="181"/>
      <c r="AC49" s="181"/>
      <c r="AD49" s="181"/>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776"/>
      <c r="BC49" s="1776"/>
      <c r="BD49" s="1776"/>
      <c r="BE49" s="1776"/>
      <c r="BF49" s="1776"/>
      <c r="BG49" s="1776"/>
      <c r="BH49" s="1776"/>
      <c r="BI49" s="1776"/>
      <c r="BJ49" s="1777"/>
      <c r="BK49" s="1777"/>
      <c r="BL49" s="1777"/>
      <c r="BM49" s="1777"/>
      <c r="BN49" s="1777"/>
      <c r="BO49" s="1777"/>
      <c r="BP49" s="1777"/>
      <c r="BQ49" s="1777"/>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c r="CY49" s="156"/>
      <c r="CZ49" s="156"/>
      <c r="DA49" s="156"/>
      <c r="DB49" s="156"/>
      <c r="DC49" s="156"/>
      <c r="DD49" s="156"/>
      <c r="DE49" s="156"/>
      <c r="DF49" s="156"/>
      <c r="DG49" s="156"/>
      <c r="DH49" s="156"/>
      <c r="DI49" s="156"/>
      <c r="DJ49" s="156"/>
      <c r="DK49" s="156"/>
      <c r="DL49" s="156"/>
      <c r="DM49" s="156"/>
      <c r="DN49" s="156"/>
      <c r="DO49" s="156"/>
      <c r="DP49" s="156"/>
      <c r="DQ49" s="156"/>
      <c r="DR49" s="156"/>
      <c r="DS49" s="156"/>
      <c r="DT49" s="156"/>
      <c r="DU49" s="156"/>
      <c r="DV49" s="156"/>
      <c r="DW49" s="156"/>
    </row>
    <row r="50" spans="1:127" s="158" customFormat="1" ht="53.25" hidden="1" customHeight="1" thickBot="1">
      <c r="A50" s="144"/>
      <c r="B50" s="182"/>
      <c r="C50" s="182"/>
      <c r="D50" s="182"/>
      <c r="E50" s="182"/>
      <c r="F50" s="182"/>
      <c r="G50" s="183"/>
      <c r="H50" s="183"/>
      <c r="I50" s="183"/>
      <c r="J50" s="183"/>
      <c r="K50" s="183"/>
      <c r="L50" s="183"/>
      <c r="M50" s="183"/>
      <c r="N50" s="183"/>
      <c r="O50" s="183"/>
      <c r="P50" s="177"/>
      <c r="Q50" s="182"/>
      <c r="R50" s="182"/>
      <c r="S50" s="182"/>
      <c r="T50" s="182"/>
      <c r="U50" s="182"/>
      <c r="V50" s="183"/>
      <c r="W50" s="183"/>
      <c r="X50" s="183"/>
      <c r="Y50" s="183"/>
      <c r="Z50" s="183"/>
      <c r="AA50" s="183"/>
      <c r="AB50" s="183"/>
      <c r="AC50" s="183"/>
      <c r="AD50" s="183"/>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1777"/>
      <c r="BC50" s="1778"/>
      <c r="BD50" s="1778"/>
      <c r="BE50" s="1778"/>
      <c r="BF50" s="1778"/>
      <c r="BG50" s="1778"/>
      <c r="BH50" s="1778"/>
      <c r="BI50" s="1778"/>
      <c r="BJ50" s="1777"/>
      <c r="BK50" s="1778"/>
      <c r="BL50" s="1778"/>
      <c r="BM50" s="1778"/>
      <c r="BN50" s="1778"/>
      <c r="BO50" s="1778"/>
      <c r="BP50" s="1778"/>
      <c r="BQ50" s="1778"/>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c r="CY50" s="156"/>
      <c r="CZ50" s="156"/>
      <c r="DA50" s="156"/>
      <c r="DB50" s="156"/>
      <c r="DC50" s="156"/>
      <c r="DD50" s="156"/>
      <c r="DE50" s="156"/>
      <c r="DF50" s="156"/>
      <c r="DG50" s="156"/>
      <c r="DH50" s="156"/>
      <c r="DI50" s="156"/>
      <c r="DJ50" s="156"/>
      <c r="DK50" s="156"/>
      <c r="DL50" s="156"/>
      <c r="DM50" s="156"/>
      <c r="DN50" s="156"/>
      <c r="DO50" s="156"/>
      <c r="DP50" s="156"/>
      <c r="DQ50" s="156"/>
      <c r="DR50" s="156"/>
      <c r="DS50" s="156"/>
      <c r="DT50" s="156"/>
      <c r="DU50" s="156"/>
      <c r="DV50" s="156"/>
      <c r="DW50" s="156"/>
    </row>
    <row r="51" spans="1:127" s="158" customFormat="1" ht="53.25" customHeight="1" thickBot="1">
      <c r="A51" s="144"/>
      <c r="B51" s="1779" t="s">
        <v>388</v>
      </c>
      <c r="C51" s="1780"/>
      <c r="D51" s="1780"/>
      <c r="E51" s="1780"/>
      <c r="F51" s="1780"/>
      <c r="G51" s="1781"/>
      <c r="H51" s="1781"/>
      <c r="I51" s="1781"/>
      <c r="J51" s="1781"/>
      <c r="K51" s="1781"/>
      <c r="L51" s="1781"/>
      <c r="M51" s="1781"/>
      <c r="N51" s="1781"/>
      <c r="O51" s="1782"/>
      <c r="P51" s="177"/>
      <c r="Q51" s="1779" t="s">
        <v>389</v>
      </c>
      <c r="R51" s="1780"/>
      <c r="S51" s="1780"/>
      <c r="T51" s="1780"/>
      <c r="U51" s="1780"/>
      <c r="V51" s="1781" t="s">
        <v>823</v>
      </c>
      <c r="W51" s="1781"/>
      <c r="X51" s="1781"/>
      <c r="Y51" s="1781"/>
      <c r="Z51" s="1781"/>
      <c r="AA51" s="1781"/>
      <c r="AB51" s="1781"/>
      <c r="AC51" s="1781"/>
      <c r="AD51" s="1782"/>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777"/>
      <c r="BC51" s="1777"/>
      <c r="BD51" s="1777"/>
      <c r="BE51" s="1777"/>
      <c r="BF51" s="1777"/>
      <c r="BG51" s="1777"/>
      <c r="BH51" s="1777"/>
      <c r="BI51" s="1777"/>
      <c r="BJ51" s="1777"/>
      <c r="BK51" s="1777"/>
      <c r="BL51" s="1777"/>
      <c r="BM51" s="1777"/>
      <c r="BN51" s="1777"/>
      <c r="BO51" s="1777"/>
      <c r="BP51" s="1777"/>
      <c r="BQ51" s="1777"/>
    </row>
    <row r="52" spans="1:127" s="158" customFormat="1" ht="53.25" customHeight="1">
      <c r="A52" s="144"/>
      <c r="B52" s="1769"/>
      <c r="C52" s="1769"/>
      <c r="D52" s="1769"/>
      <c r="E52" s="1769"/>
      <c r="F52" s="1769"/>
      <c r="G52" s="1769"/>
      <c r="H52" s="1769"/>
      <c r="I52" s="1769"/>
      <c r="J52" s="1769"/>
      <c r="K52" s="1769"/>
      <c r="L52" s="1769"/>
      <c r="M52" s="1769"/>
      <c r="N52" s="1769"/>
      <c r="O52" s="1769"/>
      <c r="P52" s="1769"/>
      <c r="Q52" s="1769"/>
      <c r="R52" s="1769"/>
      <c r="S52" s="1769"/>
      <c r="T52" s="1769"/>
      <c r="U52" s="1769"/>
      <c r="V52" s="1769"/>
      <c r="W52" s="1769"/>
      <c r="X52" s="1769"/>
      <c r="Y52" s="1769"/>
      <c r="Z52" s="1769"/>
      <c r="AA52" s="1769"/>
      <c r="AB52" s="1769"/>
      <c r="AC52" s="1769"/>
      <c r="AD52" s="1769"/>
      <c r="AE52" s="144"/>
      <c r="AF52" s="144"/>
      <c r="AG52" s="144"/>
      <c r="AH52" s="144"/>
      <c r="AI52" s="144"/>
      <c r="AJ52" s="144"/>
      <c r="AK52" s="144"/>
      <c r="AL52" s="144"/>
      <c r="AM52" s="144"/>
      <c r="AN52" s="144"/>
      <c r="AO52" s="144"/>
      <c r="AP52" s="144"/>
      <c r="AQ52" s="144"/>
      <c r="AR52" s="144"/>
      <c r="AS52" s="144"/>
      <c r="AT52" s="144"/>
      <c r="AU52" s="144"/>
      <c r="AV52" s="144"/>
      <c r="AW52" s="144"/>
      <c r="AX52" s="144"/>
      <c r="AY52" s="144"/>
      <c r="AZ52" s="144"/>
      <c r="BA52" s="144"/>
      <c r="BB52" s="1777"/>
      <c r="BC52" s="1777"/>
      <c r="BD52" s="1777"/>
      <c r="BE52" s="1777"/>
      <c r="BF52" s="1777"/>
      <c r="BG52" s="1777"/>
      <c r="BH52" s="1777"/>
      <c r="BI52" s="1777"/>
      <c r="BJ52" s="1783"/>
      <c r="BK52" s="1783"/>
      <c r="BL52" s="1783"/>
      <c r="BM52" s="1783"/>
      <c r="BN52" s="1783"/>
      <c r="BO52" s="1783"/>
      <c r="BP52" s="1783"/>
      <c r="BQ52" s="1783"/>
    </row>
    <row r="53" spans="1:127" s="158" customFormat="1" ht="39.9" customHeight="1">
      <c r="A53" s="144"/>
      <c r="B53" s="1784" t="s">
        <v>390</v>
      </c>
      <c r="C53" s="1784"/>
      <c r="D53" s="1784"/>
      <c r="E53" s="1784"/>
      <c r="F53" s="1784"/>
      <c r="G53" s="1784"/>
      <c r="H53" s="1784"/>
      <c r="I53" s="1784"/>
      <c r="J53" s="1784"/>
      <c r="K53" s="1784"/>
      <c r="L53" s="1784"/>
      <c r="M53" s="1785"/>
      <c r="N53" s="1785"/>
      <c r="O53" s="1785"/>
      <c r="P53" s="1785"/>
      <c r="Q53" s="1785"/>
      <c r="R53" s="1785"/>
      <c r="S53" s="1785"/>
      <c r="T53" s="1785"/>
      <c r="U53" s="1785"/>
      <c r="V53" s="1785"/>
      <c r="W53" s="1785"/>
      <c r="X53" s="1785"/>
      <c r="Y53" s="1785"/>
      <c r="Z53" s="1785"/>
      <c r="AA53" s="1785"/>
      <c r="AB53" s="1785"/>
      <c r="AC53" s="1785"/>
      <c r="AD53" s="1785"/>
      <c r="AE53" s="144"/>
      <c r="AF53" s="144"/>
      <c r="AG53" s="144"/>
      <c r="AH53" s="144"/>
      <c r="AI53" s="144"/>
      <c r="AJ53" s="144"/>
      <c r="AK53" s="144"/>
      <c r="AL53" s="144"/>
      <c r="AM53" s="144"/>
      <c r="AN53" s="144"/>
      <c r="AO53" s="144"/>
      <c r="AP53" s="144"/>
      <c r="AQ53" s="144"/>
      <c r="AR53" s="144"/>
      <c r="AS53" s="144"/>
      <c r="AT53" s="144"/>
      <c r="AU53" s="144"/>
      <c r="AV53" s="144"/>
      <c r="AW53" s="144"/>
      <c r="AX53" s="144"/>
      <c r="AY53" s="144"/>
      <c r="AZ53" s="144"/>
      <c r="BA53" s="144"/>
      <c r="BB53" s="1776"/>
      <c r="BC53" s="1776"/>
      <c r="BD53" s="1776"/>
      <c r="BE53" s="1776"/>
      <c r="BF53" s="1776"/>
      <c r="BG53" s="1776"/>
      <c r="BH53" s="1776"/>
      <c r="BI53" s="1776"/>
      <c r="BJ53" s="1777"/>
      <c r="BK53" s="1777"/>
      <c r="BL53" s="1777"/>
      <c r="BM53" s="1777"/>
      <c r="BN53" s="1777"/>
      <c r="BO53" s="1777"/>
      <c r="BP53" s="1777"/>
      <c r="BQ53" s="1777"/>
    </row>
    <row r="54" spans="1:127" s="158" customFormat="1" ht="15" customHeight="1">
      <c r="A54" s="144"/>
      <c r="B54" s="184"/>
      <c r="C54" s="185"/>
      <c r="D54" s="185"/>
      <c r="E54" s="185"/>
      <c r="F54" s="185"/>
      <c r="G54" s="185"/>
      <c r="H54" s="185"/>
      <c r="I54" s="185"/>
      <c r="J54" s="185"/>
      <c r="K54" s="185"/>
      <c r="L54" s="185"/>
      <c r="M54" s="186"/>
      <c r="N54" s="186"/>
      <c r="O54" s="186"/>
      <c r="P54" s="186"/>
      <c r="Q54" s="186"/>
      <c r="R54" s="186"/>
      <c r="S54" s="186"/>
      <c r="T54" s="186"/>
      <c r="U54" s="186"/>
      <c r="V54" s="186"/>
      <c r="W54" s="186"/>
      <c r="X54" s="186"/>
      <c r="Y54" s="186"/>
      <c r="Z54" s="186"/>
      <c r="AA54" s="186"/>
      <c r="AB54" s="186"/>
      <c r="AC54" s="186"/>
      <c r="AD54" s="186"/>
      <c r="AE54" s="144"/>
      <c r="AF54" s="144"/>
      <c r="AG54" s="144"/>
      <c r="AH54" s="144"/>
      <c r="AI54" s="144"/>
      <c r="AJ54" s="144"/>
      <c r="AK54" s="144"/>
      <c r="AL54" s="144"/>
      <c r="AM54" s="144"/>
      <c r="AN54" s="144"/>
      <c r="AO54" s="144"/>
      <c r="AP54" s="144"/>
      <c r="AQ54" s="144"/>
      <c r="AR54" s="144"/>
      <c r="AS54" s="144"/>
      <c r="AT54" s="144"/>
      <c r="AU54" s="144"/>
      <c r="AV54" s="144"/>
      <c r="AW54" s="144"/>
      <c r="AX54" s="144"/>
      <c r="AY54" s="144"/>
      <c r="AZ54" s="144"/>
      <c r="BA54" s="144"/>
      <c r="BB54" s="1776"/>
      <c r="BC54" s="1776"/>
      <c r="BD54" s="1776"/>
      <c r="BE54" s="1776"/>
      <c r="BF54" s="1776"/>
      <c r="BG54" s="1776"/>
      <c r="BH54" s="1776"/>
      <c r="BI54" s="1776"/>
      <c r="BJ54" s="1777"/>
      <c r="BK54" s="1777"/>
      <c r="BL54" s="1777"/>
      <c r="BM54" s="1777"/>
      <c r="BN54" s="1777"/>
      <c r="BO54" s="1777"/>
      <c r="BP54" s="1777"/>
      <c r="BQ54" s="1777"/>
    </row>
    <row r="55" spans="1:127" ht="15" customHeight="1">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c r="AB55" s="187"/>
      <c r="AC55" s="187"/>
      <c r="AD55" s="187"/>
      <c r="AE55" s="144"/>
      <c r="AF55" s="144"/>
      <c r="AG55" s="144"/>
      <c r="AH55" s="144"/>
      <c r="AI55" s="144"/>
      <c r="AJ55" s="144"/>
      <c r="AK55" s="144"/>
      <c r="AL55" s="144"/>
      <c r="AM55" s="144"/>
      <c r="BB55" s="1776"/>
      <c r="BC55" s="1776"/>
      <c r="BD55" s="1776"/>
      <c r="BE55" s="1776"/>
      <c r="BF55" s="1776"/>
      <c r="BG55" s="1776"/>
      <c r="BH55" s="1776"/>
      <c r="BI55" s="1776"/>
      <c r="BJ55" s="1777"/>
      <c r="BK55" s="1777"/>
      <c r="BL55" s="1777"/>
      <c r="BM55" s="1777"/>
      <c r="BN55" s="1777"/>
      <c r="BO55" s="1777"/>
      <c r="BP55" s="1777"/>
      <c r="BQ55" s="1777"/>
    </row>
    <row r="56" spans="1:127" ht="27" customHeight="1">
      <c r="B56" s="188"/>
      <c r="C56" s="188"/>
      <c r="D56" s="188"/>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44"/>
      <c r="AF56" s="144"/>
      <c r="AG56" s="144"/>
      <c r="AH56" s="144"/>
      <c r="AI56" s="144"/>
      <c r="AJ56" s="144"/>
      <c r="AK56" s="144"/>
      <c r="AL56" s="144"/>
      <c r="AM56" s="144"/>
      <c r="BB56" s="1777"/>
      <c r="BC56" s="1777"/>
      <c r="BD56" s="1777"/>
      <c r="BE56" s="1777"/>
      <c r="BF56" s="1777"/>
      <c r="BG56" s="1777"/>
      <c r="BH56" s="1777"/>
      <c r="BI56" s="1777"/>
      <c r="BJ56" s="1777"/>
      <c r="BK56" s="1777"/>
      <c r="BL56" s="1777"/>
      <c r="BM56" s="1777"/>
      <c r="BN56" s="1777"/>
      <c r="BO56" s="1777"/>
      <c r="BP56" s="1777"/>
      <c r="BQ56" s="1777"/>
    </row>
    <row r="57" spans="1:127">
      <c r="AE57" s="144"/>
      <c r="AF57" s="144"/>
      <c r="AG57" s="144"/>
      <c r="AH57" s="144"/>
      <c r="AI57" s="144"/>
      <c r="AJ57" s="144"/>
      <c r="AK57" s="144"/>
      <c r="AL57" s="144"/>
      <c r="AM57" s="144"/>
      <c r="BB57" s="1777"/>
      <c r="BC57" s="1777"/>
      <c r="BD57" s="1777"/>
      <c r="BE57" s="1777"/>
      <c r="BF57" s="1777"/>
      <c r="BG57" s="1777"/>
      <c r="BH57" s="1777"/>
      <c r="BI57" s="1777"/>
      <c r="BJ57" s="1777"/>
      <c r="BK57" s="1777"/>
      <c r="BL57" s="1777"/>
      <c r="BM57" s="1777"/>
      <c r="BN57" s="1777"/>
      <c r="BO57" s="1777"/>
      <c r="BP57" s="1777"/>
      <c r="BQ57" s="1777"/>
    </row>
    <row r="58" spans="1:127">
      <c r="AE58" s="144"/>
      <c r="AF58" s="144"/>
      <c r="AG58" s="144"/>
      <c r="AH58" s="144"/>
      <c r="AI58" s="144"/>
      <c r="AJ58" s="144"/>
      <c r="AK58" s="144"/>
      <c r="AL58" s="144"/>
      <c r="AM58" s="144"/>
      <c r="BB58" s="1777"/>
      <c r="BC58" s="1777"/>
      <c r="BD58" s="1777"/>
      <c r="BE58" s="1777"/>
      <c r="BF58" s="1777"/>
      <c r="BG58" s="1777"/>
      <c r="BH58" s="1777"/>
      <c r="BI58" s="1777"/>
      <c r="BJ58" s="1777"/>
      <c r="BK58" s="1777"/>
      <c r="BL58" s="1777"/>
      <c r="BM58" s="1777"/>
      <c r="BN58" s="1777"/>
      <c r="BO58" s="1777"/>
      <c r="BP58" s="1777"/>
      <c r="BQ58" s="1777"/>
    </row>
    <row r="59" spans="1:127">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44"/>
      <c r="AF59" s="144"/>
      <c r="AG59" s="144"/>
      <c r="AH59" s="144"/>
      <c r="AI59" s="144"/>
      <c r="AJ59" s="144"/>
      <c r="AK59" s="144"/>
      <c r="AL59" s="144"/>
      <c r="AM59" s="144"/>
      <c r="BB59" s="1776"/>
      <c r="BC59" s="1776"/>
      <c r="BD59" s="1776"/>
      <c r="BE59" s="1776"/>
      <c r="BF59" s="1776"/>
      <c r="BG59" s="1776"/>
      <c r="BH59" s="1776"/>
      <c r="BI59" s="1776"/>
      <c r="BJ59" s="1777"/>
      <c r="BK59" s="1777"/>
      <c r="BL59" s="1777"/>
      <c r="BM59" s="1777"/>
      <c r="BN59" s="1777"/>
      <c r="BO59" s="1777"/>
      <c r="BP59" s="1777"/>
      <c r="BQ59" s="1777"/>
    </row>
    <row r="60" spans="1:127">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44"/>
      <c r="AF60" s="144"/>
      <c r="AG60" s="144"/>
      <c r="AH60" s="144"/>
      <c r="AI60" s="144"/>
      <c r="AJ60" s="144"/>
      <c r="AK60" s="144"/>
      <c r="AL60" s="144"/>
      <c r="AM60" s="144"/>
      <c r="BB60" s="1777"/>
      <c r="BC60" s="1777"/>
      <c r="BD60" s="1777"/>
      <c r="BE60" s="1777"/>
      <c r="BF60" s="1777"/>
      <c r="BG60" s="1777"/>
      <c r="BH60" s="1777"/>
      <c r="BI60" s="1777"/>
      <c r="BJ60" s="1777"/>
      <c r="BK60" s="1777"/>
      <c r="BL60" s="1777"/>
      <c r="BM60" s="1777"/>
      <c r="BN60" s="1777"/>
      <c r="BO60" s="1777"/>
      <c r="BP60" s="1777"/>
      <c r="BQ60" s="1777"/>
    </row>
    <row r="61" spans="1:127">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44"/>
      <c r="AF61" s="144"/>
      <c r="AG61" s="144"/>
      <c r="AH61" s="144"/>
      <c r="AI61" s="144"/>
      <c r="AJ61" s="144"/>
      <c r="AK61" s="144"/>
      <c r="AL61" s="144"/>
      <c r="AM61" s="144"/>
      <c r="BB61" s="1776"/>
      <c r="BC61" s="1776"/>
      <c r="BD61" s="1776"/>
      <c r="BE61" s="1776"/>
      <c r="BF61" s="1776"/>
      <c r="BG61" s="1776"/>
      <c r="BH61" s="1776"/>
      <c r="BI61" s="1776"/>
      <c r="BJ61" s="1777"/>
      <c r="BK61" s="1778"/>
      <c r="BL61" s="1778"/>
      <c r="BM61" s="1778"/>
      <c r="BN61" s="1778"/>
      <c r="BO61" s="1778"/>
      <c r="BP61" s="1778"/>
      <c r="BQ61" s="1778"/>
    </row>
    <row r="62" spans="1:127">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44"/>
      <c r="AF62" s="144"/>
      <c r="AG62" s="144"/>
      <c r="AH62" s="144"/>
      <c r="AI62" s="144"/>
      <c r="AJ62" s="144"/>
      <c r="AK62" s="144"/>
      <c r="AL62" s="144"/>
      <c r="AM62" s="144"/>
      <c r="BB62" s="1777"/>
      <c r="BC62" s="1777"/>
      <c r="BD62" s="1777"/>
      <c r="BE62" s="1777"/>
      <c r="BF62" s="1777"/>
      <c r="BG62" s="1777"/>
      <c r="BH62" s="1777"/>
      <c r="BI62" s="1777"/>
      <c r="BJ62" s="1777"/>
      <c r="BK62" s="1777"/>
      <c r="BL62" s="1777"/>
      <c r="BM62" s="1777"/>
      <c r="BN62" s="1777"/>
      <c r="BO62" s="1777"/>
      <c r="BP62" s="1777"/>
      <c r="BQ62" s="1777"/>
    </row>
    <row r="63" spans="1:127">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44"/>
      <c r="AF63" s="144"/>
      <c r="AG63" s="144"/>
      <c r="AH63" s="144"/>
      <c r="AI63" s="144"/>
      <c r="AJ63" s="144"/>
      <c r="AK63" s="144"/>
      <c r="AL63" s="144"/>
      <c r="AM63" s="144"/>
      <c r="BB63" s="1777"/>
      <c r="BC63" s="1777"/>
      <c r="BD63" s="1777"/>
      <c r="BE63" s="1777"/>
      <c r="BF63" s="1777"/>
      <c r="BG63" s="1777"/>
      <c r="BH63" s="1777"/>
      <c r="BI63" s="1777"/>
      <c r="BJ63" s="1777"/>
      <c r="BK63" s="1777"/>
      <c r="BL63" s="1777"/>
      <c r="BM63" s="1777"/>
      <c r="BN63" s="1777"/>
      <c r="BO63" s="1777"/>
      <c r="BP63" s="1777"/>
      <c r="BQ63" s="1777"/>
    </row>
    <row r="64" spans="1:127">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44"/>
      <c r="AF64" s="144"/>
      <c r="AG64" s="144"/>
      <c r="AH64" s="144"/>
      <c r="AI64" s="144"/>
      <c r="AJ64" s="144"/>
      <c r="AK64" s="144"/>
      <c r="AL64" s="144"/>
      <c r="AM64" s="144"/>
      <c r="BB64" s="1777"/>
      <c r="BC64" s="1777"/>
      <c r="BD64" s="1777"/>
      <c r="BE64" s="1777"/>
      <c r="BF64" s="1777"/>
      <c r="BG64" s="1777"/>
      <c r="BH64" s="1777"/>
      <c r="BI64" s="1777"/>
      <c r="BJ64" s="1777"/>
      <c r="BK64" s="1777"/>
      <c r="BL64" s="1777"/>
      <c r="BM64" s="1777"/>
      <c r="BN64" s="1777"/>
      <c r="BO64" s="1777"/>
      <c r="BP64" s="1777"/>
      <c r="BQ64" s="1777"/>
    </row>
    <row r="65" spans="31:69">
      <c r="AE65" s="144"/>
      <c r="AF65" s="144"/>
      <c r="AG65" s="144"/>
      <c r="AH65" s="144"/>
      <c r="AI65" s="144"/>
      <c r="AJ65" s="144"/>
      <c r="AK65" s="144"/>
      <c r="AL65" s="144"/>
      <c r="AM65" s="144"/>
      <c r="BB65" s="1777"/>
      <c r="BC65" s="1777"/>
      <c r="BD65" s="1777"/>
      <c r="BE65" s="1777"/>
      <c r="BF65" s="1777"/>
      <c r="BG65" s="1777"/>
      <c r="BH65" s="1777"/>
      <c r="BI65" s="1777"/>
      <c r="BJ65" s="1777"/>
      <c r="BK65" s="1777"/>
      <c r="BL65" s="1777"/>
      <c r="BM65" s="1777"/>
      <c r="BN65" s="1777"/>
      <c r="BO65" s="1777"/>
      <c r="BP65" s="1777"/>
      <c r="BQ65" s="1777"/>
    </row>
    <row r="66" spans="31:69">
      <c r="AE66" s="144"/>
      <c r="AF66" s="144"/>
      <c r="AG66" s="144"/>
      <c r="AH66" s="144"/>
      <c r="AI66" s="144"/>
      <c r="AJ66" s="144"/>
      <c r="AK66" s="144"/>
      <c r="AL66" s="144"/>
      <c r="AM66" s="144"/>
      <c r="BB66" s="1777"/>
      <c r="BC66" s="1777"/>
      <c r="BD66" s="1777"/>
      <c r="BE66" s="1777"/>
      <c r="BF66" s="1777"/>
      <c r="BG66" s="1777"/>
      <c r="BH66" s="1777"/>
      <c r="BI66" s="1777"/>
      <c r="BJ66" s="1777"/>
      <c r="BK66" s="1777"/>
      <c r="BL66" s="1777"/>
      <c r="BM66" s="1777"/>
      <c r="BN66" s="1777"/>
      <c r="BO66" s="1777"/>
      <c r="BP66" s="1777"/>
      <c r="BQ66" s="1777"/>
    </row>
    <row r="67" spans="31:69">
      <c r="AE67" s="144"/>
      <c r="AF67" s="144"/>
      <c r="AG67" s="144"/>
      <c r="AH67" s="144"/>
      <c r="AI67" s="144"/>
      <c r="AJ67" s="144"/>
      <c r="AK67" s="144"/>
      <c r="AL67" s="144"/>
      <c r="AM67" s="144"/>
      <c r="BB67" s="1777"/>
      <c r="BC67" s="1777"/>
      <c r="BD67" s="1777"/>
      <c r="BE67" s="1777"/>
      <c r="BF67" s="1777"/>
      <c r="BG67" s="1777"/>
      <c r="BH67" s="1777"/>
      <c r="BI67" s="1777"/>
      <c r="BJ67" s="1777"/>
      <c r="BK67" s="1777"/>
      <c r="BL67" s="1777"/>
      <c r="BM67" s="1777"/>
      <c r="BN67" s="1777"/>
      <c r="BO67" s="1777"/>
      <c r="BP67" s="1777"/>
      <c r="BQ67" s="1777"/>
    </row>
    <row r="68" spans="31:69">
      <c r="AE68" s="144"/>
      <c r="AF68" s="144"/>
      <c r="AG68" s="144"/>
      <c r="AH68" s="144"/>
      <c r="AI68" s="144"/>
      <c r="AJ68" s="144"/>
      <c r="AK68" s="144"/>
      <c r="AL68" s="144"/>
      <c r="AM68" s="144"/>
    </row>
    <row r="69" spans="31:69">
      <c r="AE69" s="144"/>
      <c r="AF69" s="144"/>
      <c r="AG69" s="144"/>
      <c r="AH69" s="144"/>
      <c r="AI69" s="144"/>
      <c r="AJ69" s="144"/>
      <c r="AK69" s="144"/>
      <c r="AL69" s="144"/>
      <c r="AM69" s="144"/>
    </row>
    <row r="70" spans="31:69">
      <c r="AE70" s="144"/>
      <c r="AF70" s="144"/>
      <c r="AG70" s="144"/>
      <c r="AH70" s="144"/>
      <c r="AI70" s="144"/>
      <c r="AJ70" s="144"/>
      <c r="AK70" s="144"/>
      <c r="AL70" s="144"/>
      <c r="AM70" s="144"/>
    </row>
    <row r="71" spans="31:69">
      <c r="AE71" s="144"/>
      <c r="AF71" s="144"/>
      <c r="AG71" s="144"/>
      <c r="AH71" s="144"/>
      <c r="AI71" s="144"/>
      <c r="AJ71" s="144"/>
      <c r="AK71" s="144"/>
      <c r="AL71" s="144"/>
      <c r="AM71" s="144"/>
    </row>
    <row r="72" spans="31:69">
      <c r="AE72" s="144"/>
      <c r="AF72" s="144"/>
      <c r="AG72" s="144"/>
      <c r="AH72" s="144"/>
      <c r="AI72" s="144"/>
      <c r="AJ72" s="144"/>
      <c r="AK72" s="144"/>
      <c r="AL72" s="144"/>
      <c r="AM72" s="144"/>
    </row>
    <row r="73" spans="31:69">
      <c r="AE73" s="144"/>
      <c r="AF73" s="144"/>
      <c r="AG73" s="144"/>
      <c r="AH73" s="144"/>
      <c r="AI73" s="144"/>
      <c r="AJ73" s="144"/>
      <c r="AK73" s="144"/>
      <c r="AL73" s="144"/>
      <c r="AM73" s="144"/>
    </row>
    <row r="74" spans="31:69">
      <c r="AE74" s="144"/>
      <c r="AF74" s="144"/>
      <c r="AG74" s="144"/>
      <c r="AH74" s="144"/>
      <c r="AI74" s="144"/>
      <c r="AJ74" s="144"/>
      <c r="AK74" s="144"/>
      <c r="AL74" s="144"/>
      <c r="AM74" s="144"/>
    </row>
    <row r="75" spans="31:69">
      <c r="AE75" s="144"/>
      <c r="AF75" s="144"/>
      <c r="AG75" s="144"/>
      <c r="AH75" s="144"/>
      <c r="AI75" s="144"/>
      <c r="AJ75" s="144"/>
      <c r="AK75" s="144"/>
      <c r="AL75" s="144"/>
      <c r="AM75" s="144"/>
    </row>
    <row r="76" spans="31:69">
      <c r="AE76" s="144"/>
      <c r="AF76" s="144"/>
      <c r="AG76" s="144"/>
      <c r="AH76" s="144"/>
      <c r="AI76" s="144"/>
      <c r="AJ76" s="144"/>
      <c r="AK76" s="144"/>
      <c r="AL76" s="144"/>
      <c r="AM76" s="144"/>
    </row>
    <row r="77" spans="31:69">
      <c r="AE77" s="144"/>
      <c r="AF77" s="144"/>
      <c r="AG77" s="144"/>
      <c r="AH77" s="144"/>
      <c r="AI77" s="144"/>
      <c r="AJ77" s="144"/>
      <c r="AK77" s="144"/>
      <c r="AL77" s="144"/>
      <c r="AM77" s="144"/>
    </row>
    <row r="78" spans="31:69">
      <c r="AE78" s="144"/>
      <c r="AF78" s="144"/>
      <c r="AG78" s="144"/>
      <c r="AH78" s="144"/>
      <c r="AI78" s="144"/>
      <c r="AJ78" s="144"/>
      <c r="AK78" s="144"/>
      <c r="AL78" s="144"/>
      <c r="AM78" s="144"/>
    </row>
    <row r="79" spans="31:69">
      <c r="AE79" s="144"/>
      <c r="AF79" s="144"/>
      <c r="AG79" s="144"/>
      <c r="AH79" s="144"/>
      <c r="AI79" s="144"/>
      <c r="AJ79" s="144"/>
      <c r="AK79" s="144"/>
      <c r="AL79" s="144"/>
      <c r="AM79" s="144"/>
    </row>
    <row r="80" spans="31:69">
      <c r="AE80" s="144"/>
      <c r="AF80" s="144"/>
      <c r="AG80" s="144"/>
      <c r="AH80" s="144"/>
      <c r="AI80" s="144"/>
      <c r="AJ80" s="144"/>
      <c r="AK80" s="144"/>
      <c r="AL80" s="144"/>
      <c r="AM80" s="144"/>
    </row>
    <row r="81" s="144" customFormat="1"/>
    <row r="82" s="144" customFormat="1"/>
    <row r="83" s="144" customFormat="1"/>
    <row r="84" s="144" customFormat="1"/>
    <row r="85" s="144" customFormat="1"/>
    <row r="86" s="144" customFormat="1"/>
    <row r="87" s="144" customFormat="1"/>
    <row r="88" s="144" customFormat="1"/>
    <row r="89" s="144" customFormat="1"/>
    <row r="90" s="144" customFormat="1"/>
    <row r="91" s="144" customFormat="1"/>
    <row r="92" s="144" customFormat="1"/>
    <row r="93" s="144" customFormat="1"/>
    <row r="94" s="144" customFormat="1"/>
    <row r="95" s="144" customFormat="1"/>
    <row r="96" s="144" customFormat="1"/>
    <row r="97" s="144" customFormat="1"/>
    <row r="98" s="144" customFormat="1"/>
    <row r="99" s="144" customFormat="1"/>
    <row r="100" s="144" customFormat="1"/>
    <row r="101" s="144" customFormat="1"/>
    <row r="102" s="144" customFormat="1"/>
    <row r="103" s="144" customFormat="1"/>
    <row r="104" s="144" customFormat="1"/>
    <row r="105" s="144" customFormat="1"/>
    <row r="106" s="144" customFormat="1"/>
    <row r="107" s="144" customFormat="1"/>
    <row r="108" s="144" customFormat="1"/>
    <row r="109" s="144" customFormat="1"/>
    <row r="110" s="144" customFormat="1"/>
    <row r="111" s="144" customFormat="1"/>
    <row r="112" s="144" customFormat="1"/>
    <row r="113" s="144" customFormat="1"/>
    <row r="114" s="144" customFormat="1"/>
    <row r="115" s="144" customFormat="1"/>
    <row r="116" s="144" customFormat="1"/>
    <row r="117" s="144" customFormat="1"/>
    <row r="118" s="144" customFormat="1"/>
    <row r="119" s="144" customFormat="1"/>
    <row r="120" s="144" customFormat="1"/>
    <row r="121" s="144" customFormat="1"/>
    <row r="122" s="144" customFormat="1"/>
    <row r="123" s="144" customFormat="1"/>
    <row r="124" s="144" customFormat="1"/>
    <row r="125" s="144" customFormat="1"/>
    <row r="126" s="144" customFormat="1"/>
    <row r="127" s="144" customFormat="1"/>
    <row r="128" s="144" customFormat="1"/>
    <row r="129" s="144" customFormat="1"/>
    <row r="130" s="144" customFormat="1"/>
    <row r="131" s="144" customFormat="1"/>
    <row r="132" s="144" customFormat="1"/>
    <row r="133" s="144" customFormat="1"/>
    <row r="134" s="144" customFormat="1"/>
    <row r="135" s="144" customFormat="1"/>
    <row r="136" s="144" customFormat="1"/>
    <row r="137" s="144" customFormat="1"/>
    <row r="138" s="144" customFormat="1"/>
    <row r="139" s="144" customFormat="1"/>
    <row r="140" s="144" customFormat="1"/>
    <row r="141" s="144" customFormat="1"/>
    <row r="142" s="144" customFormat="1"/>
    <row r="143" s="144" customFormat="1"/>
    <row r="144" s="144" customFormat="1"/>
    <row r="145" s="144" customFormat="1"/>
    <row r="146" s="144" customFormat="1"/>
    <row r="147" s="144"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103" priority="84" stopIfTrue="1">
      <formula>$AC$10&gt;=0.9</formula>
    </cfRule>
  </conditionalFormatting>
  <conditionalFormatting sqref="D11:F11">
    <cfRule type="expression" dxfId="102" priority="83">
      <formula>AND(AC10&gt;=0.8,AC10&lt;=0.89)</formula>
    </cfRule>
  </conditionalFormatting>
  <conditionalFormatting sqref="D12:F12">
    <cfRule type="expression" dxfId="101" priority="82">
      <formula>AND(AC10&gt;=0.7,AC10&lt;=0.79)</formula>
    </cfRule>
  </conditionalFormatting>
  <conditionalFormatting sqref="D13:F13">
    <cfRule type="expression" dxfId="100" priority="81">
      <formula>AND(AC10&gt;=0,AC10&lt;=0.69)</formula>
    </cfRule>
  </conditionalFormatting>
  <conditionalFormatting sqref="L47">
    <cfRule type="cellIs" dxfId="99" priority="89" stopIfTrue="1" operator="equal">
      <formula>1</formula>
    </cfRule>
    <cfRule type="cellIs" dxfId="98" priority="90" stopIfTrue="1" operator="equal">
      <formula>0</formula>
    </cfRule>
  </conditionalFormatting>
  <conditionalFormatting sqref="Z18:AD18 K18:O46 Z19 AB19:AD19 Z20:AB20 AD20 Z21:AD46">
    <cfRule type="cellIs" dxfId="97" priority="1" operator="lessThan">
      <formula>1</formula>
    </cfRule>
    <cfRule type="cellIs" dxfId="96" priority="2" operator="greaterThan">
      <formula>0</formula>
    </cfRule>
  </conditionalFormatting>
  <dataValidations count="4">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s>
  <pageMargins left="0.7" right="0.7" top="0.75" bottom="0.75" header="0.3" footer="0.3"/>
  <pageSetup paperSize="9" scale="76" orientation="portrait" r:id="rId1"/>
  <headerFooter>
    <oddFooter>&amp;L_x000D_&amp;1#&amp;"Calibri"&amp;10&amp;K000000 Data sensitivity - Public</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5"/>
  <sheetViews>
    <sheetView topLeftCell="A14" zoomScale="80" zoomScaleNormal="80" workbookViewId="0">
      <selection activeCell="N19" sqref="N19"/>
    </sheetView>
  </sheetViews>
  <sheetFormatPr defaultRowHeight="14.4"/>
  <cols>
    <col min="1" max="1" width="15.109375" customWidth="1"/>
    <col min="2" max="2" width="13.109375" bestFit="1" customWidth="1"/>
    <col min="3" max="3" width="13.88671875" bestFit="1" customWidth="1"/>
    <col min="4" max="4" width="13.6640625" bestFit="1" customWidth="1"/>
    <col min="5" max="5" width="13" customWidth="1"/>
    <col min="6" max="6" width="12.44140625" bestFit="1"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1841" t="s">
        <v>102</v>
      </c>
      <c r="B1" s="1842"/>
      <c r="C1" s="1842"/>
      <c r="D1" s="1842"/>
      <c r="E1" s="1842"/>
      <c r="F1" s="1842"/>
      <c r="G1" s="1842"/>
      <c r="H1" s="1842"/>
      <c r="I1" s="1842"/>
      <c r="J1" s="1842"/>
      <c r="K1" s="1842"/>
      <c r="L1" s="1843"/>
    </row>
    <row r="2" spans="1:26" ht="15.45" customHeight="1">
      <c r="A2" s="1855" t="s">
        <v>115</v>
      </c>
      <c r="B2" s="1856"/>
      <c r="C2" s="1857"/>
      <c r="D2" s="1844" t="s">
        <v>110</v>
      </c>
      <c r="E2" s="1844" t="s">
        <v>111</v>
      </c>
      <c r="F2" s="1844" t="s">
        <v>112</v>
      </c>
      <c r="G2" s="1847" t="s">
        <v>113</v>
      </c>
      <c r="H2" s="1827" t="s">
        <v>108</v>
      </c>
      <c r="I2" s="1828"/>
      <c r="J2" s="1828"/>
      <c r="K2" s="1828"/>
      <c r="L2" s="1850"/>
    </row>
    <row r="3" spans="1:26">
      <c r="A3" s="1858"/>
      <c r="B3" s="1859"/>
      <c r="C3" s="1860"/>
      <c r="D3" s="1845"/>
      <c r="E3" s="1845"/>
      <c r="F3" s="1845"/>
      <c r="G3" s="1848"/>
      <c r="H3" s="1851" t="s">
        <v>125</v>
      </c>
      <c r="I3" s="1851" t="s">
        <v>126</v>
      </c>
      <c r="J3" s="1851" t="s">
        <v>127</v>
      </c>
      <c r="K3" s="1851" t="s">
        <v>128</v>
      </c>
      <c r="L3" s="1864" t="s">
        <v>129</v>
      </c>
    </row>
    <row r="4" spans="1:26" ht="22.2" customHeight="1">
      <c r="A4" s="1861"/>
      <c r="B4" s="1862"/>
      <c r="C4" s="1863"/>
      <c r="D4" s="1846"/>
      <c r="E4" s="1846"/>
      <c r="F4" s="1846"/>
      <c r="G4" s="1849"/>
      <c r="H4" s="1851"/>
      <c r="I4" s="1851"/>
      <c r="J4" s="1851"/>
      <c r="K4" s="1851"/>
      <c r="L4" s="1864"/>
    </row>
    <row r="5" spans="1:26">
      <c r="A5" s="1865" t="s">
        <v>391</v>
      </c>
      <c r="B5" s="1866"/>
      <c r="C5" s="1867"/>
      <c r="D5" s="717">
        <v>43</v>
      </c>
      <c r="E5" s="717">
        <v>43</v>
      </c>
      <c r="F5" s="717">
        <f>D5-E5</f>
        <v>0</v>
      </c>
      <c r="G5" s="717">
        <v>0</v>
      </c>
      <c r="H5" s="717">
        <v>0</v>
      </c>
      <c r="I5" s="718">
        <v>0</v>
      </c>
      <c r="J5" s="717">
        <v>0</v>
      </c>
      <c r="K5" s="717">
        <v>0</v>
      </c>
      <c r="L5" s="719">
        <v>0</v>
      </c>
      <c r="M5" s="655"/>
    </row>
    <row r="6" spans="1:26">
      <c r="A6" s="1868" t="s">
        <v>134</v>
      </c>
      <c r="B6" s="1869"/>
      <c r="C6" s="1870"/>
      <c r="D6" s="717">
        <v>10</v>
      </c>
      <c r="E6" s="717">
        <v>10</v>
      </c>
      <c r="F6" s="717">
        <f t="shared" ref="F6:F7" si="0">+D6-E6</f>
        <v>0</v>
      </c>
      <c r="G6" s="717">
        <v>0</v>
      </c>
      <c r="H6" s="717">
        <v>0</v>
      </c>
      <c r="I6" s="718">
        <v>0</v>
      </c>
      <c r="J6" s="717">
        <v>0</v>
      </c>
      <c r="K6" s="717">
        <v>0</v>
      </c>
      <c r="L6" s="719">
        <v>0</v>
      </c>
      <c r="M6" s="655"/>
    </row>
    <row r="7" spans="1:26">
      <c r="A7" s="1868" t="s">
        <v>392</v>
      </c>
      <c r="B7" s="1869"/>
      <c r="C7" s="1870"/>
      <c r="D7" s="717">
        <v>116</v>
      </c>
      <c r="E7" s="717">
        <v>116</v>
      </c>
      <c r="F7" s="717">
        <f t="shared" si="0"/>
        <v>0</v>
      </c>
      <c r="G7" s="717">
        <v>0</v>
      </c>
      <c r="H7" s="717">
        <v>0</v>
      </c>
      <c r="I7" s="718">
        <v>0</v>
      </c>
      <c r="J7" s="717">
        <v>0</v>
      </c>
      <c r="K7" s="717">
        <v>0</v>
      </c>
      <c r="L7" s="719">
        <v>0</v>
      </c>
      <c r="M7" s="655"/>
    </row>
    <row r="8" spans="1:26">
      <c r="A8" s="1871" t="s">
        <v>393</v>
      </c>
      <c r="B8" s="1872"/>
      <c r="C8" s="1873"/>
      <c r="D8" s="720">
        <v>1571</v>
      </c>
      <c r="E8" s="720">
        <v>1551</v>
      </c>
      <c r="F8" s="720">
        <f>D8-E8</f>
        <v>20</v>
      </c>
      <c r="G8" s="721">
        <v>0</v>
      </c>
      <c r="H8" s="721">
        <v>0</v>
      </c>
      <c r="I8" s="721">
        <v>0</v>
      </c>
      <c r="J8" s="720">
        <v>0</v>
      </c>
      <c r="K8" s="720">
        <v>0</v>
      </c>
      <c r="L8" s="722">
        <v>0</v>
      </c>
      <c r="M8" s="655"/>
    </row>
    <row r="10" spans="1:26" ht="22.2" customHeight="1">
      <c r="A10" s="1790" t="s">
        <v>101</v>
      </c>
      <c r="B10" s="1791"/>
      <c r="C10" s="1792"/>
      <c r="D10" s="1792"/>
      <c r="E10" s="1792"/>
      <c r="F10" s="1792"/>
      <c r="G10" s="1792"/>
      <c r="H10" s="1792"/>
      <c r="I10" s="1792"/>
      <c r="J10" s="1792"/>
      <c r="K10" s="1793"/>
      <c r="L10" s="1794"/>
    </row>
    <row r="11" spans="1:26" ht="22.2" customHeight="1">
      <c r="A11" s="1795" t="s">
        <v>105</v>
      </c>
      <c r="B11" s="1796"/>
      <c r="C11" s="1797"/>
      <c r="D11" s="1806" t="s">
        <v>394</v>
      </c>
      <c r="E11" s="1852" t="s">
        <v>395</v>
      </c>
      <c r="F11" s="1853"/>
      <c r="G11" s="1853"/>
      <c r="H11" s="1853"/>
      <c r="I11" s="1854"/>
      <c r="J11" s="1808" t="s">
        <v>396</v>
      </c>
      <c r="K11" s="654" t="s">
        <v>108</v>
      </c>
      <c r="L11" s="1810" t="s">
        <v>109</v>
      </c>
    </row>
    <row r="12" spans="1:26" ht="30.6" customHeight="1">
      <c r="A12" s="1798"/>
      <c r="B12" s="1799"/>
      <c r="C12" s="1800"/>
      <c r="D12" s="1807"/>
      <c r="E12" s="1091" t="s">
        <v>120</v>
      </c>
      <c r="F12" s="1091" t="s">
        <v>121</v>
      </c>
      <c r="G12" s="1091" t="s">
        <v>122</v>
      </c>
      <c r="H12" s="1091" t="s">
        <v>123</v>
      </c>
      <c r="I12" s="1091" t="s">
        <v>124</v>
      </c>
      <c r="J12" s="1809" t="s">
        <v>147</v>
      </c>
      <c r="K12" s="1092" t="s">
        <v>397</v>
      </c>
      <c r="L12" s="1811"/>
    </row>
    <row r="13" spans="1:26" ht="22.2" customHeight="1">
      <c r="A13" s="1788" t="s">
        <v>130</v>
      </c>
      <c r="B13" s="1789"/>
      <c r="C13" s="1789"/>
      <c r="D13" s="1093">
        <v>1</v>
      </c>
      <c r="E13" s="1093">
        <v>0</v>
      </c>
      <c r="F13" s="1093">
        <v>1</v>
      </c>
      <c r="G13" s="1093">
        <v>0</v>
      </c>
      <c r="H13" s="1093">
        <v>0</v>
      </c>
      <c r="I13" s="1093">
        <f>E13+F13+G13+H13+K13</f>
        <v>1</v>
      </c>
      <c r="J13" s="1094">
        <f>D13-I13</f>
        <v>0</v>
      </c>
      <c r="K13" s="1094">
        <v>0</v>
      </c>
      <c r="L13" s="1095">
        <f t="shared" ref="L13:L24" si="1">E13+F13+G13+H13+K13+J13</f>
        <v>1</v>
      </c>
      <c r="M13" s="782">
        <f>+I13/D13</f>
        <v>1</v>
      </c>
      <c r="N13" s="782">
        <f>+L13/D13</f>
        <v>1</v>
      </c>
      <c r="R13" s="655">
        <f>+D13</f>
        <v>1</v>
      </c>
      <c r="S13" s="655">
        <f t="shared" ref="S13:W13" si="2">+E13</f>
        <v>0</v>
      </c>
      <c r="T13" s="655">
        <f t="shared" si="2"/>
        <v>1</v>
      </c>
      <c r="U13" s="655">
        <f t="shared" si="2"/>
        <v>0</v>
      </c>
      <c r="V13" s="655">
        <f t="shared" si="2"/>
        <v>0</v>
      </c>
      <c r="W13" s="655">
        <f t="shared" si="2"/>
        <v>1</v>
      </c>
      <c r="X13" s="655">
        <f>+J1+3</f>
        <v>3</v>
      </c>
      <c r="Y13" s="655">
        <f>+K13</f>
        <v>0</v>
      </c>
      <c r="Z13" s="655"/>
    </row>
    <row r="14" spans="1:26" ht="22.2" customHeight="1">
      <c r="A14" s="1801" t="s">
        <v>398</v>
      </c>
      <c r="B14" s="1802"/>
      <c r="C14" s="1802"/>
      <c r="D14" s="1096">
        <f>I14</f>
        <v>264</v>
      </c>
      <c r="E14" s="1096">
        <v>50</v>
      </c>
      <c r="F14" s="1096">
        <v>210</v>
      </c>
      <c r="G14" s="1096">
        <v>0</v>
      </c>
      <c r="H14" s="1096">
        <v>0</v>
      </c>
      <c r="I14" s="1096">
        <f>E14+F14+G14+H14+K14</f>
        <v>264</v>
      </c>
      <c r="J14" s="1097">
        <f t="shared" ref="J14:J24" si="3">D14-I14</f>
        <v>0</v>
      </c>
      <c r="K14" s="1097">
        <v>4</v>
      </c>
      <c r="L14" s="1098">
        <f>E14+F14+G14+H14+K14+J14</f>
        <v>264</v>
      </c>
      <c r="M14" s="782">
        <f t="shared" ref="M14:M25" si="4">+I14/D14</f>
        <v>1</v>
      </c>
      <c r="N14" s="782">
        <f>+L14/D14</f>
        <v>1</v>
      </c>
      <c r="O14" s="655"/>
      <c r="P14" s="655"/>
      <c r="Q14" s="655"/>
      <c r="R14" s="655">
        <f>+D14+D15</f>
        <v>310</v>
      </c>
      <c r="S14" s="655">
        <f t="shared" ref="S14:T14" si="5">+E14+E15</f>
        <v>57</v>
      </c>
      <c r="T14" s="655">
        <f t="shared" si="5"/>
        <v>249</v>
      </c>
      <c r="U14" s="655">
        <f>+G14+G15</f>
        <v>0</v>
      </c>
      <c r="V14" s="655">
        <f>+H14+H15</f>
        <v>0</v>
      </c>
      <c r="W14" s="655">
        <f>+I14+I15</f>
        <v>310</v>
      </c>
      <c r="X14" s="655">
        <f>+J14+J15</f>
        <v>0</v>
      </c>
      <c r="Y14" s="655">
        <f>+K14+K15</f>
        <v>4</v>
      </c>
      <c r="Z14" s="655"/>
    </row>
    <row r="15" spans="1:26" ht="22.2" customHeight="1">
      <c r="A15" s="1801" t="s">
        <v>399</v>
      </c>
      <c r="B15" s="1802"/>
      <c r="C15" s="1802"/>
      <c r="D15" s="1096">
        <f t="shared" ref="D15:D24" si="6">I15</f>
        <v>46</v>
      </c>
      <c r="E15" s="1096">
        <v>7</v>
      </c>
      <c r="F15" s="1096">
        <v>39</v>
      </c>
      <c r="G15" s="1096">
        <v>0</v>
      </c>
      <c r="H15" s="1096">
        <v>0</v>
      </c>
      <c r="I15" s="1096">
        <f t="shared" ref="I15:I24" si="7">E15+F15+G15+H15+K15</f>
        <v>46</v>
      </c>
      <c r="J15" s="1097">
        <f t="shared" si="3"/>
        <v>0</v>
      </c>
      <c r="K15" s="1097">
        <v>0</v>
      </c>
      <c r="L15" s="1098">
        <f t="shared" si="1"/>
        <v>46</v>
      </c>
      <c r="M15" s="782"/>
      <c r="N15" s="782"/>
      <c r="R15" s="655">
        <f t="shared" ref="R15:Y16" si="8">+D16</f>
        <v>9</v>
      </c>
      <c r="S15" s="655">
        <f t="shared" si="8"/>
        <v>0</v>
      </c>
      <c r="T15" s="655">
        <f t="shared" si="8"/>
        <v>9</v>
      </c>
      <c r="U15" s="655">
        <f>+G16</f>
        <v>0</v>
      </c>
      <c r="V15" s="655">
        <f t="shared" si="8"/>
        <v>0</v>
      </c>
      <c r="W15" s="655">
        <f t="shared" si="8"/>
        <v>9</v>
      </c>
      <c r="X15" s="655">
        <f>+J16</f>
        <v>0</v>
      </c>
      <c r="Y15" s="655">
        <f>+K16</f>
        <v>0</v>
      </c>
    </row>
    <row r="16" spans="1:26" ht="22.2" customHeight="1">
      <c r="A16" s="1801" t="s">
        <v>400</v>
      </c>
      <c r="B16" s="1802"/>
      <c r="C16" s="1802"/>
      <c r="D16" s="1096">
        <f t="shared" si="6"/>
        <v>9</v>
      </c>
      <c r="E16" s="1096">
        <v>0</v>
      </c>
      <c r="F16" s="1096">
        <v>9</v>
      </c>
      <c r="G16" s="1096">
        <v>0</v>
      </c>
      <c r="H16" s="1096">
        <v>0</v>
      </c>
      <c r="I16" s="1096">
        <f t="shared" si="7"/>
        <v>9</v>
      </c>
      <c r="J16" s="1097">
        <f t="shared" si="3"/>
        <v>0</v>
      </c>
      <c r="K16" s="1097">
        <v>0</v>
      </c>
      <c r="L16" s="1098">
        <f>E16+F16+G16+H16+K16+J16</f>
        <v>9</v>
      </c>
      <c r="M16" s="782">
        <f t="shared" si="4"/>
        <v>1</v>
      </c>
      <c r="N16" s="782">
        <f>+L16/D16</f>
        <v>1</v>
      </c>
      <c r="Q16" s="655"/>
      <c r="R16" s="655">
        <f t="shared" si="8"/>
        <v>73</v>
      </c>
      <c r="S16" s="655">
        <f t="shared" si="8"/>
        <v>6</v>
      </c>
      <c r="T16" s="655">
        <f t="shared" si="8"/>
        <v>67</v>
      </c>
      <c r="U16" s="655">
        <f t="shared" si="8"/>
        <v>0</v>
      </c>
      <c r="V16" s="655">
        <f t="shared" si="8"/>
        <v>0</v>
      </c>
      <c r="W16" s="655">
        <f t="shared" si="8"/>
        <v>73</v>
      </c>
      <c r="X16" s="655">
        <f t="shared" si="8"/>
        <v>0</v>
      </c>
      <c r="Y16" s="655">
        <f t="shared" si="8"/>
        <v>0</v>
      </c>
    </row>
    <row r="17" spans="1:25" ht="22.2" customHeight="1">
      <c r="A17" s="1801" t="s">
        <v>401</v>
      </c>
      <c r="B17" s="1802"/>
      <c r="C17" s="1802"/>
      <c r="D17" s="1096">
        <f t="shared" si="6"/>
        <v>73</v>
      </c>
      <c r="E17" s="1096">
        <v>6</v>
      </c>
      <c r="F17" s="1096">
        <v>67</v>
      </c>
      <c r="G17" s="1096">
        <v>0</v>
      </c>
      <c r="H17" s="1096">
        <v>0</v>
      </c>
      <c r="I17" s="1096">
        <f t="shared" si="7"/>
        <v>73</v>
      </c>
      <c r="J17" s="1097">
        <f>D17-I17</f>
        <v>0</v>
      </c>
      <c r="K17" s="1097">
        <v>0</v>
      </c>
      <c r="L17" s="1098">
        <f t="shared" si="1"/>
        <v>73</v>
      </c>
      <c r="M17" s="782">
        <f>+I17/D17</f>
        <v>1</v>
      </c>
      <c r="N17" s="782">
        <f>+L17/D17</f>
        <v>1</v>
      </c>
      <c r="Q17" s="655"/>
      <c r="R17" s="655">
        <f t="shared" ref="R17:Y17" si="9">+D36</f>
        <v>146</v>
      </c>
      <c r="S17" s="655">
        <f t="shared" si="9"/>
        <v>109</v>
      </c>
      <c r="T17" s="655">
        <f t="shared" si="9"/>
        <v>37</v>
      </c>
      <c r="U17" s="655">
        <f t="shared" si="9"/>
        <v>0</v>
      </c>
      <c r="V17" s="655">
        <f t="shared" si="9"/>
        <v>0</v>
      </c>
      <c r="W17" s="655">
        <f t="shared" si="9"/>
        <v>146</v>
      </c>
      <c r="X17" s="655">
        <f t="shared" si="9"/>
        <v>0</v>
      </c>
      <c r="Y17" s="655">
        <f t="shared" si="9"/>
        <v>0</v>
      </c>
    </row>
    <row r="18" spans="1:25" ht="22.2" customHeight="1">
      <c r="A18" s="1812" t="s">
        <v>1142</v>
      </c>
      <c r="B18" s="1813"/>
      <c r="C18" s="1814"/>
      <c r="D18" s="1096">
        <f t="shared" si="6"/>
        <v>25</v>
      </c>
      <c r="E18" s="1096">
        <v>0</v>
      </c>
      <c r="F18" s="1096">
        <v>25</v>
      </c>
      <c r="G18" s="1096">
        <v>0</v>
      </c>
      <c r="H18" s="1096"/>
      <c r="I18" s="1096">
        <f t="shared" si="7"/>
        <v>25</v>
      </c>
      <c r="J18" s="1097">
        <f t="shared" si="3"/>
        <v>0</v>
      </c>
      <c r="K18" s="1097">
        <v>0</v>
      </c>
      <c r="L18" s="1098">
        <f t="shared" si="1"/>
        <v>25</v>
      </c>
      <c r="M18" s="782">
        <f>+I18/D18</f>
        <v>1</v>
      </c>
      <c r="N18" s="782"/>
      <c r="Q18" s="655"/>
      <c r="R18" s="655"/>
      <c r="S18" s="655"/>
      <c r="T18" s="655"/>
      <c r="U18" s="655"/>
      <c r="V18" s="655"/>
      <c r="W18" s="655"/>
      <c r="X18" s="655"/>
      <c r="Y18" s="655"/>
    </row>
    <row r="19" spans="1:25" ht="22.2" customHeight="1">
      <c r="A19" s="1812" t="s">
        <v>1143</v>
      </c>
      <c r="B19" s="1813"/>
      <c r="C19" s="1814"/>
      <c r="D19" s="1096">
        <f t="shared" si="6"/>
        <v>89</v>
      </c>
      <c r="E19" s="1096">
        <v>3</v>
      </c>
      <c r="F19" s="1096">
        <v>86</v>
      </c>
      <c r="G19" s="1096">
        <v>0</v>
      </c>
      <c r="H19" s="1096">
        <v>0</v>
      </c>
      <c r="I19" s="1096">
        <f t="shared" si="7"/>
        <v>89</v>
      </c>
      <c r="J19" s="1097">
        <f t="shared" si="3"/>
        <v>0</v>
      </c>
      <c r="K19" s="1097">
        <v>0</v>
      </c>
      <c r="L19" s="1098">
        <f t="shared" si="1"/>
        <v>89</v>
      </c>
      <c r="M19" s="782"/>
      <c r="N19" s="782"/>
      <c r="Q19" s="655"/>
      <c r="R19" s="655"/>
      <c r="S19" s="655"/>
      <c r="T19" s="655"/>
      <c r="U19" s="655"/>
      <c r="V19" s="655"/>
      <c r="W19" s="655"/>
      <c r="X19" s="655"/>
      <c r="Y19" s="655"/>
    </row>
    <row r="20" spans="1:25" ht="22.2" customHeight="1">
      <c r="A20" s="1812" t="s">
        <v>1144</v>
      </c>
      <c r="B20" s="1813"/>
      <c r="C20" s="1814"/>
      <c r="D20" s="1096">
        <f>I20</f>
        <v>29</v>
      </c>
      <c r="E20" s="1096">
        <v>1</v>
      </c>
      <c r="F20" s="1096">
        <v>28</v>
      </c>
      <c r="G20" s="1096">
        <v>0</v>
      </c>
      <c r="H20" s="1096">
        <v>0</v>
      </c>
      <c r="I20" s="1096">
        <f t="shared" si="7"/>
        <v>29</v>
      </c>
      <c r="J20" s="1097">
        <f>D20-I20</f>
        <v>0</v>
      </c>
      <c r="K20" s="1097">
        <v>0</v>
      </c>
      <c r="L20" s="1098">
        <f t="shared" si="1"/>
        <v>29</v>
      </c>
      <c r="M20" s="782"/>
      <c r="N20" s="782"/>
      <c r="Q20" s="655"/>
      <c r="R20" s="655"/>
      <c r="S20" s="655"/>
      <c r="T20" s="655"/>
      <c r="U20" s="655"/>
      <c r="V20" s="655"/>
      <c r="W20" s="655"/>
      <c r="X20" s="655"/>
      <c r="Y20" s="655"/>
    </row>
    <row r="21" spans="1:25" ht="22.2" customHeight="1">
      <c r="A21" s="1812" t="s">
        <v>1147</v>
      </c>
      <c r="B21" s="1813"/>
      <c r="C21" s="1814"/>
      <c r="D21" s="1096">
        <f>I21</f>
        <v>64</v>
      </c>
      <c r="E21" s="1096">
        <v>14</v>
      </c>
      <c r="F21" s="1096">
        <v>50</v>
      </c>
      <c r="G21" s="1096">
        <v>0</v>
      </c>
      <c r="H21" s="1096">
        <v>0</v>
      </c>
      <c r="I21" s="1096">
        <f t="shared" si="7"/>
        <v>64</v>
      </c>
      <c r="J21" s="1097">
        <f t="shared" si="3"/>
        <v>0</v>
      </c>
      <c r="K21" s="1097">
        <v>0</v>
      </c>
      <c r="L21" s="1098">
        <f t="shared" si="1"/>
        <v>64</v>
      </c>
      <c r="M21" s="782"/>
      <c r="N21" s="782"/>
      <c r="Q21" s="655"/>
      <c r="R21" s="655"/>
      <c r="S21" s="655"/>
      <c r="T21" s="655"/>
      <c r="U21" s="655"/>
      <c r="V21" s="655"/>
      <c r="W21" s="655"/>
      <c r="X21" s="655"/>
      <c r="Y21" s="655"/>
    </row>
    <row r="22" spans="1:25" ht="22.2" customHeight="1">
      <c r="A22" s="1812" t="s">
        <v>1145</v>
      </c>
      <c r="B22" s="1813"/>
      <c r="C22" s="1814"/>
      <c r="D22" s="1096">
        <f t="shared" si="6"/>
        <v>66</v>
      </c>
      <c r="E22" s="1096">
        <v>21</v>
      </c>
      <c r="F22" s="1096">
        <v>45</v>
      </c>
      <c r="G22" s="1096">
        <v>0</v>
      </c>
      <c r="H22" s="1096">
        <v>0</v>
      </c>
      <c r="I22" s="1096">
        <f t="shared" si="7"/>
        <v>66</v>
      </c>
      <c r="J22" s="1097">
        <v>0</v>
      </c>
      <c r="K22" s="1097">
        <v>0</v>
      </c>
      <c r="L22" s="1098">
        <f t="shared" si="1"/>
        <v>66</v>
      </c>
      <c r="M22" s="782"/>
      <c r="N22" s="782"/>
      <c r="Q22" s="655"/>
      <c r="R22" s="655"/>
      <c r="S22" s="655"/>
      <c r="T22" s="655"/>
      <c r="U22" s="655"/>
      <c r="V22" s="655"/>
      <c r="W22" s="655"/>
      <c r="X22" s="655"/>
      <c r="Y22" s="655"/>
    </row>
    <row r="23" spans="1:25" ht="22.2" customHeight="1">
      <c r="A23" s="1132"/>
      <c r="B23" s="1133" t="s">
        <v>1184</v>
      </c>
      <c r="C23" s="1134"/>
      <c r="D23" s="1096">
        <f t="shared" si="6"/>
        <v>9</v>
      </c>
      <c r="E23" s="1096">
        <v>1</v>
      </c>
      <c r="F23" s="1096">
        <v>8</v>
      </c>
      <c r="G23" s="1096">
        <v>0</v>
      </c>
      <c r="H23" s="1096">
        <v>0</v>
      </c>
      <c r="I23" s="1096">
        <f t="shared" si="7"/>
        <v>9</v>
      </c>
      <c r="J23" s="1097">
        <v>0</v>
      </c>
      <c r="K23" s="1097">
        <v>0</v>
      </c>
      <c r="L23" s="1098">
        <f t="shared" si="1"/>
        <v>9</v>
      </c>
      <c r="M23" s="782"/>
      <c r="N23" s="782"/>
      <c r="Q23" s="655"/>
      <c r="R23" s="655"/>
      <c r="S23" s="655"/>
      <c r="T23" s="655"/>
      <c r="U23" s="655"/>
      <c r="V23" s="655"/>
      <c r="W23" s="655"/>
      <c r="X23" s="655"/>
      <c r="Y23" s="655"/>
    </row>
    <row r="24" spans="1:25" ht="22.2" customHeight="1">
      <c r="A24" s="1812" t="s">
        <v>1146</v>
      </c>
      <c r="B24" s="1813"/>
      <c r="C24" s="1814"/>
      <c r="D24" s="1096">
        <f t="shared" si="6"/>
        <v>27</v>
      </c>
      <c r="E24" s="1099">
        <v>0</v>
      </c>
      <c r="F24" s="1099">
        <v>27</v>
      </c>
      <c r="G24" s="1099">
        <v>0</v>
      </c>
      <c r="H24" s="1099">
        <v>0</v>
      </c>
      <c r="I24" s="1099">
        <f t="shared" si="7"/>
        <v>27</v>
      </c>
      <c r="J24" s="1100">
        <f t="shared" si="3"/>
        <v>0</v>
      </c>
      <c r="K24" s="1100">
        <v>0</v>
      </c>
      <c r="L24" s="1101">
        <f t="shared" si="1"/>
        <v>27</v>
      </c>
      <c r="M24" s="782"/>
      <c r="N24" s="782"/>
      <c r="Q24" s="655"/>
      <c r="R24" s="655"/>
      <c r="S24" s="655"/>
      <c r="T24" s="655"/>
      <c r="U24" s="655"/>
      <c r="V24" s="655"/>
      <c r="W24" s="655"/>
      <c r="X24" s="655"/>
      <c r="Y24" s="655"/>
    </row>
    <row r="25" spans="1:25" ht="22.2" customHeight="1">
      <c r="A25" s="1803" t="s">
        <v>137</v>
      </c>
      <c r="B25" s="1804"/>
      <c r="C25" s="1805"/>
      <c r="D25" s="1102">
        <f>SUM(D13:D24)</f>
        <v>702</v>
      </c>
      <c r="E25" s="1102">
        <f t="shared" ref="E25" si="10">SUM(E13:E24)</f>
        <v>103</v>
      </c>
      <c r="F25" s="1102">
        <f>SUM(F13:F24)</f>
        <v>595</v>
      </c>
      <c r="G25" s="1102">
        <f>SUM(G13:G24)</f>
        <v>0</v>
      </c>
      <c r="H25" s="1102">
        <f t="shared" ref="H25:L25" si="11">SUM(H13:H24)</f>
        <v>0</v>
      </c>
      <c r="I25" s="1102">
        <f t="shared" si="11"/>
        <v>702</v>
      </c>
      <c r="J25" s="1102">
        <f t="shared" si="11"/>
        <v>0</v>
      </c>
      <c r="K25" s="1102">
        <f t="shared" si="11"/>
        <v>4</v>
      </c>
      <c r="L25" s="1102">
        <f t="shared" si="11"/>
        <v>702</v>
      </c>
      <c r="M25" s="782">
        <f t="shared" si="4"/>
        <v>1</v>
      </c>
      <c r="N25" s="782">
        <f>+L25/D25</f>
        <v>1</v>
      </c>
    </row>
    <row r="26" spans="1:25">
      <c r="I26" s="470">
        <f>+I25/D25</f>
        <v>1</v>
      </c>
    </row>
    <row r="27" spans="1:25">
      <c r="D27" s="655"/>
      <c r="E27" s="655"/>
    </row>
    <row r="28" spans="1:25" ht="15.6">
      <c r="A28" s="1790" t="s">
        <v>139</v>
      </c>
      <c r="B28" s="1791"/>
      <c r="C28" s="1792"/>
      <c r="D28" s="1792"/>
      <c r="E28" s="1792"/>
      <c r="F28" s="1792"/>
      <c r="G28" s="1792"/>
      <c r="H28" s="1792"/>
      <c r="I28" s="1792"/>
      <c r="J28" s="1792"/>
      <c r="K28" s="1793"/>
      <c r="L28" s="1794"/>
    </row>
    <row r="29" spans="1:25">
      <c r="A29" s="1795" t="s">
        <v>105</v>
      </c>
      <c r="B29" s="1796"/>
      <c r="C29" s="1797"/>
      <c r="D29" s="1806" t="s">
        <v>394</v>
      </c>
      <c r="E29" s="653" t="s">
        <v>402</v>
      </c>
      <c r="F29" s="653"/>
      <c r="G29" s="653"/>
      <c r="H29" s="653"/>
      <c r="I29" s="653"/>
      <c r="J29" s="1808" t="s">
        <v>144</v>
      </c>
      <c r="K29" s="654" t="s">
        <v>108</v>
      </c>
      <c r="L29" s="1810" t="s">
        <v>109</v>
      </c>
    </row>
    <row r="30" spans="1:25" ht="42" customHeight="1">
      <c r="A30" s="1798"/>
      <c r="B30" s="1799"/>
      <c r="C30" s="1800"/>
      <c r="D30" s="1807"/>
      <c r="E30" s="1091" t="s">
        <v>120</v>
      </c>
      <c r="F30" s="1091" t="s">
        <v>121</v>
      </c>
      <c r="G30" s="1091" t="s">
        <v>122</v>
      </c>
      <c r="H30" s="1091" t="s">
        <v>123</v>
      </c>
      <c r="I30" s="1091" t="s">
        <v>124</v>
      </c>
      <c r="J30" s="1809" t="s">
        <v>147</v>
      </c>
      <c r="K30" s="1092" t="s">
        <v>397</v>
      </c>
      <c r="L30" s="1811"/>
    </row>
    <row r="31" spans="1:25" ht="19.2" customHeight="1">
      <c r="A31" s="1786" t="s">
        <v>130</v>
      </c>
      <c r="B31" s="1787"/>
      <c r="C31" s="1787"/>
      <c r="D31" s="1103">
        <f>I31</f>
        <v>0</v>
      </c>
      <c r="E31" s="1103">
        <v>0</v>
      </c>
      <c r="F31" s="1103">
        <v>0</v>
      </c>
      <c r="G31" s="1103">
        <v>0</v>
      </c>
      <c r="H31" s="1103">
        <v>0</v>
      </c>
      <c r="I31" s="1103">
        <v>0</v>
      </c>
      <c r="J31" s="1104">
        <v>0</v>
      </c>
      <c r="K31" s="1104">
        <v>0</v>
      </c>
      <c r="L31" s="1105">
        <v>0</v>
      </c>
    </row>
    <row r="32" spans="1:25" ht="19.2" customHeight="1">
      <c r="A32" s="1834" t="s">
        <v>398</v>
      </c>
      <c r="B32" s="1835"/>
      <c r="C32" s="1835"/>
      <c r="D32" s="1106">
        <f t="shared" ref="D32:D34" si="12">I32</f>
        <v>0</v>
      </c>
      <c r="E32" s="1106">
        <v>0</v>
      </c>
      <c r="F32" s="1106">
        <v>0</v>
      </c>
      <c r="G32" s="1106">
        <v>0</v>
      </c>
      <c r="H32" s="1106">
        <v>0</v>
      </c>
      <c r="I32" s="1106">
        <v>0</v>
      </c>
      <c r="J32" s="1107">
        <v>0</v>
      </c>
      <c r="K32" s="1107">
        <v>0</v>
      </c>
      <c r="L32" s="1108">
        <v>0</v>
      </c>
      <c r="P32">
        <v>75</v>
      </c>
    </row>
    <row r="33" spans="1:16" ht="19.2" customHeight="1">
      <c r="A33" s="1834" t="s">
        <v>399</v>
      </c>
      <c r="B33" s="1835"/>
      <c r="C33" s="1835"/>
      <c r="D33" s="1106">
        <f t="shared" si="12"/>
        <v>54</v>
      </c>
      <c r="E33" s="1106">
        <v>54</v>
      </c>
      <c r="F33" s="1106">
        <v>0</v>
      </c>
      <c r="G33" s="1106">
        <v>0</v>
      </c>
      <c r="H33" s="1106"/>
      <c r="I33" s="1106">
        <f>L33</f>
        <v>54</v>
      </c>
      <c r="J33" s="1107">
        <v>0</v>
      </c>
      <c r="K33" s="1107">
        <v>0</v>
      </c>
      <c r="L33" s="1108">
        <f>E33+F33+G33+H33+K33</f>
        <v>54</v>
      </c>
      <c r="P33">
        <v>16</v>
      </c>
    </row>
    <row r="34" spans="1:16" ht="19.2" customHeight="1">
      <c r="A34" s="1834" t="s">
        <v>400</v>
      </c>
      <c r="B34" s="1835"/>
      <c r="C34" s="1835"/>
      <c r="D34" s="1106">
        <f t="shared" si="12"/>
        <v>59</v>
      </c>
      <c r="E34" s="1106">
        <v>55</v>
      </c>
      <c r="F34" s="1106">
        <v>4</v>
      </c>
      <c r="G34" s="1106">
        <v>0</v>
      </c>
      <c r="H34" s="1106">
        <v>0</v>
      </c>
      <c r="I34" s="1106">
        <f>L34</f>
        <v>59</v>
      </c>
      <c r="J34" s="1107">
        <v>0</v>
      </c>
      <c r="K34" s="1107">
        <v>0</v>
      </c>
      <c r="L34" s="1108">
        <f>E34+F34+G34+H34+K34</f>
        <v>59</v>
      </c>
      <c r="P34">
        <f>P32-P33</f>
        <v>59</v>
      </c>
    </row>
    <row r="35" spans="1:16" ht="19.2" customHeight="1">
      <c r="A35" s="1836" t="s">
        <v>401</v>
      </c>
      <c r="B35" s="1837"/>
      <c r="C35" s="1837"/>
      <c r="D35" s="1109">
        <v>33</v>
      </c>
      <c r="E35" s="1109">
        <v>0</v>
      </c>
      <c r="F35" s="1109">
        <v>33</v>
      </c>
      <c r="G35" s="1109">
        <v>0</v>
      </c>
      <c r="H35" s="1109">
        <v>0</v>
      </c>
      <c r="I35" s="1109">
        <f>L35</f>
        <v>33</v>
      </c>
      <c r="J35" s="1110">
        <v>0</v>
      </c>
      <c r="K35" s="1110">
        <v>0</v>
      </c>
      <c r="L35" s="1111">
        <f>E35+F35+G35+H35+J35+K35</f>
        <v>33</v>
      </c>
    </row>
    <row r="36" spans="1:16" ht="19.2" customHeight="1">
      <c r="A36" s="1838" t="s">
        <v>137</v>
      </c>
      <c r="B36" s="1839"/>
      <c r="C36" s="1840"/>
      <c r="D36" s="1112">
        <f>SUM(D31:D35)</f>
        <v>146</v>
      </c>
      <c r="E36" s="1112">
        <f t="shared" ref="E36:K36" si="13">SUM(E31:E35)</f>
        <v>109</v>
      </c>
      <c r="F36" s="1112">
        <f t="shared" si="13"/>
        <v>37</v>
      </c>
      <c r="G36" s="1112">
        <f t="shared" si="13"/>
        <v>0</v>
      </c>
      <c r="H36" s="1112">
        <f t="shared" si="13"/>
        <v>0</v>
      </c>
      <c r="I36" s="1112">
        <f t="shared" si="13"/>
        <v>146</v>
      </c>
      <c r="J36" s="1112">
        <f t="shared" si="13"/>
        <v>0</v>
      </c>
      <c r="K36" s="1112">
        <f t="shared" si="13"/>
        <v>0</v>
      </c>
      <c r="L36" s="1113">
        <f>SUM(L31:L35)</f>
        <v>146</v>
      </c>
      <c r="N36" s="782">
        <f>+L36/D36</f>
        <v>1</v>
      </c>
    </row>
    <row r="38" spans="1:16" ht="15">
      <c r="A38" s="1841" t="s">
        <v>163</v>
      </c>
      <c r="B38" s="1842"/>
      <c r="C38" s="1842"/>
      <c r="D38" s="1842"/>
      <c r="E38" s="1842"/>
      <c r="F38" s="1842"/>
      <c r="G38" s="1842"/>
      <c r="H38" s="1842"/>
      <c r="I38" s="1842"/>
      <c r="J38" s="1842"/>
      <c r="K38" s="1842"/>
      <c r="L38" s="1843"/>
    </row>
    <row r="39" spans="1:16" ht="14.7" customHeight="1">
      <c r="A39" s="1795" t="s">
        <v>105</v>
      </c>
      <c r="B39" s="1796"/>
      <c r="C39" s="1797"/>
      <c r="D39" s="1829" t="s">
        <v>403</v>
      </c>
      <c r="E39" s="1829" t="s">
        <v>168</v>
      </c>
      <c r="F39" s="1829" t="s">
        <v>169</v>
      </c>
      <c r="G39" s="1829" t="s">
        <v>170</v>
      </c>
      <c r="H39" s="1829" t="s">
        <v>404</v>
      </c>
      <c r="I39" s="1829" t="s">
        <v>172</v>
      </c>
      <c r="J39" s="1809" t="s">
        <v>173</v>
      </c>
      <c r="K39" s="1830"/>
      <c r="L39" s="1811"/>
    </row>
    <row r="40" spans="1:16" ht="42" customHeight="1">
      <c r="A40" s="1795"/>
      <c r="B40" s="1796"/>
      <c r="C40" s="1797"/>
      <c r="D40" s="1829"/>
      <c r="E40" s="1829" t="s">
        <v>120</v>
      </c>
      <c r="F40" s="1829" t="s">
        <v>121</v>
      </c>
      <c r="G40" s="1829" t="s">
        <v>122</v>
      </c>
      <c r="H40" s="1829" t="s">
        <v>123</v>
      </c>
      <c r="I40" s="1829" t="s">
        <v>124</v>
      </c>
      <c r="J40" s="1831"/>
      <c r="K40" s="1832"/>
      <c r="L40" s="1833"/>
    </row>
    <row r="41" spans="1:16" ht="14.7" customHeight="1">
      <c r="A41" s="1815" t="s">
        <v>130</v>
      </c>
      <c r="B41" s="1816"/>
      <c r="C41" s="1817"/>
      <c r="D41" s="723">
        <v>0</v>
      </c>
      <c r="E41" s="723">
        <v>0</v>
      </c>
      <c r="F41" s="723"/>
      <c r="G41" s="724">
        <v>0</v>
      </c>
      <c r="H41" s="724">
        <v>0</v>
      </c>
      <c r="I41" s="723">
        <v>0</v>
      </c>
      <c r="J41" s="1818">
        <v>46081</v>
      </c>
      <c r="K41" s="1819"/>
      <c r="L41" s="1820"/>
    </row>
    <row r="42" spans="1:16" ht="24" customHeight="1">
      <c r="A42" s="1815" t="s">
        <v>398</v>
      </c>
      <c r="B42" s="1816"/>
      <c r="C42" s="1817"/>
      <c r="D42" s="723">
        <v>0</v>
      </c>
      <c r="E42" s="723">
        <v>0</v>
      </c>
      <c r="F42" s="724"/>
      <c r="G42" s="724">
        <v>0</v>
      </c>
      <c r="H42" s="724">
        <v>0</v>
      </c>
      <c r="I42" s="724">
        <v>0</v>
      </c>
      <c r="J42" s="1818">
        <v>46081</v>
      </c>
      <c r="K42" s="1819"/>
      <c r="L42" s="1820"/>
    </row>
    <row r="43" spans="1:16">
      <c r="A43" s="1815" t="s">
        <v>399</v>
      </c>
      <c r="B43" s="1816"/>
      <c r="C43" s="1817"/>
      <c r="D43" s="724">
        <v>0</v>
      </c>
      <c r="E43" s="723">
        <v>0</v>
      </c>
      <c r="F43" s="724">
        <v>0</v>
      </c>
      <c r="G43" s="724">
        <v>0</v>
      </c>
      <c r="H43" s="724">
        <v>0</v>
      </c>
      <c r="I43" s="724">
        <v>0</v>
      </c>
      <c r="J43" s="1818">
        <v>46081</v>
      </c>
      <c r="K43" s="1819"/>
      <c r="L43" s="1820"/>
    </row>
    <row r="44" spans="1:16">
      <c r="A44" s="1815" t="s">
        <v>400</v>
      </c>
      <c r="B44" s="1816"/>
      <c r="C44" s="1817"/>
      <c r="D44" s="724">
        <v>18</v>
      </c>
      <c r="E44" s="723">
        <v>18</v>
      </c>
      <c r="F44" s="724">
        <v>18</v>
      </c>
      <c r="G44" s="724">
        <v>0</v>
      </c>
      <c r="H44" s="724">
        <v>15</v>
      </c>
      <c r="I44" s="724">
        <f>D44-H44</f>
        <v>3</v>
      </c>
      <c r="J44" s="1818">
        <v>46280</v>
      </c>
      <c r="K44" s="1819"/>
      <c r="L44" s="1820"/>
    </row>
    <row r="45" spans="1:16">
      <c r="A45" s="1815" t="s">
        <v>401</v>
      </c>
      <c r="B45" s="1816"/>
      <c r="C45" s="1817"/>
      <c r="D45" s="724">
        <v>16</v>
      </c>
      <c r="E45" s="723">
        <v>16</v>
      </c>
      <c r="F45" s="724">
        <v>16</v>
      </c>
      <c r="G45" s="724">
        <v>0</v>
      </c>
      <c r="H45" s="724">
        <v>12</v>
      </c>
      <c r="I45" s="724">
        <f>D45-H45</f>
        <v>4</v>
      </c>
      <c r="J45" s="1818">
        <v>46280</v>
      </c>
      <c r="K45" s="1819"/>
      <c r="L45" s="1820"/>
      <c r="N45" s="655"/>
    </row>
    <row r="46" spans="1:16">
      <c r="A46" s="1821" t="s">
        <v>137</v>
      </c>
      <c r="B46" s="1822"/>
      <c r="C46" s="1823"/>
      <c r="D46" s="652">
        <f t="shared" ref="D46:I46" si="14">SUM(D41:D45)</f>
        <v>34</v>
      </c>
      <c r="E46" s="652">
        <f>SUM(E41:E45)</f>
        <v>34</v>
      </c>
      <c r="F46" s="652">
        <f t="shared" si="14"/>
        <v>34</v>
      </c>
      <c r="G46" s="652">
        <f t="shared" si="14"/>
        <v>0</v>
      </c>
      <c r="H46" s="652">
        <f t="shared" si="14"/>
        <v>27</v>
      </c>
      <c r="I46" s="652">
        <f t="shared" si="14"/>
        <v>7</v>
      </c>
      <c r="J46" s="1824">
        <f>MAX(J41:J45)</f>
        <v>46280</v>
      </c>
      <c r="K46" s="1825"/>
      <c r="L46" s="1826"/>
    </row>
    <row r="48" spans="1:16" ht="49.95" customHeight="1">
      <c r="A48" s="1827" t="s">
        <v>405</v>
      </c>
      <c r="B48" s="1828"/>
      <c r="C48" s="1828"/>
      <c r="D48" s="1828"/>
      <c r="E48" s="1828"/>
      <c r="F48" s="1828"/>
      <c r="G48" s="1828"/>
      <c r="I48" s="46" t="s">
        <v>406</v>
      </c>
      <c r="J48" s="806">
        <f>AVERAGE(E50:E124)</f>
        <v>0.86880529270248608</v>
      </c>
      <c r="L48" s="658" t="s">
        <v>407</v>
      </c>
      <c r="M48" s="657">
        <f>AVERAGE(G50:G124)</f>
        <v>2</v>
      </c>
    </row>
    <row r="49" spans="1:13" s="45" customFormat="1" ht="42" customHeight="1">
      <c r="A49" s="42" t="s">
        <v>408</v>
      </c>
      <c r="B49" s="42" t="s">
        <v>409</v>
      </c>
      <c r="C49" s="42" t="s">
        <v>410</v>
      </c>
      <c r="D49" s="42" t="s">
        <v>411</v>
      </c>
      <c r="E49" s="42" t="s">
        <v>39</v>
      </c>
      <c r="F49" s="42" t="s">
        <v>412</v>
      </c>
      <c r="G49" s="42" t="s">
        <v>413</v>
      </c>
      <c r="H49"/>
      <c r="I49" s="46" t="s">
        <v>414</v>
      </c>
      <c r="J49" s="807">
        <f>Quality!AC10</f>
        <v>0.85303793103448289</v>
      </c>
      <c r="K49"/>
      <c r="L49" s="658" t="s">
        <v>415</v>
      </c>
      <c r="M49" s="657">
        <f>AVERAGE(D50:D124)</f>
        <v>1.9534883720930232</v>
      </c>
    </row>
    <row r="50" spans="1:13">
      <c r="A50" s="810" t="s">
        <v>416</v>
      </c>
      <c r="B50" s="811"/>
      <c r="C50" s="787"/>
      <c r="D50" s="788"/>
      <c r="E50" s="789"/>
      <c r="F50" s="787"/>
      <c r="G50" s="790"/>
    </row>
    <row r="51" spans="1:13">
      <c r="A51" s="791" t="s">
        <v>417</v>
      </c>
      <c r="B51" s="786"/>
      <c r="C51" s="792"/>
      <c r="D51" s="793"/>
      <c r="E51" s="794"/>
      <c r="F51" s="795"/>
      <c r="G51" s="796"/>
    </row>
    <row r="52" spans="1:13">
      <c r="A52" s="791" t="s">
        <v>418</v>
      </c>
      <c r="B52" s="786"/>
      <c r="C52" s="792"/>
      <c r="D52" s="795"/>
      <c r="E52" s="797"/>
      <c r="F52" s="795"/>
      <c r="G52" s="796"/>
    </row>
    <row r="53" spans="1:13" ht="17.399999999999999" customHeight="1">
      <c r="A53" s="791" t="s">
        <v>419</v>
      </c>
      <c r="B53" s="786"/>
      <c r="C53" s="792"/>
      <c r="D53" s="795"/>
      <c r="E53" s="797"/>
      <c r="F53" s="798"/>
      <c r="G53" s="796"/>
    </row>
    <row r="54" spans="1:13">
      <c r="A54" s="660" t="s">
        <v>420</v>
      </c>
      <c r="B54" s="670">
        <v>46014</v>
      </c>
      <c r="C54" s="670">
        <f t="shared" ref="C54" si="15">+B54-3</f>
        <v>46011</v>
      </c>
      <c r="D54" s="665">
        <v>1</v>
      </c>
      <c r="E54" s="784">
        <v>0.87499999999999978</v>
      </c>
      <c r="F54" s="670">
        <f t="shared" ref="F54" si="16">+C54+2</f>
        <v>46013</v>
      </c>
      <c r="G54" s="666">
        <f>F54-C54</f>
        <v>2</v>
      </c>
    </row>
    <row r="55" spans="1:13">
      <c r="A55" s="660" t="s">
        <v>421</v>
      </c>
      <c r="B55" s="670">
        <v>46021</v>
      </c>
      <c r="C55" s="670">
        <f t="shared" ref="C55" si="17">+B55-3</f>
        <v>46018</v>
      </c>
      <c r="D55" s="665">
        <v>1</v>
      </c>
      <c r="E55" s="784">
        <v>0.87689655172413783</v>
      </c>
      <c r="F55" s="670">
        <f t="shared" ref="F55" si="18">+C55+2</f>
        <v>46020</v>
      </c>
      <c r="G55" s="666">
        <f>F55-C55</f>
        <v>2</v>
      </c>
    </row>
    <row r="56" spans="1:13">
      <c r="A56" s="660" t="s">
        <v>422</v>
      </c>
      <c r="B56" s="670">
        <v>46028</v>
      </c>
      <c r="C56" s="670">
        <f t="shared" ref="C56" si="19">+B56-3</f>
        <v>46025</v>
      </c>
      <c r="D56" s="665">
        <v>2</v>
      </c>
      <c r="E56" s="784">
        <v>0.87672413793103443</v>
      </c>
      <c r="F56" s="670">
        <f t="shared" ref="F56" si="20">+C56+2</f>
        <v>46027</v>
      </c>
      <c r="G56" s="666">
        <f>F56-C56</f>
        <v>2</v>
      </c>
    </row>
    <row r="57" spans="1:13">
      <c r="A57" s="660" t="s">
        <v>423</v>
      </c>
      <c r="B57" s="670">
        <v>46035</v>
      </c>
      <c r="C57" s="670">
        <f t="shared" ref="C57" si="21">+B57-3</f>
        <v>46032</v>
      </c>
      <c r="D57" s="665">
        <v>2</v>
      </c>
      <c r="E57" s="784">
        <v>0.8891379310344828</v>
      </c>
      <c r="F57" s="670">
        <f t="shared" ref="F57" si="22">+C57+2</f>
        <v>46034</v>
      </c>
      <c r="G57" s="666">
        <f>F57-C57</f>
        <v>2</v>
      </c>
    </row>
    <row r="58" spans="1:13">
      <c r="A58" s="660" t="s">
        <v>424</v>
      </c>
      <c r="B58" s="670">
        <v>46042</v>
      </c>
      <c r="C58" s="670">
        <f t="shared" ref="C58:C59" si="23">+B58-3</f>
        <v>46039</v>
      </c>
      <c r="D58" s="665">
        <v>2</v>
      </c>
      <c r="E58" s="784">
        <v>0.8891379310344828</v>
      </c>
      <c r="F58" s="670">
        <f t="shared" ref="F58:F59" si="24">+C58+2</f>
        <v>46041</v>
      </c>
      <c r="G58" s="666">
        <f>F58-C58</f>
        <v>2</v>
      </c>
    </row>
    <row r="59" spans="1:13">
      <c r="A59" s="660" t="s">
        <v>425</v>
      </c>
      <c r="B59" s="670">
        <v>46049</v>
      </c>
      <c r="C59" s="670">
        <f t="shared" si="23"/>
        <v>46046</v>
      </c>
      <c r="D59" s="665">
        <v>2</v>
      </c>
      <c r="E59" s="1089">
        <v>0.8891379310344828</v>
      </c>
      <c r="F59" s="670">
        <f t="shared" si="24"/>
        <v>46048</v>
      </c>
      <c r="G59" s="666">
        <v>2</v>
      </c>
    </row>
    <row r="60" spans="1:13">
      <c r="A60" s="660" t="s">
        <v>426</v>
      </c>
      <c r="B60" s="670">
        <v>46055</v>
      </c>
      <c r="C60" s="670">
        <f t="shared" ref="C60" si="25">+B60-3</f>
        <v>46052</v>
      </c>
      <c r="D60" s="665">
        <v>2</v>
      </c>
      <c r="E60" s="1089">
        <v>0.8891379310344828</v>
      </c>
      <c r="F60" s="670">
        <f t="shared" ref="F60" si="26">+C60+2</f>
        <v>46054</v>
      </c>
      <c r="G60" s="666">
        <v>2</v>
      </c>
    </row>
    <row r="61" spans="1:13">
      <c r="A61" s="660" t="s">
        <v>427</v>
      </c>
      <c r="B61" s="670">
        <v>46063</v>
      </c>
      <c r="C61" s="670">
        <f t="shared" ref="C61" si="27">+B61-3</f>
        <v>46060</v>
      </c>
      <c r="D61" s="665">
        <v>2</v>
      </c>
      <c r="E61" s="1089">
        <v>0.8891379310344828</v>
      </c>
      <c r="F61" s="670">
        <f t="shared" ref="F61" si="28">+C61+2</f>
        <v>46062</v>
      </c>
      <c r="G61" s="666">
        <v>2</v>
      </c>
    </row>
    <row r="62" spans="1:13">
      <c r="A62" s="660" t="s">
        <v>428</v>
      </c>
      <c r="B62" s="670">
        <v>46070</v>
      </c>
      <c r="C62" s="670">
        <f t="shared" ref="C62" si="29">+B62-3</f>
        <v>46067</v>
      </c>
      <c r="D62" s="665">
        <v>2</v>
      </c>
      <c r="E62" s="1089">
        <v>0.8891379310344828</v>
      </c>
      <c r="F62" s="670">
        <f t="shared" ref="F62" si="30">+C62+2</f>
        <v>46069</v>
      </c>
      <c r="G62" s="666">
        <v>2</v>
      </c>
    </row>
    <row r="63" spans="1:13">
      <c r="A63" s="660" t="s">
        <v>429</v>
      </c>
      <c r="B63" s="670">
        <v>46077</v>
      </c>
      <c r="C63" s="670">
        <f t="shared" ref="C63" si="31">+B63-3</f>
        <v>46074</v>
      </c>
      <c r="D63" s="665">
        <v>2</v>
      </c>
      <c r="E63" s="1089">
        <v>0.8891379310344828</v>
      </c>
      <c r="F63" s="670">
        <f t="shared" ref="F63" si="32">+C63+2</f>
        <v>46076</v>
      </c>
      <c r="G63" s="666">
        <v>2</v>
      </c>
    </row>
    <row r="64" spans="1:13">
      <c r="A64" s="660" t="s">
        <v>430</v>
      </c>
      <c r="B64" s="670">
        <v>46084</v>
      </c>
      <c r="C64" s="670">
        <f t="shared" ref="C64" si="33">+B64-3</f>
        <v>46081</v>
      </c>
      <c r="D64" s="665">
        <v>2</v>
      </c>
      <c r="E64" s="1089">
        <v>0.8891379310344828</v>
      </c>
      <c r="F64" s="670">
        <f t="shared" ref="F64" si="34">+C64+2</f>
        <v>46083</v>
      </c>
      <c r="G64" s="666">
        <v>2</v>
      </c>
    </row>
    <row r="65" spans="1:7">
      <c r="A65" s="660" t="s">
        <v>431</v>
      </c>
      <c r="B65" s="670">
        <v>46091</v>
      </c>
      <c r="C65" s="670">
        <f t="shared" ref="C65" si="35">+B65-3</f>
        <v>46088</v>
      </c>
      <c r="D65" s="665">
        <v>2</v>
      </c>
      <c r="E65" s="1089">
        <v>0.8891379310344828</v>
      </c>
      <c r="F65" s="670">
        <f t="shared" ref="F65" si="36">+C65+2</f>
        <v>46090</v>
      </c>
      <c r="G65" s="666">
        <v>2</v>
      </c>
    </row>
    <row r="66" spans="1:7">
      <c r="A66" s="660" t="s">
        <v>432</v>
      </c>
      <c r="B66" s="670">
        <v>46098</v>
      </c>
      <c r="C66" s="670">
        <f t="shared" ref="C66" si="37">+B66-3</f>
        <v>46095</v>
      </c>
      <c r="D66" s="665">
        <v>2</v>
      </c>
      <c r="E66" s="1089">
        <v>0.8891379310344828</v>
      </c>
      <c r="F66" s="670">
        <f t="shared" ref="F66" si="38">+C66+2</f>
        <v>46097</v>
      </c>
      <c r="G66" s="666">
        <v>2</v>
      </c>
    </row>
    <row r="67" spans="1:7">
      <c r="A67" s="660" t="s">
        <v>433</v>
      </c>
      <c r="B67" s="670">
        <v>46105</v>
      </c>
      <c r="C67" s="670">
        <f t="shared" ref="C67" si="39">+B67-3</f>
        <v>46102</v>
      </c>
      <c r="D67" s="665">
        <v>2</v>
      </c>
      <c r="E67" s="1089">
        <v>0.8891379310344828</v>
      </c>
      <c r="F67" s="670">
        <f t="shared" ref="F67" si="40">+C67+2</f>
        <v>46104</v>
      </c>
      <c r="G67" s="666">
        <v>2</v>
      </c>
    </row>
    <row r="68" spans="1:7">
      <c r="A68" s="660" t="s">
        <v>434</v>
      </c>
      <c r="B68" s="670">
        <v>46112</v>
      </c>
      <c r="C68" s="670">
        <f t="shared" ref="C68" si="41">+B68-3</f>
        <v>46109</v>
      </c>
      <c r="D68" s="665">
        <v>2</v>
      </c>
      <c r="E68" s="1159">
        <v>0.8891379310344828</v>
      </c>
      <c r="F68" s="670">
        <f t="shared" ref="F68" si="42">+C68+2</f>
        <v>46111</v>
      </c>
      <c r="G68" s="666">
        <v>2</v>
      </c>
    </row>
    <row r="69" spans="1:7">
      <c r="A69" s="660" t="s">
        <v>435</v>
      </c>
      <c r="B69" s="670">
        <v>46119</v>
      </c>
      <c r="C69" s="670">
        <f t="shared" ref="C69" si="43">+B69-3</f>
        <v>46116</v>
      </c>
      <c r="D69" s="665">
        <v>2</v>
      </c>
      <c r="E69" s="1089">
        <v>0.8891379310344828</v>
      </c>
      <c r="F69" s="670">
        <f t="shared" ref="F69" si="44">+C69+2</f>
        <v>46118</v>
      </c>
      <c r="G69" s="666">
        <v>2</v>
      </c>
    </row>
    <row r="70" spans="1:7">
      <c r="A70" s="660" t="s">
        <v>436</v>
      </c>
      <c r="B70" s="670">
        <v>46126</v>
      </c>
      <c r="C70" s="670">
        <f t="shared" ref="C70" si="45">+B70-3</f>
        <v>46123</v>
      </c>
      <c r="D70" s="665">
        <v>2</v>
      </c>
      <c r="E70" s="1089">
        <v>0.8891379310344828</v>
      </c>
      <c r="F70" s="670">
        <f t="shared" ref="F70" si="46">+C70+2</f>
        <v>46125</v>
      </c>
      <c r="G70" s="666">
        <v>2</v>
      </c>
    </row>
    <row r="71" spans="1:7">
      <c r="A71" s="660" t="s">
        <v>437</v>
      </c>
      <c r="B71" s="670">
        <v>46133</v>
      </c>
      <c r="C71" s="670">
        <f t="shared" ref="C71" si="47">+B71-3</f>
        <v>46130</v>
      </c>
      <c r="D71" s="665">
        <v>2</v>
      </c>
      <c r="E71" s="1089">
        <v>0.8891379310344828</v>
      </c>
      <c r="F71" s="670">
        <f t="shared" ref="F71" si="48">+C71+2</f>
        <v>46132</v>
      </c>
      <c r="G71" s="666">
        <v>2</v>
      </c>
    </row>
    <row r="72" spans="1:7">
      <c r="A72" s="660" t="s">
        <v>438</v>
      </c>
      <c r="B72" s="670">
        <v>46140</v>
      </c>
      <c r="C72" s="670">
        <f t="shared" ref="C72" si="49">+B72-3</f>
        <v>46137</v>
      </c>
      <c r="D72" s="665">
        <v>2</v>
      </c>
      <c r="E72" s="784">
        <f>+Quality!AC10</f>
        <v>0.85303793103448289</v>
      </c>
      <c r="F72" s="670">
        <f t="shared" ref="F72" si="50">+C72+2</f>
        <v>46139</v>
      </c>
      <c r="G72" s="666">
        <v>2</v>
      </c>
    </row>
    <row r="73" spans="1:7">
      <c r="A73" s="660" t="s">
        <v>439</v>
      </c>
      <c r="B73" s="670">
        <v>46147</v>
      </c>
      <c r="C73" s="670">
        <f t="shared" ref="C73" si="51">+B73-3</f>
        <v>46144</v>
      </c>
      <c r="D73" s="665">
        <v>2</v>
      </c>
      <c r="E73" s="784">
        <v>0.8891</v>
      </c>
      <c r="F73" s="670">
        <f t="shared" ref="F73" si="52">+C73+2</f>
        <v>46146</v>
      </c>
      <c r="G73" s="666">
        <v>2</v>
      </c>
    </row>
    <row r="74" spans="1:7">
      <c r="A74" s="660" t="s">
        <v>440</v>
      </c>
      <c r="B74" s="670">
        <v>46154</v>
      </c>
      <c r="C74" s="670">
        <f t="shared" ref="C74" si="53">+B74-3</f>
        <v>46151</v>
      </c>
      <c r="D74" s="665">
        <v>2</v>
      </c>
      <c r="E74" s="784">
        <v>0.8891</v>
      </c>
      <c r="F74" s="670">
        <f t="shared" ref="F74" si="54">+C74+2</f>
        <v>46153</v>
      </c>
      <c r="G74" s="666">
        <v>2</v>
      </c>
    </row>
    <row r="75" spans="1:7">
      <c r="A75" s="660" t="s">
        <v>441</v>
      </c>
      <c r="B75" s="670">
        <v>46161</v>
      </c>
      <c r="C75" s="670">
        <f t="shared" ref="C75" si="55">+B75-3</f>
        <v>46158</v>
      </c>
      <c r="D75" s="665">
        <v>2</v>
      </c>
      <c r="E75" s="784">
        <v>0.8891</v>
      </c>
      <c r="F75" s="670">
        <f t="shared" ref="F75" si="56">+C75+2</f>
        <v>46160</v>
      </c>
      <c r="G75" s="666">
        <v>2</v>
      </c>
    </row>
    <row r="76" spans="1:7">
      <c r="A76" s="660" t="s">
        <v>442</v>
      </c>
      <c r="B76" s="670">
        <v>46168</v>
      </c>
      <c r="C76" s="670">
        <f t="shared" ref="C76" si="57">+B76-3</f>
        <v>46165</v>
      </c>
      <c r="D76" s="665">
        <v>2</v>
      </c>
      <c r="E76" s="784">
        <v>0.8891</v>
      </c>
      <c r="F76" s="670">
        <f t="shared" ref="F76" si="58">+C76+2</f>
        <v>46167</v>
      </c>
      <c r="G76" s="666">
        <v>2</v>
      </c>
    </row>
    <row r="77" spans="1:7">
      <c r="A77" s="660" t="s">
        <v>443</v>
      </c>
      <c r="B77" s="670">
        <v>46175</v>
      </c>
      <c r="C77" s="670">
        <f t="shared" ref="C77" si="59">+B77-3</f>
        <v>46172</v>
      </c>
      <c r="D77" s="665">
        <v>2</v>
      </c>
      <c r="E77" s="784">
        <v>0.8891</v>
      </c>
      <c r="F77" s="670">
        <f t="shared" ref="F77" si="60">+C77+2</f>
        <v>46174</v>
      </c>
      <c r="G77" s="666">
        <v>2</v>
      </c>
    </row>
    <row r="78" spans="1:7">
      <c r="A78" s="660" t="s">
        <v>444</v>
      </c>
      <c r="B78" s="670">
        <v>46182</v>
      </c>
      <c r="C78" s="670">
        <f t="shared" ref="C78" si="61">+B78-3</f>
        <v>46179</v>
      </c>
      <c r="D78" s="665">
        <v>2</v>
      </c>
      <c r="E78" s="784">
        <v>0.8891</v>
      </c>
      <c r="F78" s="670">
        <f t="shared" ref="F78" si="62">+C78+2</f>
        <v>46181</v>
      </c>
      <c r="G78" s="666">
        <v>2</v>
      </c>
    </row>
    <row r="79" spans="1:7">
      <c r="A79" s="660" t="s">
        <v>445</v>
      </c>
      <c r="B79" s="670">
        <v>46189</v>
      </c>
      <c r="C79" s="670">
        <f t="shared" ref="C79" si="63">+B79-3</f>
        <v>46186</v>
      </c>
      <c r="D79" s="665">
        <v>2</v>
      </c>
      <c r="E79" s="784">
        <v>0.8891</v>
      </c>
      <c r="F79" s="670">
        <f t="shared" ref="F79" si="64">+C79+2</f>
        <v>46188</v>
      </c>
      <c r="G79" s="666">
        <v>2</v>
      </c>
    </row>
    <row r="80" spans="1:7">
      <c r="A80" s="660" t="s">
        <v>446</v>
      </c>
      <c r="B80" s="670">
        <v>46196</v>
      </c>
      <c r="C80" s="670">
        <f t="shared" ref="C80" si="65">+B80-3</f>
        <v>46193</v>
      </c>
      <c r="D80" s="665">
        <v>2</v>
      </c>
      <c r="E80" s="784">
        <v>0.83399999999999996</v>
      </c>
      <c r="F80" s="670">
        <f t="shared" ref="F80" si="66">+C80+2</f>
        <v>46195</v>
      </c>
      <c r="G80" s="666">
        <v>2</v>
      </c>
    </row>
    <row r="81" spans="1:7">
      <c r="A81" s="660" t="s">
        <v>447</v>
      </c>
      <c r="B81" s="670">
        <v>46203</v>
      </c>
      <c r="C81" s="670">
        <f t="shared" ref="C81" si="67">+B81-3</f>
        <v>46200</v>
      </c>
      <c r="D81" s="665">
        <v>2</v>
      </c>
      <c r="E81" s="784">
        <v>0.83399999999999996</v>
      </c>
      <c r="F81" s="670">
        <f t="shared" ref="F81" si="68">+C81+2</f>
        <v>46202</v>
      </c>
      <c r="G81" s="666">
        <v>2</v>
      </c>
    </row>
    <row r="82" spans="1:7">
      <c r="A82" s="660" t="s">
        <v>448</v>
      </c>
      <c r="B82" s="670">
        <v>46210</v>
      </c>
      <c r="C82" s="670">
        <f t="shared" ref="C82" si="69">+B82-3</f>
        <v>46207</v>
      </c>
      <c r="D82" s="665">
        <v>2</v>
      </c>
      <c r="E82" s="784">
        <v>0.83399999999999996</v>
      </c>
      <c r="F82" s="670">
        <f t="shared" ref="F82" si="70">+C82+2</f>
        <v>46209</v>
      </c>
      <c r="G82" s="666">
        <v>2</v>
      </c>
    </row>
    <row r="83" spans="1:7">
      <c r="A83" s="660" t="s">
        <v>449</v>
      </c>
      <c r="B83" s="670">
        <v>46217</v>
      </c>
      <c r="C83" s="670">
        <f t="shared" ref="C83" si="71">+B83-3</f>
        <v>46214</v>
      </c>
      <c r="D83" s="665">
        <v>2</v>
      </c>
      <c r="E83" s="784">
        <v>0.83399999999999996</v>
      </c>
      <c r="F83" s="670">
        <f t="shared" ref="F83" si="72">+C83+2</f>
        <v>46216</v>
      </c>
      <c r="G83" s="666">
        <v>2</v>
      </c>
    </row>
    <row r="84" spans="1:7">
      <c r="A84" s="660" t="s">
        <v>450</v>
      </c>
      <c r="B84" s="670">
        <v>46224</v>
      </c>
      <c r="C84" s="670">
        <f t="shared" ref="C84" si="73">+B84-3</f>
        <v>46221</v>
      </c>
      <c r="D84" s="665">
        <v>2</v>
      </c>
      <c r="E84" s="784">
        <v>0.83399999999999996</v>
      </c>
      <c r="F84" s="670">
        <f t="shared" ref="F84" si="74">+C84+2</f>
        <v>46223</v>
      </c>
      <c r="G84" s="666">
        <v>2</v>
      </c>
    </row>
    <row r="85" spans="1:7">
      <c r="A85" s="660" t="s">
        <v>451</v>
      </c>
      <c r="B85" s="670">
        <v>46231</v>
      </c>
      <c r="C85" s="670">
        <f t="shared" ref="C85:C90" si="75">+B85-3</f>
        <v>46228</v>
      </c>
      <c r="D85" s="665">
        <v>2</v>
      </c>
      <c r="E85" s="784">
        <v>0.83399999999999996</v>
      </c>
      <c r="F85" s="670">
        <f t="shared" ref="F85:F90" si="76">+C85+2</f>
        <v>46230</v>
      </c>
      <c r="G85" s="666">
        <v>2</v>
      </c>
    </row>
    <row r="86" spans="1:7">
      <c r="A86" s="660" t="s">
        <v>452</v>
      </c>
      <c r="B86" s="670">
        <v>46238</v>
      </c>
      <c r="C86" s="670">
        <f t="shared" si="75"/>
        <v>46235</v>
      </c>
      <c r="D86" s="665">
        <v>2</v>
      </c>
      <c r="E86" s="784">
        <v>0.83530000000000004</v>
      </c>
      <c r="F86" s="670">
        <f t="shared" si="76"/>
        <v>46237</v>
      </c>
      <c r="G86" s="666">
        <v>2</v>
      </c>
    </row>
    <row r="87" spans="1:7">
      <c r="A87" s="660" t="s">
        <v>453</v>
      </c>
      <c r="B87" s="670">
        <v>46245</v>
      </c>
      <c r="C87" s="670">
        <f t="shared" si="75"/>
        <v>46242</v>
      </c>
      <c r="D87" s="665">
        <v>2</v>
      </c>
      <c r="E87" s="784">
        <v>0.83530000000000004</v>
      </c>
      <c r="F87" s="670">
        <f t="shared" si="76"/>
        <v>46244</v>
      </c>
      <c r="G87" s="666">
        <v>2</v>
      </c>
    </row>
    <row r="88" spans="1:7">
      <c r="A88" s="660" t="s">
        <v>454</v>
      </c>
      <c r="B88" s="670">
        <v>46252</v>
      </c>
      <c r="C88" s="670">
        <f t="shared" si="75"/>
        <v>46249</v>
      </c>
      <c r="D88" s="665">
        <v>2</v>
      </c>
      <c r="E88" s="784">
        <v>0.83530000000000004</v>
      </c>
      <c r="F88" s="670">
        <f t="shared" si="76"/>
        <v>46251</v>
      </c>
      <c r="G88" s="666">
        <v>2</v>
      </c>
    </row>
    <row r="89" spans="1:7">
      <c r="A89" s="660" t="s">
        <v>455</v>
      </c>
      <c r="B89" s="670">
        <v>46259</v>
      </c>
      <c r="C89" s="670">
        <f t="shared" si="75"/>
        <v>46256</v>
      </c>
      <c r="D89" s="665">
        <v>2</v>
      </c>
      <c r="E89" s="784">
        <v>0.83530000000000004</v>
      </c>
      <c r="F89" s="670">
        <f t="shared" si="76"/>
        <v>46258</v>
      </c>
      <c r="G89" s="666">
        <v>2</v>
      </c>
    </row>
    <row r="90" spans="1:7">
      <c r="A90" s="660" t="s">
        <v>456</v>
      </c>
      <c r="B90" s="670">
        <v>46266</v>
      </c>
      <c r="C90" s="670">
        <f t="shared" si="75"/>
        <v>46263</v>
      </c>
      <c r="D90" s="665">
        <v>2</v>
      </c>
      <c r="E90" s="784">
        <v>0.85299999999999998</v>
      </c>
      <c r="F90" s="670">
        <f t="shared" si="76"/>
        <v>46265</v>
      </c>
      <c r="G90" s="666">
        <v>2</v>
      </c>
    </row>
    <row r="91" spans="1:7">
      <c r="A91" s="660" t="s">
        <v>457</v>
      </c>
      <c r="B91" s="670">
        <v>46273</v>
      </c>
      <c r="C91" s="670">
        <f t="shared" ref="C91" si="77">+B91-3</f>
        <v>46270</v>
      </c>
      <c r="D91" s="665">
        <v>2</v>
      </c>
      <c r="E91" s="784">
        <v>0.85299999999999998</v>
      </c>
      <c r="F91" s="670">
        <f t="shared" ref="F91" si="78">+C91+2</f>
        <v>46272</v>
      </c>
      <c r="G91" s="666">
        <v>2</v>
      </c>
    </row>
    <row r="92" spans="1:7">
      <c r="A92" s="660" t="s">
        <v>458</v>
      </c>
      <c r="B92" s="670">
        <v>46280</v>
      </c>
      <c r="C92" s="670">
        <f t="shared" ref="C92" si="79">+B92-3</f>
        <v>46277</v>
      </c>
      <c r="D92" s="665">
        <v>2</v>
      </c>
      <c r="E92" s="784">
        <v>0.85299999999999998</v>
      </c>
      <c r="F92" s="670">
        <f t="shared" ref="F92" si="80">+C92+2</f>
        <v>46279</v>
      </c>
      <c r="G92" s="666">
        <v>2</v>
      </c>
    </row>
    <row r="93" spans="1:7">
      <c r="A93" s="660" t="s">
        <v>459</v>
      </c>
      <c r="B93" s="670">
        <v>46287</v>
      </c>
      <c r="C93" s="670">
        <f t="shared" ref="C93" si="81">+B93-3</f>
        <v>46284</v>
      </c>
      <c r="D93" s="665">
        <v>2</v>
      </c>
      <c r="E93" s="784">
        <v>0.85299999999999998</v>
      </c>
      <c r="F93" s="670">
        <f t="shared" ref="F93" si="82">+C93+2</f>
        <v>46286</v>
      </c>
      <c r="G93" s="666">
        <v>2</v>
      </c>
    </row>
    <row r="94" spans="1:7">
      <c r="A94" s="660" t="s">
        <v>460</v>
      </c>
      <c r="B94" s="670">
        <v>46294</v>
      </c>
      <c r="C94" s="670">
        <f t="shared" ref="C94" si="83">+B94-3</f>
        <v>46291</v>
      </c>
      <c r="D94" s="665">
        <v>2</v>
      </c>
      <c r="E94" s="784">
        <v>0.85299999999999998</v>
      </c>
      <c r="F94" s="670">
        <f t="shared" ref="F94" si="84">+C94+2</f>
        <v>46293</v>
      </c>
      <c r="G94" s="666">
        <v>2</v>
      </c>
    </row>
    <row r="95" spans="1:7">
      <c r="A95" s="660" t="s">
        <v>461</v>
      </c>
      <c r="B95" s="670">
        <v>46301</v>
      </c>
      <c r="C95" s="670">
        <f t="shared" ref="C95" si="85">+B95-3</f>
        <v>46298</v>
      </c>
      <c r="D95" s="665">
        <v>2</v>
      </c>
      <c r="E95" s="784">
        <v>0.85299999999999998</v>
      </c>
      <c r="F95" s="670">
        <f t="shared" ref="F95" si="86">+C95+2</f>
        <v>46300</v>
      </c>
      <c r="G95" s="666">
        <v>2</v>
      </c>
    </row>
    <row r="96" spans="1:7">
      <c r="A96" s="660" t="s">
        <v>462</v>
      </c>
      <c r="B96" s="670">
        <v>46308</v>
      </c>
      <c r="C96" s="670">
        <f t="shared" ref="C96" si="87">+B96-3</f>
        <v>46305</v>
      </c>
      <c r="D96" s="665">
        <v>2</v>
      </c>
      <c r="E96" s="784">
        <v>0.85299999999999998</v>
      </c>
      <c r="F96" s="670">
        <f t="shared" ref="F96" si="88">+C96+2</f>
        <v>46307</v>
      </c>
      <c r="G96" s="666">
        <v>2</v>
      </c>
    </row>
    <row r="97" spans="1:7">
      <c r="A97" s="660" t="s">
        <v>463</v>
      </c>
      <c r="B97" s="670"/>
      <c r="C97" s="670"/>
      <c r="D97" s="665"/>
      <c r="E97" s="784"/>
      <c r="F97" s="670"/>
      <c r="G97" s="666"/>
    </row>
    <row r="98" spans="1:7">
      <c r="A98" s="660" t="s">
        <v>464</v>
      </c>
      <c r="B98" s="670"/>
      <c r="C98" s="670"/>
      <c r="D98" s="665"/>
      <c r="E98" s="784"/>
      <c r="F98" s="670"/>
      <c r="G98" s="666"/>
    </row>
    <row r="99" spans="1:7">
      <c r="A99" s="660" t="s">
        <v>465</v>
      </c>
      <c r="B99" s="670"/>
      <c r="C99" s="670"/>
      <c r="D99" s="665"/>
      <c r="E99" s="784"/>
      <c r="F99" s="670"/>
      <c r="G99" s="666"/>
    </row>
    <row r="100" spans="1:7">
      <c r="A100" s="660" t="s">
        <v>466</v>
      </c>
      <c r="B100" s="670"/>
      <c r="C100" s="670"/>
      <c r="D100" s="665"/>
      <c r="E100" s="784"/>
      <c r="F100" s="670"/>
      <c r="G100" s="666"/>
    </row>
    <row r="101" spans="1:7">
      <c r="A101" s="660" t="s">
        <v>467</v>
      </c>
      <c r="B101" s="670"/>
      <c r="C101" s="670"/>
      <c r="D101" s="665"/>
      <c r="E101" s="784"/>
      <c r="F101" s="670"/>
      <c r="G101" s="666"/>
    </row>
    <row r="102" spans="1:7">
      <c r="A102" s="660" t="s">
        <v>468</v>
      </c>
      <c r="B102" s="670"/>
      <c r="C102" s="670"/>
      <c r="D102" s="665"/>
      <c r="E102" s="784"/>
      <c r="F102" s="670"/>
      <c r="G102" s="666"/>
    </row>
    <row r="103" spans="1:7">
      <c r="A103" s="660" t="s">
        <v>469</v>
      </c>
      <c r="B103" s="670"/>
      <c r="C103" s="670"/>
      <c r="D103" s="665"/>
      <c r="E103" s="784"/>
      <c r="F103" s="670"/>
      <c r="G103" s="666"/>
    </row>
    <row r="104" spans="1:7">
      <c r="A104" s="660" t="s">
        <v>470</v>
      </c>
      <c r="B104" s="670"/>
      <c r="C104" s="670"/>
      <c r="D104" s="665"/>
      <c r="F104" s="670"/>
      <c r="G104" s="666"/>
    </row>
    <row r="105" spans="1:7">
      <c r="A105" s="660" t="s">
        <v>471</v>
      </c>
      <c r="B105" s="670"/>
      <c r="C105" s="661"/>
      <c r="D105" s="665"/>
      <c r="E105" s="911"/>
      <c r="F105" s="670"/>
      <c r="G105" s="666"/>
    </row>
    <row r="106" spans="1:7">
      <c r="A106" s="660" t="s">
        <v>472</v>
      </c>
      <c r="B106" s="670"/>
      <c r="C106" s="661"/>
      <c r="D106" s="665"/>
      <c r="E106" s="911"/>
      <c r="F106" s="670"/>
      <c r="G106" s="666"/>
    </row>
    <row r="107" spans="1:7">
      <c r="A107" s="660" t="s">
        <v>473</v>
      </c>
      <c r="B107" s="670"/>
      <c r="C107" s="661"/>
      <c r="D107" s="665"/>
      <c r="E107" s="911"/>
      <c r="F107" s="670"/>
      <c r="G107" s="666"/>
    </row>
    <row r="108" spans="1:7">
      <c r="A108" s="660" t="s">
        <v>474</v>
      </c>
      <c r="B108" s="670"/>
      <c r="C108" s="661"/>
      <c r="D108" s="665"/>
      <c r="E108" s="911"/>
      <c r="F108" s="670"/>
      <c r="G108" s="666"/>
    </row>
    <row r="109" spans="1:7">
      <c r="A109" s="660" t="s">
        <v>475</v>
      </c>
      <c r="B109" s="670"/>
      <c r="C109" s="661"/>
      <c r="D109" s="665"/>
      <c r="E109" s="911"/>
      <c r="F109" s="670"/>
      <c r="G109" s="666"/>
    </row>
    <row r="110" spans="1:7">
      <c r="A110" s="660" t="s">
        <v>476</v>
      </c>
      <c r="B110" s="670"/>
      <c r="C110" s="661"/>
      <c r="D110" s="665"/>
      <c r="E110" s="911"/>
      <c r="F110" s="665"/>
      <c r="G110" s="666"/>
    </row>
    <row r="111" spans="1:7">
      <c r="A111" s="660" t="s">
        <v>477</v>
      </c>
      <c r="B111" s="670"/>
      <c r="C111" s="661"/>
      <c r="D111" s="665"/>
      <c r="E111" s="911"/>
      <c r="F111" s="665"/>
      <c r="G111" s="666"/>
    </row>
    <row r="112" spans="1:7">
      <c r="A112" s="660" t="s">
        <v>478</v>
      </c>
      <c r="B112" s="670"/>
      <c r="C112" s="661"/>
      <c r="D112" s="665"/>
      <c r="E112" s="911"/>
      <c r="F112" s="665"/>
      <c r="G112" s="666"/>
    </row>
    <row r="113" spans="1:7">
      <c r="A113" s="660" t="s">
        <v>479</v>
      </c>
      <c r="B113" s="670"/>
      <c r="C113" s="661"/>
      <c r="D113" s="665"/>
      <c r="E113" s="911"/>
      <c r="F113" s="665"/>
      <c r="G113" s="666"/>
    </row>
    <row r="114" spans="1:7">
      <c r="A114" s="660" t="s">
        <v>480</v>
      </c>
      <c r="B114" s="670"/>
      <c r="C114" s="661"/>
      <c r="D114" s="665"/>
      <c r="E114" s="911"/>
      <c r="F114" s="665"/>
      <c r="G114" s="666"/>
    </row>
    <row r="115" spans="1:7">
      <c r="A115" s="660" t="s">
        <v>481</v>
      </c>
      <c r="B115" s="670"/>
      <c r="C115" s="661"/>
      <c r="D115" s="665"/>
      <c r="E115" s="911"/>
      <c r="F115" s="665"/>
      <c r="G115" s="666"/>
    </row>
    <row r="116" spans="1:7">
      <c r="A116" s="660" t="s">
        <v>482</v>
      </c>
      <c r="B116" s="670"/>
      <c r="C116" s="661"/>
      <c r="D116" s="665"/>
      <c r="E116" s="911"/>
      <c r="F116" s="665"/>
      <c r="G116" s="666"/>
    </row>
    <row r="117" spans="1:7">
      <c r="A117" s="660" t="s">
        <v>483</v>
      </c>
      <c r="B117" s="662"/>
      <c r="C117" s="661"/>
      <c r="D117" s="665"/>
      <c r="E117" s="911"/>
      <c r="F117" s="665"/>
      <c r="G117" s="666"/>
    </row>
    <row r="118" spans="1:7">
      <c r="A118" s="660" t="s">
        <v>484</v>
      </c>
      <c r="B118" s="662"/>
      <c r="C118" s="661"/>
      <c r="D118" s="665"/>
      <c r="E118" s="911"/>
      <c r="F118" s="665"/>
      <c r="G118" s="666"/>
    </row>
    <row r="119" spans="1:7">
      <c r="A119" s="660" t="s">
        <v>485</v>
      </c>
      <c r="B119" s="662"/>
      <c r="C119" s="661"/>
      <c r="D119" s="665"/>
      <c r="E119" s="911"/>
      <c r="F119" s="665"/>
      <c r="G119" s="666"/>
    </row>
    <row r="120" spans="1:7">
      <c r="A120" s="660" t="s">
        <v>486</v>
      </c>
      <c r="B120" s="662"/>
      <c r="C120" s="661"/>
      <c r="D120" s="665"/>
      <c r="E120" s="911"/>
      <c r="F120" s="665"/>
      <c r="G120" s="666"/>
    </row>
    <row r="121" spans="1:7">
      <c r="A121" s="660" t="s">
        <v>487</v>
      </c>
      <c r="B121" s="662"/>
      <c r="C121" s="661"/>
      <c r="D121" s="665"/>
      <c r="E121" s="911"/>
      <c r="F121" s="665"/>
      <c r="G121" s="666"/>
    </row>
    <row r="122" spans="1:7">
      <c r="A122" s="660" t="s">
        <v>488</v>
      </c>
      <c r="B122" s="662"/>
      <c r="C122" s="661"/>
      <c r="D122" s="665"/>
      <c r="E122" s="911"/>
      <c r="F122" s="665"/>
      <c r="G122" s="666"/>
    </row>
    <row r="123" spans="1:7">
      <c r="A123" s="660" t="s">
        <v>489</v>
      </c>
      <c r="B123" s="662"/>
      <c r="C123" s="661"/>
      <c r="D123" s="665"/>
      <c r="E123" s="911"/>
      <c r="F123" s="665"/>
      <c r="G123" s="666"/>
    </row>
    <row r="124" spans="1:7">
      <c r="A124" s="663" t="s">
        <v>490</v>
      </c>
      <c r="B124" s="664"/>
      <c r="C124" s="812"/>
      <c r="D124" s="667"/>
      <c r="E124" s="919"/>
      <c r="F124" s="667"/>
      <c r="G124" s="668"/>
    </row>
    <row r="125" spans="1:7">
      <c r="A125" s="656"/>
      <c r="B125" s="656"/>
      <c r="C125" s="656"/>
      <c r="D125" s="656"/>
      <c r="E125" s="656"/>
      <c r="F125" s="656"/>
      <c r="G125" s="656"/>
    </row>
  </sheetData>
  <mergeCells count="67">
    <mergeCell ref="A22:C22"/>
    <mergeCell ref="A24:C24"/>
    <mergeCell ref="E11:I11"/>
    <mergeCell ref="A1:L1"/>
    <mergeCell ref="A2:C4"/>
    <mergeCell ref="K3:K4"/>
    <mergeCell ref="L3:L4"/>
    <mergeCell ref="A11:C12"/>
    <mergeCell ref="D11:D12"/>
    <mergeCell ref="J11:J12"/>
    <mergeCell ref="L11:L12"/>
    <mergeCell ref="A5:C5"/>
    <mergeCell ref="A6:C6"/>
    <mergeCell ref="A7:C7"/>
    <mergeCell ref="A8:C8"/>
    <mergeCell ref="D2:D4"/>
    <mergeCell ref="E2:E4"/>
    <mergeCell ref="F2:F4"/>
    <mergeCell ref="G2:G4"/>
    <mergeCell ref="A10:L10"/>
    <mergeCell ref="H2:L2"/>
    <mergeCell ref="H3:H4"/>
    <mergeCell ref="I3:I4"/>
    <mergeCell ref="J3:J4"/>
    <mergeCell ref="H39:H40"/>
    <mergeCell ref="I39:I40"/>
    <mergeCell ref="J39:L40"/>
    <mergeCell ref="A41:C41"/>
    <mergeCell ref="A32:C32"/>
    <mergeCell ref="A39:C40"/>
    <mergeCell ref="D39:D40"/>
    <mergeCell ref="E39:E40"/>
    <mergeCell ref="F39:F40"/>
    <mergeCell ref="G39:G40"/>
    <mergeCell ref="A33:C33"/>
    <mergeCell ref="A34:C34"/>
    <mergeCell ref="A35:C35"/>
    <mergeCell ref="A36:C36"/>
    <mergeCell ref="J41:L41"/>
    <mergeCell ref="A38:L38"/>
    <mergeCell ref="A42:C42"/>
    <mergeCell ref="J42:L42"/>
    <mergeCell ref="A46:C46"/>
    <mergeCell ref="J46:L46"/>
    <mergeCell ref="A48:G48"/>
    <mergeCell ref="A43:C43"/>
    <mergeCell ref="J43:L43"/>
    <mergeCell ref="A44:C44"/>
    <mergeCell ref="J44:L44"/>
    <mergeCell ref="A45:C45"/>
    <mergeCell ref="J45:L45"/>
    <mergeCell ref="A31:C31"/>
    <mergeCell ref="A13:C13"/>
    <mergeCell ref="A28:L28"/>
    <mergeCell ref="A29:C30"/>
    <mergeCell ref="A14:C14"/>
    <mergeCell ref="A15:C15"/>
    <mergeCell ref="A16:C16"/>
    <mergeCell ref="A17:C17"/>
    <mergeCell ref="A25:C25"/>
    <mergeCell ref="D29:D30"/>
    <mergeCell ref="J29:J30"/>
    <mergeCell ref="L29:L30"/>
    <mergeCell ref="A18:C18"/>
    <mergeCell ref="A19:C19"/>
    <mergeCell ref="A20:C20"/>
    <mergeCell ref="A21:C21"/>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55" zoomScaleNormal="55" zoomScaleSheetLayoutView="80" workbookViewId="0">
      <selection activeCell="B1" sqref="B1:AH29"/>
    </sheetView>
  </sheetViews>
  <sheetFormatPr defaultColWidth="9.109375" defaultRowHeight="13.8"/>
  <cols>
    <col min="1" max="1" width="0.33203125" style="126" customWidth="1"/>
    <col min="2" max="2" width="3" style="126" customWidth="1"/>
    <col min="3" max="3" width="4.33203125" style="126" customWidth="1"/>
    <col min="4" max="4" width="4.6640625" style="126" customWidth="1"/>
    <col min="5" max="5" width="6.33203125" style="126" customWidth="1"/>
    <col min="6" max="6" width="5.44140625" style="126" customWidth="1"/>
    <col min="7" max="7" width="4.33203125" style="126" customWidth="1"/>
    <col min="8" max="8" width="4.44140625" style="126" customWidth="1"/>
    <col min="9" max="10" width="4.109375" style="126" customWidth="1"/>
    <col min="11" max="11" width="0.33203125" style="126" hidden="1" customWidth="1"/>
    <col min="12" max="12" width="1.44140625" style="126" customWidth="1"/>
    <col min="13" max="14" width="3.109375" style="126" customWidth="1"/>
    <col min="15" max="15" width="2" style="126" customWidth="1"/>
    <col min="16" max="17" width="1.44140625" style="126" customWidth="1"/>
    <col min="18" max="18" width="2" style="126" customWidth="1"/>
    <col min="19" max="19" width="3.44140625" style="556" customWidth="1"/>
    <col min="20" max="20" width="5.33203125" style="126" customWidth="1"/>
    <col min="21" max="21" width="5.109375" style="126" customWidth="1"/>
    <col min="22" max="22" width="8.44140625" style="126" customWidth="1"/>
    <col min="23" max="23" width="4.33203125" style="126" customWidth="1"/>
    <col min="24" max="24" width="5.109375" style="126" customWidth="1"/>
    <col min="25" max="25" width="4.33203125" style="126" customWidth="1"/>
    <col min="26" max="26" width="3.109375" style="126" customWidth="1"/>
    <col min="27" max="27" width="3.33203125" style="126" customWidth="1"/>
    <col min="28" max="28" width="3.44140625" style="126" hidden="1" customWidth="1"/>
    <col min="29" max="29" width="1.44140625" style="126" customWidth="1"/>
    <col min="30" max="30" width="2.88671875" style="126" customWidth="1"/>
    <col min="31" max="33" width="2.44140625" style="126" customWidth="1"/>
    <col min="34" max="34" width="3.5546875" style="126" customWidth="1"/>
    <col min="35" max="36" width="3.44140625" style="127" customWidth="1"/>
    <col min="37" max="47" width="9.109375" style="126" customWidth="1"/>
    <col min="48" max="48" width="7.88671875" style="126" customWidth="1"/>
    <col min="49" max="49" width="8" style="126" customWidth="1"/>
    <col min="50" max="16384" width="9.109375" style="126"/>
  </cols>
  <sheetData>
    <row r="1" spans="2:88" ht="27.6" customHeight="1" thickBot="1">
      <c r="B1" s="1911" t="s">
        <v>491</v>
      </c>
      <c r="C1" s="1912"/>
      <c r="D1" s="1912"/>
      <c r="E1" s="1912"/>
      <c r="F1" s="1912"/>
      <c r="G1" s="1912"/>
      <c r="H1" s="1912"/>
      <c r="I1" s="1912"/>
      <c r="J1" s="1912"/>
      <c r="K1" s="1912"/>
      <c r="L1" s="1912"/>
      <c r="M1" s="1912"/>
      <c r="N1" s="1912"/>
      <c r="O1" s="1912"/>
      <c r="P1" s="1912"/>
      <c r="Q1" s="1912"/>
      <c r="R1" s="1912"/>
      <c r="S1" s="1912"/>
      <c r="T1" s="1912"/>
      <c r="U1" s="1912"/>
      <c r="V1" s="1912"/>
      <c r="W1" s="1912"/>
      <c r="X1" s="1912"/>
      <c r="Y1" s="1912"/>
      <c r="Z1" s="1912"/>
      <c r="AA1" s="1912"/>
      <c r="AB1" s="1912"/>
      <c r="AC1" s="1912"/>
      <c r="AD1" s="1912"/>
      <c r="AE1" s="1912"/>
      <c r="AF1" s="1912"/>
      <c r="AG1" s="1912"/>
      <c r="AH1" s="1913"/>
      <c r="AI1" s="126"/>
      <c r="AJ1" s="126"/>
    </row>
    <row r="2" spans="2:88" ht="16.95" customHeight="1">
      <c r="B2" s="1914" t="s">
        <v>492</v>
      </c>
      <c r="C2" s="1915"/>
      <c r="D2" s="1916"/>
      <c r="E2" s="1917">
        <f>'General Information'!L1</f>
        <v>46308</v>
      </c>
      <c r="F2" s="1918"/>
      <c r="G2" s="1918"/>
      <c r="H2" s="1918"/>
      <c r="I2" s="1918"/>
      <c r="J2" s="1919"/>
      <c r="K2" s="558"/>
      <c r="L2" s="1937" t="s">
        <v>493</v>
      </c>
      <c r="M2" s="1938"/>
      <c r="N2" s="1938"/>
      <c r="O2" s="1938"/>
      <c r="P2" s="1938"/>
      <c r="Q2" s="1938"/>
      <c r="R2" s="1938"/>
      <c r="S2" s="1938"/>
      <c r="T2" s="1939"/>
      <c r="U2" s="1934" t="s">
        <v>1192</v>
      </c>
      <c r="V2" s="1935"/>
      <c r="W2" s="1935"/>
      <c r="X2" s="1935"/>
      <c r="Y2" s="1935"/>
      <c r="Z2" s="1935"/>
      <c r="AA2" s="1935"/>
      <c r="AB2" s="1935"/>
      <c r="AC2" s="1935"/>
      <c r="AD2" s="1935"/>
      <c r="AE2" s="1935"/>
      <c r="AF2" s="1935"/>
      <c r="AG2" s="1935"/>
      <c r="AH2" s="1936"/>
      <c r="AI2" s="126"/>
      <c r="AJ2" s="126"/>
    </row>
    <row r="3" spans="2:88" ht="5.0999999999999996" customHeight="1">
      <c r="B3" s="1905"/>
      <c r="C3" s="1906"/>
      <c r="D3" s="1906"/>
      <c r="E3" s="1906"/>
      <c r="F3" s="1906"/>
      <c r="G3" s="1906"/>
      <c r="H3" s="1906"/>
      <c r="I3" s="1906"/>
      <c r="J3" s="1906"/>
      <c r="K3" s="1906"/>
      <c r="L3" s="1906"/>
      <c r="M3" s="1906"/>
      <c r="N3" s="1906"/>
      <c r="O3" s="1906"/>
      <c r="P3" s="1906"/>
      <c r="Q3" s="1906"/>
      <c r="R3" s="1906"/>
      <c r="S3" s="1906"/>
      <c r="T3" s="1906"/>
      <c r="U3" s="1906"/>
      <c r="V3" s="1906"/>
      <c r="W3" s="1906"/>
      <c r="X3" s="1906"/>
      <c r="Y3" s="1906"/>
      <c r="Z3" s="1906"/>
      <c r="AA3" s="1906"/>
      <c r="AB3" s="1906"/>
      <c r="AC3" s="1906"/>
      <c r="AD3" s="1906"/>
      <c r="AE3" s="1906"/>
      <c r="AF3" s="1906"/>
      <c r="AG3" s="1906"/>
      <c r="AH3" s="1907"/>
      <c r="AI3" s="126"/>
      <c r="AJ3" s="126"/>
    </row>
    <row r="4" spans="2:88" ht="21.6" customHeight="1">
      <c r="B4" s="1920" t="s">
        <v>494</v>
      </c>
      <c r="C4" s="1921"/>
      <c r="D4" s="1921"/>
      <c r="E4" s="1922" t="str">
        <f>'General Information'!C4</f>
        <v>JHD4-02-007</v>
      </c>
      <c r="F4" s="1923"/>
      <c r="G4" s="1923"/>
      <c r="H4" s="1923"/>
      <c r="I4" s="1923"/>
      <c r="J4" s="1923"/>
      <c r="K4" s="1924"/>
      <c r="L4" s="1925" t="s">
        <v>495</v>
      </c>
      <c r="M4" s="1926"/>
      <c r="N4" s="1921"/>
      <c r="O4" s="1921"/>
      <c r="P4" s="1927">
        <f>Quality!O6</f>
        <v>47</v>
      </c>
      <c r="Q4" s="1928"/>
      <c r="R4" s="1928"/>
      <c r="S4" s="1928"/>
      <c r="T4" s="1928"/>
      <c r="U4" s="1928"/>
      <c r="V4" s="1929"/>
      <c r="W4" s="1930" t="s">
        <v>496</v>
      </c>
      <c r="X4" s="1926"/>
      <c r="Y4" s="1931" t="str">
        <f>'General Information'!C9</f>
        <v>Mohammed Alshunaifi</v>
      </c>
      <c r="Z4" s="1932"/>
      <c r="AA4" s="1932"/>
      <c r="AB4" s="1932"/>
      <c r="AC4" s="1932"/>
      <c r="AD4" s="1932"/>
      <c r="AE4" s="1932"/>
      <c r="AF4" s="1932"/>
      <c r="AG4" s="1932"/>
      <c r="AH4" s="1933"/>
    </row>
    <row r="5" spans="2:88" ht="5.0999999999999996" customHeight="1">
      <c r="B5" s="1874"/>
      <c r="C5" s="1875"/>
      <c r="D5" s="1875"/>
      <c r="E5" s="1875"/>
      <c r="F5" s="1875"/>
      <c r="G5" s="1875"/>
      <c r="H5" s="1875"/>
      <c r="I5" s="1875"/>
      <c r="J5" s="1875"/>
      <c r="K5" s="1875"/>
      <c r="L5" s="1875"/>
      <c r="M5" s="1875"/>
      <c r="N5" s="1875"/>
      <c r="O5" s="1875"/>
      <c r="P5" s="1875"/>
      <c r="Q5" s="1875"/>
      <c r="R5" s="1875"/>
      <c r="S5" s="1875"/>
      <c r="T5" s="1875"/>
      <c r="U5" s="1875"/>
      <c r="V5" s="1875"/>
      <c r="W5" s="1875"/>
      <c r="X5" s="1875"/>
      <c r="Y5" s="1875"/>
      <c r="Z5" s="1875"/>
      <c r="AA5" s="1875"/>
      <c r="AB5" s="1875"/>
      <c r="AC5" s="1875"/>
      <c r="AD5" s="1875"/>
      <c r="AE5" s="1875"/>
      <c r="AF5" s="1875"/>
      <c r="AG5" s="1875"/>
      <c r="AH5" s="1876"/>
    </row>
    <row r="6" spans="2:88" ht="31.5" customHeight="1" thickBot="1">
      <c r="B6" s="559" t="s">
        <v>497</v>
      </c>
      <c r="C6" s="560"/>
      <c r="D6" s="560"/>
      <c r="E6" s="1877" t="str">
        <f>'General Information'!C3</f>
        <v>LAND DEVELOPMENT OF JEDDAH OASIS</v>
      </c>
      <c r="F6" s="1878"/>
      <c r="G6" s="1878"/>
      <c r="H6" s="1878"/>
      <c r="I6" s="1878"/>
      <c r="J6" s="1879"/>
      <c r="K6" s="561"/>
      <c r="L6" s="1880" t="s">
        <v>498</v>
      </c>
      <c r="M6" s="1880"/>
      <c r="N6" s="1880"/>
      <c r="O6" s="1880"/>
      <c r="P6" s="1880"/>
      <c r="Q6" s="1881"/>
      <c r="R6" s="1882" t="str">
        <f>'General Information'!C5</f>
        <v>AL-ENJAZ TRADING AND CONTRACTING COMPANY</v>
      </c>
      <c r="S6" s="1883"/>
      <c r="T6" s="1883"/>
      <c r="U6" s="1883"/>
      <c r="V6" s="1883"/>
      <c r="W6" s="1884"/>
      <c r="X6" s="1882" t="s">
        <v>499</v>
      </c>
      <c r="Y6" s="1883"/>
      <c r="Z6" s="1884"/>
      <c r="AA6" s="1885">
        <f>IF(W29&gt;0,3,IF(L29&gt;6,2,IF(D29&gt;9,1,1)*1)*1)</f>
        <v>2</v>
      </c>
      <c r="AB6" s="1885"/>
      <c r="AC6" s="1885"/>
      <c r="AD6" s="1885"/>
      <c r="AE6" s="1886">
        <f>(((COUNTIF(L13:Q25,"1")+COUNTIF(AC13:AH25,"1"))*AR13)+(COUNTIF(L13:Q25,"2")+COUNTIF(AC13:AH25,"2"))*AR14+(COUNTIF(L13:Q25,"3")+COUNTIF(AC13:AH25,"3"))*AR15)/((COUNT(L13:Q25)+COUNT(AC13:AH25))*100)</f>
        <v>0.88</v>
      </c>
      <c r="AF6" s="1887"/>
      <c r="AG6" s="1887"/>
      <c r="AH6" s="1888"/>
    </row>
    <row r="7" spans="2:88" ht="5.0999999999999996" customHeight="1" thickBot="1">
      <c r="B7" s="1893"/>
      <c r="C7" s="1894"/>
      <c r="D7" s="1894"/>
      <c r="E7" s="1894"/>
      <c r="F7" s="1894"/>
      <c r="G7" s="1894"/>
      <c r="H7" s="1894"/>
      <c r="I7" s="1894"/>
      <c r="J7" s="1894"/>
      <c r="K7" s="1894"/>
      <c r="L7" s="1894"/>
      <c r="M7" s="1894"/>
      <c r="N7" s="1894"/>
      <c r="O7" s="1894"/>
      <c r="P7" s="1894"/>
      <c r="Q7" s="1894"/>
      <c r="R7" s="1894"/>
      <c r="S7" s="1894"/>
      <c r="T7" s="1894"/>
      <c r="U7" s="1894"/>
      <c r="V7" s="1894"/>
      <c r="W7" s="1894"/>
      <c r="X7" s="1894"/>
      <c r="Y7" s="1894"/>
      <c r="Z7" s="1894"/>
      <c r="AA7" s="1894"/>
      <c r="AB7" s="1894"/>
      <c r="AC7" s="1894"/>
      <c r="AD7" s="1894"/>
      <c r="AE7" s="1894"/>
      <c r="AF7" s="1894"/>
      <c r="AG7" s="1894"/>
      <c r="AH7" s="1895"/>
      <c r="AI7" s="126"/>
      <c r="AJ7" s="126"/>
    </row>
    <row r="8" spans="2:88" ht="23.4" customHeight="1">
      <c r="B8" s="1896" t="s">
        <v>500</v>
      </c>
      <c r="C8" s="1897"/>
      <c r="D8" s="1897"/>
      <c r="E8" s="1897"/>
      <c r="F8" s="1897"/>
      <c r="G8" s="1897"/>
      <c r="H8" s="1897"/>
      <c r="I8" s="1897"/>
      <c r="J8" s="1897"/>
      <c r="K8" s="1897"/>
      <c r="L8" s="1897"/>
      <c r="M8" s="1897"/>
      <c r="N8" s="1897"/>
      <c r="O8" s="1897"/>
      <c r="P8" s="1897"/>
      <c r="Q8" s="1897"/>
      <c r="R8" s="1897"/>
      <c r="S8" s="1897"/>
      <c r="T8" s="1897"/>
      <c r="U8" s="1897"/>
      <c r="V8" s="1897"/>
      <c r="W8" s="1897"/>
      <c r="X8" s="1897"/>
      <c r="Y8" s="1897"/>
      <c r="Z8" s="1897"/>
      <c r="AA8" s="1897"/>
      <c r="AB8" s="1897"/>
      <c r="AC8" s="1897"/>
      <c r="AD8" s="1897"/>
      <c r="AE8" s="1897"/>
      <c r="AF8" s="1897"/>
      <c r="AG8" s="1897"/>
      <c r="AH8" s="1898"/>
      <c r="AI8" s="126"/>
      <c r="AJ8" s="126"/>
    </row>
    <row r="9" spans="2:88" ht="39" customHeight="1">
      <c r="B9" s="1899">
        <v>1</v>
      </c>
      <c r="C9" s="1900"/>
      <c r="D9" s="1901" t="s">
        <v>501</v>
      </c>
      <c r="E9" s="1902"/>
      <c r="F9" s="1902"/>
      <c r="G9" s="1902"/>
      <c r="H9" s="942">
        <v>2</v>
      </c>
      <c r="I9" s="1901" t="s">
        <v>502</v>
      </c>
      <c r="J9" s="1902"/>
      <c r="K9" s="1902"/>
      <c r="L9" s="1902"/>
      <c r="M9" s="1902"/>
      <c r="N9" s="1902"/>
      <c r="O9" s="1902"/>
      <c r="P9" s="1902"/>
      <c r="Q9" s="1902"/>
      <c r="R9" s="1902"/>
      <c r="S9" s="1903"/>
      <c r="T9" s="943">
        <v>3</v>
      </c>
      <c r="U9" s="1901" t="s">
        <v>503</v>
      </c>
      <c r="V9" s="1902"/>
      <c r="W9" s="1903"/>
      <c r="X9" s="944" t="s">
        <v>304</v>
      </c>
      <c r="Y9" s="1901" t="s">
        <v>504</v>
      </c>
      <c r="Z9" s="1902"/>
      <c r="AA9" s="1902"/>
      <c r="AB9" s="1902"/>
      <c r="AC9" s="1902"/>
      <c r="AD9" s="1902"/>
      <c r="AE9" s="1902"/>
      <c r="AF9" s="1902"/>
      <c r="AG9" s="1902"/>
      <c r="AH9" s="1904"/>
    </row>
    <row r="10" spans="2:88" ht="4.95" hidden="1" customHeight="1">
      <c r="B10" s="1905"/>
      <c r="C10" s="1906"/>
      <c r="D10" s="1906"/>
      <c r="E10" s="1906"/>
      <c r="F10" s="1906"/>
      <c r="G10" s="1906"/>
      <c r="H10" s="1906"/>
      <c r="I10" s="1906"/>
      <c r="J10" s="1906"/>
      <c r="K10" s="1906"/>
      <c r="L10" s="1906"/>
      <c r="M10" s="1906"/>
      <c r="N10" s="1906"/>
      <c r="O10" s="1906"/>
      <c r="P10" s="1906"/>
      <c r="Q10" s="1906"/>
      <c r="R10" s="1906"/>
      <c r="S10" s="1906"/>
      <c r="T10" s="1906"/>
      <c r="U10" s="1906"/>
      <c r="V10" s="1906"/>
      <c r="W10" s="1906"/>
      <c r="X10" s="1906"/>
      <c r="Y10" s="1906"/>
      <c r="Z10" s="1906"/>
      <c r="AA10" s="1906"/>
      <c r="AB10" s="1906"/>
      <c r="AC10" s="1906"/>
      <c r="AD10" s="1906"/>
      <c r="AE10" s="1906"/>
      <c r="AF10" s="1906"/>
      <c r="AG10" s="1906"/>
      <c r="AH10" s="1907"/>
      <c r="AI10" s="126"/>
      <c r="AJ10" s="126"/>
    </row>
    <row r="11" spans="2:88" ht="16.2" customHeight="1">
      <c r="B11" s="1908" t="s">
        <v>307</v>
      </c>
      <c r="C11" s="1909" t="s">
        <v>308</v>
      </c>
      <c r="D11" s="1909"/>
      <c r="E11" s="1909"/>
      <c r="F11" s="1909"/>
      <c r="G11" s="1909"/>
      <c r="H11" s="1909"/>
      <c r="I11" s="1909"/>
      <c r="J11" s="1909"/>
      <c r="K11" s="1889" t="s">
        <v>505</v>
      </c>
      <c r="L11" s="1890" t="s">
        <v>506</v>
      </c>
      <c r="M11" s="1891"/>
      <c r="N11" s="1891"/>
      <c r="O11" s="1891"/>
      <c r="P11" s="1891"/>
      <c r="Q11" s="1891"/>
      <c r="R11" s="562"/>
      <c r="S11" s="1910" t="s">
        <v>307</v>
      </c>
      <c r="T11" s="1909" t="s">
        <v>308</v>
      </c>
      <c r="U11" s="1909"/>
      <c r="V11" s="1909"/>
      <c r="W11" s="1909"/>
      <c r="X11" s="1909"/>
      <c r="Y11" s="1909"/>
      <c r="Z11" s="1909"/>
      <c r="AA11" s="1909"/>
      <c r="AB11" s="1889" t="s">
        <v>505</v>
      </c>
      <c r="AC11" s="1890" t="s">
        <v>506</v>
      </c>
      <c r="AD11" s="1891"/>
      <c r="AE11" s="1891"/>
      <c r="AF11" s="1891"/>
      <c r="AG11" s="1891"/>
      <c r="AH11" s="1892"/>
      <c r="AI11" s="126"/>
      <c r="AJ11" s="126"/>
      <c r="AL11" s="128"/>
      <c r="AM11" s="129"/>
    </row>
    <row r="12" spans="2:88" ht="11.4" customHeight="1">
      <c r="B12" s="1908"/>
      <c r="C12" s="1909"/>
      <c r="D12" s="1909"/>
      <c r="E12" s="1909"/>
      <c r="F12" s="1909"/>
      <c r="G12" s="1909"/>
      <c r="H12" s="1909"/>
      <c r="I12" s="1909"/>
      <c r="J12" s="1909"/>
      <c r="K12" s="1889"/>
      <c r="L12" s="1891"/>
      <c r="M12" s="1891"/>
      <c r="N12" s="1891"/>
      <c r="O12" s="1891"/>
      <c r="P12" s="1891"/>
      <c r="Q12" s="1891"/>
      <c r="R12" s="562"/>
      <c r="S12" s="1910"/>
      <c r="T12" s="1909"/>
      <c r="U12" s="1909"/>
      <c r="V12" s="1909"/>
      <c r="W12" s="1909"/>
      <c r="X12" s="1909"/>
      <c r="Y12" s="1909"/>
      <c r="Z12" s="1909"/>
      <c r="AA12" s="1909"/>
      <c r="AB12" s="1889"/>
      <c r="AC12" s="1891"/>
      <c r="AD12" s="1891"/>
      <c r="AE12" s="1891"/>
      <c r="AF12" s="1891"/>
      <c r="AG12" s="1891"/>
      <c r="AH12" s="1892"/>
      <c r="AI12" s="126"/>
      <c r="AJ12" s="126"/>
      <c r="AO12" s="129"/>
    </row>
    <row r="13" spans="2:88" ht="58.2" customHeight="1">
      <c r="B13" s="945">
        <v>1</v>
      </c>
      <c r="C13" s="1942" t="s">
        <v>507</v>
      </c>
      <c r="D13" s="1943"/>
      <c r="E13" s="1943"/>
      <c r="F13" s="1943"/>
      <c r="G13" s="1943"/>
      <c r="H13" s="1943"/>
      <c r="I13" s="1943"/>
      <c r="J13" s="1943"/>
      <c r="K13" s="946">
        <v>0.05</v>
      </c>
      <c r="L13" s="1944">
        <v>2</v>
      </c>
      <c r="M13" s="1944"/>
      <c r="N13" s="1944"/>
      <c r="O13" s="1944"/>
      <c r="P13" s="1944"/>
      <c r="Q13" s="1944"/>
      <c r="R13" s="563"/>
      <c r="S13" s="947">
        <v>14</v>
      </c>
      <c r="T13" s="1942" t="s">
        <v>508</v>
      </c>
      <c r="U13" s="1943"/>
      <c r="V13" s="1943"/>
      <c r="W13" s="1943"/>
      <c r="X13" s="1943"/>
      <c r="Y13" s="1943"/>
      <c r="Z13" s="1943"/>
      <c r="AA13" s="1943"/>
      <c r="AB13" s="948">
        <v>0.05</v>
      </c>
      <c r="AC13" s="1944">
        <v>2</v>
      </c>
      <c r="AD13" s="1944"/>
      <c r="AE13" s="1944"/>
      <c r="AF13" s="1944"/>
      <c r="AG13" s="1944"/>
      <c r="AH13" s="1945"/>
      <c r="AI13" s="126"/>
      <c r="AJ13" s="126"/>
      <c r="AK13" s="130"/>
      <c r="AL13" s="130"/>
      <c r="AP13" s="1940">
        <v>1</v>
      </c>
      <c r="AQ13" s="1900"/>
      <c r="AR13" s="949">
        <v>100</v>
      </c>
      <c r="AU13" s="131">
        <v>1</v>
      </c>
    </row>
    <row r="14" spans="2:88" s="132" customFormat="1" ht="46.2" customHeight="1">
      <c r="B14" s="945">
        <v>2</v>
      </c>
      <c r="C14" s="1942" t="s">
        <v>509</v>
      </c>
      <c r="D14" s="1943"/>
      <c r="E14" s="1943"/>
      <c r="F14" s="1943"/>
      <c r="G14" s="1943"/>
      <c r="H14" s="1943"/>
      <c r="I14" s="1943"/>
      <c r="J14" s="1943"/>
      <c r="K14" s="946">
        <v>0.03</v>
      </c>
      <c r="L14" s="1944">
        <v>1</v>
      </c>
      <c r="M14" s="1944"/>
      <c r="N14" s="1944"/>
      <c r="O14" s="1944"/>
      <c r="P14" s="1944"/>
      <c r="Q14" s="1944"/>
      <c r="R14" s="563"/>
      <c r="S14" s="947">
        <v>15</v>
      </c>
      <c r="T14" s="1942" t="s">
        <v>510</v>
      </c>
      <c r="U14" s="1943"/>
      <c r="V14" s="1943"/>
      <c r="W14" s="1943"/>
      <c r="X14" s="1943"/>
      <c r="Y14" s="1943"/>
      <c r="Z14" s="1943"/>
      <c r="AA14" s="1943"/>
      <c r="AB14" s="948">
        <v>0.04</v>
      </c>
      <c r="AC14" s="1944">
        <v>2</v>
      </c>
      <c r="AD14" s="1944"/>
      <c r="AE14" s="1944"/>
      <c r="AF14" s="1944"/>
      <c r="AG14" s="1944"/>
      <c r="AH14" s="1945"/>
      <c r="AI14" s="126"/>
      <c r="AJ14" s="126"/>
      <c r="AK14" s="130"/>
      <c r="AL14" s="130"/>
      <c r="AM14" s="126"/>
      <c r="AN14" s="126"/>
      <c r="AO14" s="126"/>
      <c r="AP14" s="1940">
        <v>2</v>
      </c>
      <c r="AQ14" s="1900"/>
      <c r="AR14" s="949">
        <v>75</v>
      </c>
      <c r="AS14" s="126"/>
      <c r="AT14" s="126"/>
      <c r="AU14" s="131">
        <v>2</v>
      </c>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row>
    <row r="15" spans="2:88" s="132" customFormat="1" ht="43.95" customHeight="1">
      <c r="B15" s="945">
        <v>3</v>
      </c>
      <c r="C15" s="1942" t="s">
        <v>511</v>
      </c>
      <c r="D15" s="1943"/>
      <c r="E15" s="1943"/>
      <c r="F15" s="1943"/>
      <c r="G15" s="1943"/>
      <c r="H15" s="1943"/>
      <c r="I15" s="1943"/>
      <c r="J15" s="1943"/>
      <c r="K15" s="946">
        <v>0.02</v>
      </c>
      <c r="L15" s="1944">
        <v>1</v>
      </c>
      <c r="M15" s="1944"/>
      <c r="N15" s="1944"/>
      <c r="O15" s="1944"/>
      <c r="P15" s="1944"/>
      <c r="Q15" s="1944"/>
      <c r="R15" s="563"/>
      <c r="S15" s="947">
        <v>16</v>
      </c>
      <c r="T15" s="1942" t="s">
        <v>512</v>
      </c>
      <c r="U15" s="1942"/>
      <c r="V15" s="1942"/>
      <c r="W15" s="1942"/>
      <c r="X15" s="1942"/>
      <c r="Y15" s="1942"/>
      <c r="Z15" s="1942"/>
      <c r="AA15" s="1942"/>
      <c r="AB15" s="948">
        <v>0.04</v>
      </c>
      <c r="AC15" s="1944">
        <v>2</v>
      </c>
      <c r="AD15" s="1944"/>
      <c r="AE15" s="1944"/>
      <c r="AF15" s="1944"/>
      <c r="AG15" s="1944"/>
      <c r="AH15" s="1945"/>
      <c r="AI15" s="126"/>
      <c r="AJ15" s="126"/>
      <c r="AK15" s="130"/>
      <c r="AL15" s="130"/>
      <c r="AM15" s="126"/>
      <c r="AN15" s="126"/>
      <c r="AO15" s="126"/>
      <c r="AP15" s="1940">
        <v>3</v>
      </c>
      <c r="AQ15" s="1900"/>
      <c r="AR15" s="949">
        <v>0</v>
      </c>
      <c r="AS15" s="126"/>
      <c r="AT15" s="126"/>
      <c r="AU15" s="131">
        <v>3</v>
      </c>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row>
    <row r="16" spans="2:88" s="132" customFormat="1" ht="54" customHeight="1">
      <c r="B16" s="945">
        <v>4</v>
      </c>
      <c r="C16" s="1942" t="s">
        <v>513</v>
      </c>
      <c r="D16" s="1943"/>
      <c r="E16" s="1943"/>
      <c r="F16" s="1943"/>
      <c r="G16" s="1943"/>
      <c r="H16" s="1943"/>
      <c r="I16" s="1943"/>
      <c r="J16" s="1943"/>
      <c r="K16" s="946">
        <v>0.05</v>
      </c>
      <c r="L16" s="1944">
        <v>1</v>
      </c>
      <c r="M16" s="1944"/>
      <c r="N16" s="1944"/>
      <c r="O16" s="1944"/>
      <c r="P16" s="1944"/>
      <c r="Q16" s="1944"/>
      <c r="R16" s="563"/>
      <c r="S16" s="947">
        <v>17</v>
      </c>
      <c r="T16" s="1942" t="s">
        <v>514</v>
      </c>
      <c r="U16" s="1943"/>
      <c r="V16" s="1943"/>
      <c r="W16" s="1943"/>
      <c r="X16" s="1943"/>
      <c r="Y16" s="1943"/>
      <c r="Z16" s="1943"/>
      <c r="AA16" s="1943"/>
      <c r="AB16" s="948">
        <v>0.03</v>
      </c>
      <c r="AC16" s="1944">
        <v>2</v>
      </c>
      <c r="AD16" s="1944"/>
      <c r="AE16" s="1944"/>
      <c r="AF16" s="1944"/>
      <c r="AG16" s="1944"/>
      <c r="AH16" s="1945"/>
      <c r="AI16" s="126"/>
      <c r="AJ16" s="126"/>
      <c r="AK16" s="130"/>
      <c r="AL16" s="130"/>
      <c r="AM16" s="126"/>
      <c r="AN16" s="126"/>
      <c r="AO16" s="126"/>
      <c r="AP16" s="1941"/>
      <c r="AQ16" s="1941"/>
      <c r="AR16" s="133"/>
      <c r="AS16" s="133"/>
      <c r="AT16" s="126"/>
      <c r="AU16" s="131" t="s">
        <v>304</v>
      </c>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row>
    <row r="17" spans="2:88" s="132" customFormat="1" ht="38.4" customHeight="1">
      <c r="B17" s="945">
        <v>5</v>
      </c>
      <c r="C17" s="1946" t="s">
        <v>515</v>
      </c>
      <c r="D17" s="1946"/>
      <c r="E17" s="1946"/>
      <c r="F17" s="1946"/>
      <c r="G17" s="1946"/>
      <c r="H17" s="1946"/>
      <c r="I17" s="1946"/>
      <c r="J17" s="1946"/>
      <c r="K17" s="946">
        <v>0.03</v>
      </c>
      <c r="L17" s="1944">
        <v>1</v>
      </c>
      <c r="M17" s="1944"/>
      <c r="N17" s="1944"/>
      <c r="O17" s="1944"/>
      <c r="P17" s="1944"/>
      <c r="Q17" s="1944"/>
      <c r="R17" s="563"/>
      <c r="S17" s="947">
        <v>18</v>
      </c>
      <c r="T17" s="1942" t="s">
        <v>516</v>
      </c>
      <c r="U17" s="1942"/>
      <c r="V17" s="1942"/>
      <c r="W17" s="1942"/>
      <c r="X17" s="1942"/>
      <c r="Y17" s="1942"/>
      <c r="Z17" s="1942"/>
      <c r="AA17" s="1942"/>
      <c r="AB17" s="948">
        <v>0.05</v>
      </c>
      <c r="AC17" s="1944" t="s">
        <v>304</v>
      </c>
      <c r="AD17" s="1944"/>
      <c r="AE17" s="1944"/>
      <c r="AF17" s="1944"/>
      <c r="AG17" s="1944"/>
      <c r="AH17" s="1945"/>
      <c r="AI17" s="126"/>
      <c r="AJ17" s="126"/>
      <c r="AK17" s="130"/>
      <c r="AL17" s="130"/>
      <c r="AM17" s="126"/>
      <c r="AN17" s="134"/>
      <c r="AO17" s="134"/>
      <c r="AP17" s="134"/>
      <c r="AQ17" s="134"/>
      <c r="AR17" s="134"/>
      <c r="AS17" s="134"/>
      <c r="AT17" s="134"/>
      <c r="AU17" s="134"/>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row>
    <row r="18" spans="2:88" s="132" customFormat="1" ht="49.95" customHeight="1">
      <c r="B18" s="945">
        <v>6</v>
      </c>
      <c r="C18" s="1946" t="s">
        <v>517</v>
      </c>
      <c r="D18" s="1946"/>
      <c r="E18" s="1946"/>
      <c r="F18" s="1946"/>
      <c r="G18" s="1946"/>
      <c r="H18" s="1946"/>
      <c r="I18" s="1946"/>
      <c r="J18" s="1946"/>
      <c r="K18" s="946"/>
      <c r="L18" s="1944">
        <v>1</v>
      </c>
      <c r="M18" s="1944"/>
      <c r="N18" s="1944"/>
      <c r="O18" s="1944"/>
      <c r="P18" s="1944"/>
      <c r="Q18" s="1944"/>
      <c r="R18" s="563"/>
      <c r="S18" s="947">
        <v>19</v>
      </c>
      <c r="T18" s="1942" t="s">
        <v>518</v>
      </c>
      <c r="U18" s="1942"/>
      <c r="V18" s="1942"/>
      <c r="W18" s="1942"/>
      <c r="X18" s="1942"/>
      <c r="Y18" s="1942"/>
      <c r="Z18" s="1942"/>
      <c r="AA18" s="1942"/>
      <c r="AB18" s="948"/>
      <c r="AC18" s="1944">
        <v>2</v>
      </c>
      <c r="AD18" s="1944"/>
      <c r="AE18" s="1944"/>
      <c r="AF18" s="1944"/>
      <c r="AG18" s="1944"/>
      <c r="AH18" s="1945"/>
      <c r="AI18" s="126"/>
      <c r="AJ18" s="126"/>
      <c r="AK18" s="130"/>
      <c r="AL18" s="130" t="s">
        <v>519</v>
      </c>
      <c r="AM18" s="126" t="s">
        <v>520</v>
      </c>
      <c r="AN18" s="135"/>
      <c r="AO18" s="135"/>
      <c r="AP18" s="135"/>
      <c r="AQ18" s="135"/>
      <c r="AR18" s="135"/>
      <c r="AS18" s="135"/>
      <c r="AT18" s="135"/>
      <c r="AU18" s="135"/>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row>
    <row r="19" spans="2:88" s="132" customFormat="1" ht="45" customHeight="1">
      <c r="B19" s="945">
        <v>7</v>
      </c>
      <c r="C19" s="1946" t="s">
        <v>521</v>
      </c>
      <c r="D19" s="1946"/>
      <c r="E19" s="1946"/>
      <c r="F19" s="1946"/>
      <c r="G19" s="1946"/>
      <c r="H19" s="1946"/>
      <c r="I19" s="1946"/>
      <c r="J19" s="1946"/>
      <c r="K19" s="946"/>
      <c r="L19" s="1944">
        <v>1</v>
      </c>
      <c r="M19" s="1944"/>
      <c r="N19" s="1944"/>
      <c r="O19" s="1944"/>
      <c r="P19" s="1944"/>
      <c r="Q19" s="1944"/>
      <c r="R19" s="563"/>
      <c r="S19" s="947">
        <v>20</v>
      </c>
      <c r="T19" s="1942" t="s">
        <v>522</v>
      </c>
      <c r="U19" s="1942"/>
      <c r="V19" s="1942"/>
      <c r="W19" s="1942"/>
      <c r="X19" s="1942"/>
      <c r="Y19" s="1942"/>
      <c r="Z19" s="1942"/>
      <c r="AA19" s="1942"/>
      <c r="AB19" s="948"/>
      <c r="AC19" s="1944">
        <v>2</v>
      </c>
      <c r="AD19" s="1944"/>
      <c r="AE19" s="1944"/>
      <c r="AF19" s="1944"/>
      <c r="AG19" s="1944"/>
      <c r="AH19" s="1945"/>
      <c r="AI19" s="126"/>
      <c r="AJ19" s="126"/>
      <c r="AK19" s="130"/>
      <c r="AL19" s="130" t="s">
        <v>523</v>
      </c>
      <c r="AM19" s="126" t="s">
        <v>524</v>
      </c>
      <c r="AN19" s="135"/>
      <c r="AO19" s="135"/>
      <c r="AP19" s="135"/>
      <c r="AQ19" s="135"/>
      <c r="AR19" s="135"/>
      <c r="AS19" s="135"/>
      <c r="AT19" s="135"/>
      <c r="AU19" s="135"/>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row>
    <row r="20" spans="2:88" s="132" customFormat="1" ht="44.4" customHeight="1">
      <c r="B20" s="945">
        <v>8</v>
      </c>
      <c r="C20" s="1942" t="s">
        <v>525</v>
      </c>
      <c r="D20" s="1942"/>
      <c r="E20" s="1942"/>
      <c r="F20" s="1942"/>
      <c r="G20" s="1942"/>
      <c r="H20" s="1942"/>
      <c r="I20" s="1942"/>
      <c r="J20" s="1942"/>
      <c r="K20" s="946">
        <v>0.03</v>
      </c>
      <c r="L20" s="1944">
        <v>1</v>
      </c>
      <c r="M20" s="1944"/>
      <c r="N20" s="1944"/>
      <c r="O20" s="1944"/>
      <c r="P20" s="1944"/>
      <c r="Q20" s="1944"/>
      <c r="R20" s="563"/>
      <c r="S20" s="947">
        <v>21</v>
      </c>
      <c r="T20" s="1942" t="s">
        <v>526</v>
      </c>
      <c r="U20" s="1942"/>
      <c r="V20" s="1942"/>
      <c r="W20" s="1942"/>
      <c r="X20" s="1942"/>
      <c r="Y20" s="1942"/>
      <c r="Z20" s="1942"/>
      <c r="AA20" s="1942"/>
      <c r="AB20" s="948">
        <v>0.05</v>
      </c>
      <c r="AC20" s="1944">
        <v>2</v>
      </c>
      <c r="AD20" s="1944"/>
      <c r="AE20" s="1944"/>
      <c r="AF20" s="1944"/>
      <c r="AG20" s="1944"/>
      <c r="AH20" s="1945"/>
      <c r="AI20" s="126"/>
      <c r="AJ20" s="126"/>
      <c r="AK20" s="130"/>
      <c r="AL20" s="130" t="s">
        <v>527</v>
      </c>
      <c r="AM20" s="126" t="s">
        <v>528</v>
      </c>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row>
    <row r="21" spans="2:88" s="132" customFormat="1" ht="42.6" customHeight="1">
      <c r="B21" s="945">
        <v>9</v>
      </c>
      <c r="C21" s="1942" t="s">
        <v>529</v>
      </c>
      <c r="D21" s="1943"/>
      <c r="E21" s="1943"/>
      <c r="F21" s="1943"/>
      <c r="G21" s="1943"/>
      <c r="H21" s="1943"/>
      <c r="I21" s="1943"/>
      <c r="J21" s="1943"/>
      <c r="K21" s="946">
        <v>0.05</v>
      </c>
      <c r="L21" s="1944">
        <v>1</v>
      </c>
      <c r="M21" s="1944"/>
      <c r="N21" s="1944"/>
      <c r="O21" s="1944"/>
      <c r="P21" s="1944"/>
      <c r="Q21" s="1944"/>
      <c r="R21" s="563"/>
      <c r="S21" s="947">
        <v>22</v>
      </c>
      <c r="T21" s="1942" t="s">
        <v>530</v>
      </c>
      <c r="U21" s="1942"/>
      <c r="V21" s="1942"/>
      <c r="W21" s="1942"/>
      <c r="X21" s="1942"/>
      <c r="Y21" s="1942"/>
      <c r="Z21" s="1942"/>
      <c r="AA21" s="1942"/>
      <c r="AB21" s="948">
        <v>0.05</v>
      </c>
      <c r="AC21" s="1944">
        <v>2</v>
      </c>
      <c r="AD21" s="1944"/>
      <c r="AE21" s="1944"/>
      <c r="AF21" s="1944"/>
      <c r="AG21" s="1944"/>
      <c r="AH21" s="1945"/>
      <c r="AI21" s="126"/>
      <c r="AJ21" s="126"/>
      <c r="AK21" s="130"/>
      <c r="AL21" s="130"/>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row>
    <row r="22" spans="2:88" s="132" customFormat="1" ht="46.2" customHeight="1">
      <c r="B22" s="945">
        <v>10</v>
      </c>
      <c r="C22" s="1942" t="s">
        <v>531</v>
      </c>
      <c r="D22" s="1943"/>
      <c r="E22" s="1943"/>
      <c r="F22" s="1943"/>
      <c r="G22" s="1943"/>
      <c r="H22" s="1943"/>
      <c r="I22" s="1943"/>
      <c r="J22" s="1943"/>
      <c r="K22" s="946">
        <v>0.03</v>
      </c>
      <c r="L22" s="1944">
        <v>2</v>
      </c>
      <c r="M22" s="1944"/>
      <c r="N22" s="1944"/>
      <c r="O22" s="1944"/>
      <c r="P22" s="1944"/>
      <c r="Q22" s="1944"/>
      <c r="R22" s="563"/>
      <c r="S22" s="947">
        <v>23</v>
      </c>
      <c r="T22" s="1942" t="s">
        <v>532</v>
      </c>
      <c r="U22" s="1942"/>
      <c r="V22" s="1942"/>
      <c r="W22" s="1942"/>
      <c r="X22" s="1942"/>
      <c r="Y22" s="1942"/>
      <c r="Z22" s="1942"/>
      <c r="AA22" s="1942"/>
      <c r="AB22" s="948">
        <v>0.03</v>
      </c>
      <c r="AC22" s="1944">
        <v>1</v>
      </c>
      <c r="AD22" s="1944"/>
      <c r="AE22" s="1944"/>
      <c r="AF22" s="1944"/>
      <c r="AG22" s="1944"/>
      <c r="AH22" s="1945"/>
      <c r="AI22" s="126"/>
      <c r="AJ22" s="126"/>
      <c r="AK22" s="130"/>
      <c r="AL22" s="130" t="s">
        <v>533</v>
      </c>
      <c r="AM22" s="126"/>
      <c r="AN22" s="136"/>
      <c r="AO22" s="137"/>
      <c r="AP22" s="137"/>
      <c r="AQ22" s="137"/>
      <c r="AR22" s="137"/>
      <c r="AS22" s="137"/>
      <c r="AT22" s="137"/>
      <c r="AU22" s="137"/>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row>
    <row r="23" spans="2:88" s="132" customFormat="1" ht="45.6" customHeight="1">
      <c r="B23" s="945">
        <v>11</v>
      </c>
      <c r="C23" s="1942" t="s">
        <v>534</v>
      </c>
      <c r="D23" s="1943"/>
      <c r="E23" s="1943"/>
      <c r="F23" s="1943"/>
      <c r="G23" s="1943"/>
      <c r="H23" s="1943"/>
      <c r="I23" s="1943"/>
      <c r="J23" s="1943"/>
      <c r="K23" s="946">
        <v>0.03</v>
      </c>
      <c r="L23" s="1944">
        <v>1</v>
      </c>
      <c r="M23" s="1944"/>
      <c r="N23" s="1944"/>
      <c r="O23" s="1944"/>
      <c r="P23" s="1944"/>
      <c r="Q23" s="1944"/>
      <c r="R23" s="563"/>
      <c r="S23" s="947">
        <v>24</v>
      </c>
      <c r="T23" s="1942" t="s">
        <v>535</v>
      </c>
      <c r="U23" s="1942"/>
      <c r="V23" s="1942"/>
      <c r="W23" s="1942"/>
      <c r="X23" s="1942"/>
      <c r="Y23" s="1942"/>
      <c r="Z23" s="1942"/>
      <c r="AA23" s="1942"/>
      <c r="AB23" s="948">
        <v>0.03</v>
      </c>
      <c r="AC23" s="1944">
        <v>2</v>
      </c>
      <c r="AD23" s="1944"/>
      <c r="AE23" s="1944"/>
      <c r="AF23" s="1944"/>
      <c r="AG23" s="1944"/>
      <c r="AH23" s="1945"/>
      <c r="AI23" s="126"/>
      <c r="AJ23" s="126"/>
      <c r="AK23" s="130"/>
      <c r="AL23" s="130"/>
      <c r="AM23" s="126"/>
      <c r="AN23" s="126"/>
      <c r="AO23" s="126"/>
      <c r="AP23" s="128"/>
      <c r="AQ23" s="128"/>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row>
    <row r="24" spans="2:88" s="132" customFormat="1" ht="47.4" customHeight="1">
      <c r="B24" s="945">
        <v>12</v>
      </c>
      <c r="C24" s="1942" t="s">
        <v>536</v>
      </c>
      <c r="D24" s="1943"/>
      <c r="E24" s="1943"/>
      <c r="F24" s="1943"/>
      <c r="G24" s="1943"/>
      <c r="H24" s="1943"/>
      <c r="I24" s="1943"/>
      <c r="J24" s="1943"/>
      <c r="K24" s="946">
        <v>0.05</v>
      </c>
      <c r="L24" s="1944">
        <v>1</v>
      </c>
      <c r="M24" s="1944"/>
      <c r="N24" s="1944"/>
      <c r="O24" s="1944"/>
      <c r="P24" s="1944"/>
      <c r="Q24" s="1944"/>
      <c r="R24" s="563"/>
      <c r="S24" s="947">
        <v>25</v>
      </c>
      <c r="T24" s="1942" t="s">
        <v>537</v>
      </c>
      <c r="U24" s="1942"/>
      <c r="V24" s="1942"/>
      <c r="W24" s="1942"/>
      <c r="X24" s="1942"/>
      <c r="Y24" s="1942"/>
      <c r="Z24" s="1942"/>
      <c r="AA24" s="1942"/>
      <c r="AB24" s="948">
        <v>0.04</v>
      </c>
      <c r="AC24" s="1944">
        <v>1</v>
      </c>
      <c r="AD24" s="1944"/>
      <c r="AE24" s="1944"/>
      <c r="AF24" s="1944"/>
      <c r="AG24" s="1944"/>
      <c r="AH24" s="1945"/>
      <c r="AI24" s="126"/>
      <c r="AJ24" s="126"/>
      <c r="AK24" s="130"/>
      <c r="AL24" s="130"/>
      <c r="AM24" s="126"/>
      <c r="AN24" s="136"/>
      <c r="AO24" s="137"/>
      <c r="AP24" s="137"/>
      <c r="AQ24" s="137"/>
      <c r="AR24" s="137"/>
      <c r="AS24" s="137"/>
      <c r="AT24" s="137"/>
      <c r="AU24" s="137"/>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row>
    <row r="25" spans="2:88" s="132" customFormat="1" ht="54" customHeight="1">
      <c r="B25" s="945">
        <v>13</v>
      </c>
      <c r="C25" s="1942" t="s">
        <v>538</v>
      </c>
      <c r="D25" s="1942"/>
      <c r="E25" s="1942"/>
      <c r="F25" s="1942"/>
      <c r="G25" s="1942"/>
      <c r="H25" s="1942"/>
      <c r="I25" s="1942"/>
      <c r="J25" s="1942"/>
      <c r="K25" s="946"/>
      <c r="L25" s="1944">
        <v>2</v>
      </c>
      <c r="M25" s="1944"/>
      <c r="N25" s="1944"/>
      <c r="O25" s="1944"/>
      <c r="P25" s="1944"/>
      <c r="Q25" s="1944"/>
      <c r="R25" s="563"/>
      <c r="S25" s="947">
        <v>26</v>
      </c>
      <c r="T25" s="1942" t="s">
        <v>539</v>
      </c>
      <c r="U25" s="1942"/>
      <c r="V25" s="1942"/>
      <c r="W25" s="1942"/>
      <c r="X25" s="1942"/>
      <c r="Y25" s="1942"/>
      <c r="Z25" s="1942"/>
      <c r="AA25" s="1942"/>
      <c r="AB25" s="948"/>
      <c r="AC25" s="1944">
        <v>1</v>
      </c>
      <c r="AD25" s="1944"/>
      <c r="AE25" s="1944"/>
      <c r="AF25" s="1944"/>
      <c r="AG25" s="1944"/>
      <c r="AH25" s="1945"/>
      <c r="AI25" s="126"/>
      <c r="AJ25" s="126"/>
      <c r="AK25" s="130"/>
      <c r="AL25" s="130"/>
      <c r="AM25" s="126"/>
      <c r="AN25" s="138"/>
      <c r="AO25" s="137"/>
      <c r="AP25" s="137"/>
      <c r="AQ25" s="137"/>
      <c r="AR25" s="137"/>
      <c r="AS25" s="137"/>
      <c r="AT25" s="137"/>
      <c r="AU25" s="137"/>
      <c r="AV25" s="126"/>
      <c r="AW25" s="126"/>
      <c r="AX25" s="126"/>
      <c r="AY25" s="131"/>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row>
    <row r="26" spans="2:88" s="132" customFormat="1" ht="1.95" customHeight="1" thickBot="1">
      <c r="B26" s="557"/>
      <c r="S26" s="564"/>
      <c r="AH26" s="555"/>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row>
    <row r="27" spans="2:88" s="132" customFormat="1" ht="22.2" customHeight="1" thickBot="1">
      <c r="B27" s="1958" t="s">
        <v>388</v>
      </c>
      <c r="C27" s="1959"/>
      <c r="D27" s="1959"/>
      <c r="E27" s="1959"/>
      <c r="F27" s="1959"/>
      <c r="G27" s="1960" t="s">
        <v>1128</v>
      </c>
      <c r="H27" s="1961"/>
      <c r="I27" s="1961"/>
      <c r="J27" s="1961"/>
      <c r="K27" s="1961"/>
      <c r="L27" s="1961"/>
      <c r="M27" s="1961"/>
      <c r="N27" s="1961"/>
      <c r="O27" s="1961"/>
      <c r="P27" s="1961"/>
      <c r="Q27" s="1962"/>
      <c r="R27" s="554"/>
      <c r="S27" s="1963" t="s">
        <v>540</v>
      </c>
      <c r="T27" s="1964"/>
      <c r="U27" s="1964"/>
      <c r="V27" s="1964"/>
      <c r="W27" s="1964"/>
      <c r="X27" s="1965" t="s">
        <v>823</v>
      </c>
      <c r="Y27" s="1966"/>
      <c r="Z27" s="1966"/>
      <c r="AA27" s="1966"/>
      <c r="AB27" s="1966"/>
      <c r="AC27" s="1966"/>
      <c r="AD27" s="1966"/>
      <c r="AE27" s="1966"/>
      <c r="AF27" s="1966"/>
      <c r="AG27" s="1966"/>
      <c r="AH27" s="1967"/>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row>
    <row r="28" spans="2:88" ht="14.4" customHeight="1" thickBot="1">
      <c r="B28" s="1947" t="s">
        <v>541</v>
      </c>
      <c r="C28" s="1948"/>
      <c r="D28" s="1948"/>
      <c r="E28" s="1948"/>
      <c r="F28" s="1948"/>
      <c r="G28" s="1948"/>
      <c r="H28" s="1948"/>
      <c r="I28" s="1948"/>
      <c r="J28" s="1948"/>
      <c r="K28" s="1948"/>
      <c r="L28" s="1948"/>
      <c r="M28" s="1948"/>
      <c r="N28" s="1948"/>
      <c r="O28" s="1948"/>
      <c r="P28" s="1948"/>
      <c r="Q28" s="1948"/>
      <c r="R28" s="1948"/>
      <c r="S28" s="1948"/>
      <c r="T28" s="1948"/>
      <c r="U28" s="1948"/>
      <c r="V28" s="1948"/>
      <c r="W28" s="1948"/>
      <c r="X28" s="1948"/>
      <c r="Y28" s="1948"/>
      <c r="Z28" s="1948"/>
      <c r="AA28" s="1948"/>
      <c r="AB28" s="1948"/>
      <c r="AC28" s="1948"/>
      <c r="AD28" s="1948"/>
      <c r="AE28" s="1948"/>
      <c r="AF28" s="1948"/>
      <c r="AG28" s="1948"/>
      <c r="AH28" s="1949"/>
      <c r="AI28" s="126"/>
      <c r="AJ28" s="126"/>
    </row>
    <row r="29" spans="2:88" ht="18" customHeight="1" thickBot="1">
      <c r="B29" s="1950">
        <v>1</v>
      </c>
      <c r="C29" s="1951"/>
      <c r="D29" s="1952">
        <f>COUNTIF(L13:Q26,"1")+COUNTIF(AB13:AG26,"1")</f>
        <v>13</v>
      </c>
      <c r="E29" s="1952"/>
      <c r="F29" s="1952"/>
      <c r="G29" s="1952"/>
      <c r="H29" s="1952"/>
      <c r="I29" s="1953">
        <v>2</v>
      </c>
      <c r="J29" s="1953"/>
      <c r="K29" s="553"/>
      <c r="L29" s="1954">
        <f>COUNTIF(L13:Q26,"2")+COUNTIF(AB13:AG26,"2")</f>
        <v>12</v>
      </c>
      <c r="M29" s="1954"/>
      <c r="N29" s="1954"/>
      <c r="O29" s="1954"/>
      <c r="P29" s="1954"/>
      <c r="Q29" s="1954"/>
      <c r="R29" s="1954"/>
      <c r="S29" s="1954"/>
      <c r="T29" s="1954"/>
      <c r="U29" s="1953">
        <v>3</v>
      </c>
      <c r="V29" s="1953"/>
      <c r="W29" s="1955">
        <f>COUNTIF(L13:Q26,"3")+COUNTIF(AB13:AG26,"3")</f>
        <v>0</v>
      </c>
      <c r="X29" s="1956"/>
      <c r="Y29" s="1956"/>
      <c r="Z29" s="1956"/>
      <c r="AA29" s="1956"/>
      <c r="AB29" s="1956"/>
      <c r="AC29" s="1956"/>
      <c r="AD29" s="1956"/>
      <c r="AE29" s="1956"/>
      <c r="AF29" s="1956"/>
      <c r="AG29" s="1956"/>
      <c r="AH29" s="1957"/>
      <c r="AI29" s="126"/>
      <c r="AJ29" s="126"/>
    </row>
    <row r="30" spans="2:88">
      <c r="AI30" s="126"/>
      <c r="AJ30" s="126"/>
    </row>
    <row r="31" spans="2:88">
      <c r="AI31" s="126"/>
      <c r="AJ31" s="126"/>
    </row>
    <row r="32" spans="2:88">
      <c r="AI32" s="126"/>
      <c r="AJ32" s="126"/>
    </row>
    <row r="33" spans="19:19" s="126" customFormat="1">
      <c r="S33" s="556"/>
    </row>
    <row r="34" spans="19:19" s="126" customFormat="1">
      <c r="S34" s="556"/>
    </row>
    <row r="35" spans="19:19" s="126" customFormat="1">
      <c r="S35" s="556"/>
    </row>
    <row r="36" spans="19:19" s="126" customFormat="1">
      <c r="S36" s="556"/>
    </row>
    <row r="37" spans="19:19" s="126" customFormat="1">
      <c r="S37" s="556"/>
    </row>
    <row r="38" spans="19:19" s="126" customFormat="1">
      <c r="S38" s="556"/>
    </row>
    <row r="39" spans="19:19" s="126" customFormat="1">
      <c r="S39" s="556"/>
    </row>
    <row r="40" spans="19:19" s="126" customFormat="1">
      <c r="S40" s="556"/>
    </row>
    <row r="41" spans="19:19" s="126" customFormat="1">
      <c r="S41" s="556"/>
    </row>
    <row r="42" spans="19:19" s="126" customFormat="1">
      <c r="S42" s="556"/>
    </row>
    <row r="43" spans="19:19" s="126" customFormat="1">
      <c r="S43" s="556"/>
    </row>
    <row r="44" spans="19:19" s="126" customFormat="1">
      <c r="S44" s="556"/>
    </row>
    <row r="45" spans="19:19" s="126" customFormat="1">
      <c r="S45" s="556"/>
    </row>
    <row r="46" spans="19:19" s="126" customFormat="1">
      <c r="S46" s="556"/>
    </row>
    <row r="47" spans="19:19" s="126" customFormat="1">
      <c r="S47" s="556"/>
    </row>
    <row r="48" spans="19:19" s="126" customFormat="1">
      <c r="S48" s="556"/>
    </row>
    <row r="49" spans="19:19" s="126" customFormat="1">
      <c r="S49" s="556"/>
    </row>
    <row r="50" spans="19:19" s="126" customFormat="1">
      <c r="S50" s="556"/>
    </row>
    <row r="51" spans="19:19" s="126" customFormat="1">
      <c r="S51" s="556"/>
    </row>
    <row r="52" spans="19:19" s="126" customFormat="1">
      <c r="S52" s="556"/>
    </row>
    <row r="53" spans="19:19" s="126" customFormat="1">
      <c r="S53" s="556"/>
    </row>
    <row r="54" spans="19:19" s="126" customFormat="1">
      <c r="S54" s="556"/>
    </row>
    <row r="55" spans="19:19" s="126" customFormat="1">
      <c r="S55" s="556"/>
    </row>
    <row r="56" spans="19:19" s="126" customFormat="1">
      <c r="S56" s="556"/>
    </row>
    <row r="57" spans="19:19" s="126" customFormat="1">
      <c r="S57" s="556"/>
    </row>
    <row r="58" spans="19:19" s="126" customFormat="1">
      <c r="S58" s="556"/>
    </row>
    <row r="59" spans="19:19" s="126" customFormat="1">
      <c r="S59" s="556"/>
    </row>
    <row r="60" spans="19:19" s="126" customFormat="1">
      <c r="S60" s="556"/>
    </row>
    <row r="61" spans="19:19" s="126" customFormat="1">
      <c r="S61" s="556"/>
    </row>
    <row r="62" spans="19:19" s="126" customFormat="1">
      <c r="S62" s="556"/>
    </row>
    <row r="63" spans="19:19" s="126" customFormat="1">
      <c r="S63" s="556"/>
    </row>
    <row r="64" spans="19:19" s="126" customFormat="1">
      <c r="S64" s="556"/>
    </row>
    <row r="65" spans="19:19" s="126" customFormat="1">
      <c r="S65" s="556"/>
    </row>
    <row r="66" spans="19:19" s="126" customFormat="1">
      <c r="S66" s="556"/>
    </row>
    <row r="67" spans="19:19" s="126" customFormat="1">
      <c r="S67" s="556"/>
    </row>
    <row r="68" spans="19:19" s="126" customFormat="1">
      <c r="S68" s="556"/>
    </row>
    <row r="69" spans="19:19" s="126" customFormat="1">
      <c r="S69" s="556"/>
    </row>
    <row r="70" spans="19:19" s="126" customFormat="1">
      <c r="S70" s="556"/>
    </row>
    <row r="71" spans="19:19" s="126" customFormat="1">
      <c r="S71" s="556"/>
    </row>
    <row r="72" spans="19:19" s="126" customFormat="1">
      <c r="S72" s="556"/>
    </row>
    <row r="73" spans="19:19" s="126" customFormat="1">
      <c r="S73" s="556"/>
    </row>
    <row r="74" spans="19:19" s="126" customFormat="1">
      <c r="S74" s="556"/>
    </row>
    <row r="75" spans="19:19" s="126" customFormat="1">
      <c r="S75" s="556"/>
    </row>
    <row r="76" spans="19:19" s="126" customFormat="1">
      <c r="S76" s="556"/>
    </row>
    <row r="77" spans="19:19" s="126" customFormat="1">
      <c r="S77" s="556"/>
    </row>
    <row r="78" spans="19:19" s="126" customFormat="1">
      <c r="S78" s="556"/>
    </row>
    <row r="79" spans="19:19" s="126" customFormat="1">
      <c r="S79" s="556"/>
    </row>
    <row r="80" spans="19:19" s="126" customFormat="1">
      <c r="S80" s="556"/>
    </row>
    <row r="81" spans="19:19" s="126" customFormat="1">
      <c r="S81" s="556"/>
    </row>
    <row r="82" spans="19:19" s="126" customFormat="1">
      <c r="S82" s="556"/>
    </row>
    <row r="83" spans="19:19" s="126" customFormat="1">
      <c r="S83" s="556"/>
    </row>
    <row r="84" spans="19:19" s="126" customFormat="1">
      <c r="S84" s="556"/>
    </row>
    <row r="85" spans="19:19" s="126" customFormat="1">
      <c r="S85" s="556"/>
    </row>
    <row r="86" spans="19:19" s="126" customFormat="1">
      <c r="S86" s="556"/>
    </row>
    <row r="87" spans="19:19" s="126" customFormat="1">
      <c r="S87" s="556"/>
    </row>
    <row r="88" spans="19:19" s="126" customFormat="1">
      <c r="S88" s="556"/>
    </row>
    <row r="89" spans="19:19" s="126" customFormat="1">
      <c r="S89" s="556"/>
    </row>
    <row r="90" spans="19:19" s="126" customFormat="1">
      <c r="S90" s="556"/>
    </row>
    <row r="91" spans="19:19" s="126" customFormat="1">
      <c r="S91" s="556"/>
    </row>
    <row r="92" spans="19:19" s="126" customFormat="1">
      <c r="S92" s="556"/>
    </row>
    <row r="93" spans="19:19" s="126" customFormat="1">
      <c r="S93" s="556"/>
    </row>
    <row r="94" spans="19:19" s="126" customFormat="1">
      <c r="S94" s="556"/>
    </row>
    <row r="95" spans="19:19" s="126" customFormat="1">
      <c r="S95" s="556"/>
    </row>
    <row r="96" spans="19:19" s="126" customFormat="1">
      <c r="S96" s="556"/>
    </row>
    <row r="97" spans="19:19" s="126" customFormat="1">
      <c r="S97" s="556"/>
    </row>
    <row r="98" spans="19:19" s="126" customFormat="1">
      <c r="S98" s="556"/>
    </row>
    <row r="99" spans="19:19" s="126" customFormat="1">
      <c r="S99" s="556"/>
    </row>
    <row r="100" spans="19:19" s="126" customFormat="1">
      <c r="S100" s="556"/>
    </row>
    <row r="101" spans="19:19" s="126" customFormat="1">
      <c r="S101" s="556"/>
    </row>
    <row r="102" spans="19:19" s="126" customFormat="1">
      <c r="S102" s="556"/>
    </row>
    <row r="103" spans="19:19" s="126" customFormat="1">
      <c r="S103" s="556"/>
    </row>
    <row r="104" spans="19:19" s="126" customFormat="1">
      <c r="S104" s="556"/>
    </row>
    <row r="105" spans="19:19" s="126" customFormat="1">
      <c r="S105" s="556"/>
    </row>
    <row r="106" spans="19:19" s="126" customFormat="1">
      <c r="S106" s="556"/>
    </row>
    <row r="107" spans="19:19" s="126" customFormat="1">
      <c r="S107" s="556"/>
    </row>
    <row r="108" spans="19:19" s="126" customFormat="1">
      <c r="S108" s="556"/>
    </row>
    <row r="109" spans="19:19" s="126" customFormat="1">
      <c r="S109" s="556"/>
    </row>
    <row r="110" spans="19:19" s="126" customFormat="1">
      <c r="S110" s="556"/>
    </row>
    <row r="111" spans="19:19" s="126" customFormat="1">
      <c r="S111" s="556"/>
    </row>
    <row r="112" spans="19:19" s="126" customFormat="1">
      <c r="S112" s="556"/>
    </row>
    <row r="113" spans="19:19" s="126" customFormat="1">
      <c r="S113" s="556"/>
    </row>
    <row r="114" spans="19:19" s="126" customFormat="1">
      <c r="S114" s="556"/>
    </row>
    <row r="115" spans="19:19" s="126" customFormat="1">
      <c r="S115" s="556"/>
    </row>
    <row r="116" spans="19:19" s="126" customFormat="1">
      <c r="S116" s="556"/>
    </row>
    <row r="117" spans="19:19" s="126" customFormat="1">
      <c r="S117" s="556"/>
    </row>
    <row r="118" spans="19:19" s="126" customFormat="1">
      <c r="S118" s="556"/>
    </row>
    <row r="119" spans="19:19" s="126" customFormat="1">
      <c r="S119" s="556"/>
    </row>
  </sheetData>
  <sheetProtection selectLockedCells="1"/>
  <mergeCells count="102">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s>
  <conditionalFormatting sqref="B9:C9">
    <cfRule type="iconSet" priority="39">
      <iconSet showValue="0" reverse="1">
        <cfvo type="percent" val="0"/>
        <cfvo type="num" val="1" gte="0"/>
        <cfvo type="num" val="2" gte="0"/>
      </iconSet>
    </cfRule>
  </conditionalFormatting>
  <conditionalFormatting sqref="B29:C29">
    <cfRule type="iconSet" priority="33">
      <iconSet showValue="0" reverse="1">
        <cfvo type="percent" val="0"/>
        <cfvo type="num" val="1" gte="0"/>
        <cfvo type="num" val="2" gte="0"/>
      </iconSet>
    </cfRule>
  </conditionalFormatting>
  <conditionalFormatting sqref="H9">
    <cfRule type="iconSet" priority="35">
      <iconSet showValue="0" reverse="1">
        <cfvo type="percent" val="0"/>
        <cfvo type="num" val="1" gte="0"/>
        <cfvo type="num" val="2" gte="0"/>
      </iconSet>
    </cfRule>
  </conditionalFormatting>
  <conditionalFormatting sqref="I29:J29">
    <cfRule type="iconSet" priority="32">
      <iconSet showValue="0" reverse="1">
        <cfvo type="percent" val="0"/>
        <cfvo type="num" val="1" gte="0"/>
        <cfvo type="num" val="2" gte="0"/>
      </iconSet>
    </cfRule>
  </conditionalFormatting>
  <conditionalFormatting sqref="T9">
    <cfRule type="iconSet" priority="34">
      <iconSet showValue="0" reverse="1">
        <cfvo type="percent" val="0"/>
        <cfvo type="num" val="1"/>
        <cfvo type="num" val="2"/>
      </iconSet>
    </cfRule>
  </conditionalFormatting>
  <conditionalFormatting sqref="U29:V29">
    <cfRule type="iconSet" priority="31">
      <iconSet showValue="0" reverse="1">
        <cfvo type="percent" val="0"/>
        <cfvo type="num" val="1"/>
        <cfvo type="num" val="2"/>
      </iconSet>
    </cfRule>
  </conditionalFormatting>
  <conditionalFormatting sqref="AP13:AQ13">
    <cfRule type="iconSet" priority="38">
      <iconSet showValue="0" reverse="1">
        <cfvo type="percent" val="0"/>
        <cfvo type="num" val="1" gte="0"/>
        <cfvo type="num" val="2" gte="0"/>
      </iconSet>
    </cfRule>
  </conditionalFormatting>
  <conditionalFormatting sqref="AP14:AQ14">
    <cfRule type="iconSet" priority="37">
      <iconSet showValue="0" reverse="1">
        <cfvo type="percent" val="0"/>
        <cfvo type="num" val="1" gte="0"/>
        <cfvo type="num" val="2" gte="0"/>
      </iconSet>
    </cfRule>
  </conditionalFormatting>
  <conditionalFormatting sqref="AP15:AQ15">
    <cfRule type="iconSet" priority="36">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AC13:AH25 L13:L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2" id="{1257658F-55F2-4CC4-9A9B-1264A717734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 id="{84DB61D9-9ACF-495C-80EF-868A0518C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0"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3" id="{AC08A803-EC63-4E35-82F5-9FCBDA5B7C1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zoomScale="85" zoomScaleNormal="85" workbookViewId="0">
      <selection activeCell="L11" sqref="L11"/>
    </sheetView>
  </sheetViews>
  <sheetFormatPr defaultColWidth="9.109375" defaultRowHeight="14.4"/>
  <cols>
    <col min="1" max="1" width="11" style="5" customWidth="1"/>
    <col min="2" max="3" width="13.6640625" style="5" customWidth="1"/>
    <col min="4" max="6" width="14.6640625" style="5" customWidth="1"/>
    <col min="7" max="7" width="16" style="5" customWidth="1"/>
    <col min="8" max="8" width="9.109375" style="5"/>
    <col min="9" max="9" width="10.109375" style="5" customWidth="1"/>
    <col min="10" max="10" width="11.109375" style="5" bestFit="1" customWidth="1"/>
    <col min="11" max="11" width="10.44140625" style="5" bestFit="1" customWidth="1"/>
    <col min="12" max="12" width="11" style="5" bestFit="1" customWidth="1"/>
    <col min="13" max="13" width="11.5546875" style="5" bestFit="1" customWidth="1"/>
    <col min="14" max="16384" width="9.109375" style="5"/>
  </cols>
  <sheetData>
    <row r="1" spans="1:13" ht="15.45" customHeight="1">
      <c r="A1" s="1969" t="s">
        <v>103</v>
      </c>
      <c r="B1" s="1969"/>
      <c r="C1" s="1969"/>
      <c r="D1" s="1969"/>
      <c r="E1" s="1969"/>
      <c r="F1" s="1969"/>
      <c r="G1" s="1970"/>
      <c r="K1" s="821">
        <v>18400</v>
      </c>
    </row>
    <row r="2" spans="1:13" ht="15.45" customHeight="1">
      <c r="A2" s="1971"/>
      <c r="B2" s="1971"/>
      <c r="C2" s="1971"/>
      <c r="D2" s="1971"/>
      <c r="E2" s="1971"/>
      <c r="F2" s="1971"/>
      <c r="G2" s="1972"/>
      <c r="J2" s="760"/>
    </row>
    <row r="3" spans="1:13" ht="43.2" customHeight="1">
      <c r="A3" s="950" t="s">
        <v>114</v>
      </c>
      <c r="B3" s="1968" t="s">
        <v>115</v>
      </c>
      <c r="C3" s="1968"/>
      <c r="D3" s="950" t="s">
        <v>116</v>
      </c>
      <c r="E3" s="950" t="s">
        <v>117</v>
      </c>
      <c r="F3" s="950" t="s">
        <v>118</v>
      </c>
      <c r="G3" s="950" t="s">
        <v>119</v>
      </c>
      <c r="H3" s="760"/>
      <c r="I3" s="760"/>
    </row>
    <row r="4" spans="1:13" ht="15">
      <c r="A4" s="581" t="s">
        <v>114</v>
      </c>
      <c r="B4" s="1977" t="s">
        <v>542</v>
      </c>
      <c r="C4" s="1978"/>
      <c r="D4" s="1197">
        <v>11376</v>
      </c>
      <c r="E4" s="1197">
        <v>22752</v>
      </c>
      <c r="F4" s="1198">
        <v>491606</v>
      </c>
      <c r="G4" s="1199">
        <v>504766</v>
      </c>
      <c r="H4" s="655"/>
      <c r="I4" s="655"/>
      <c r="J4" s="655"/>
      <c r="K4" s="655"/>
      <c r="L4" s="760"/>
      <c r="M4" s="760"/>
    </row>
    <row r="5" spans="1:13" ht="15.6">
      <c r="A5" s="582"/>
      <c r="B5" s="1975" t="s">
        <v>543</v>
      </c>
      <c r="C5" s="1976"/>
      <c r="D5" s="1200">
        <v>11376</v>
      </c>
      <c r="E5" s="1201">
        <v>22752</v>
      </c>
      <c r="F5" s="1201">
        <v>491606</v>
      </c>
      <c r="G5" s="1201">
        <v>504766</v>
      </c>
      <c r="H5"/>
      <c r="I5"/>
      <c r="J5"/>
      <c r="K5"/>
    </row>
    <row r="6" spans="1:13" ht="15">
      <c r="A6" s="1981" t="s">
        <v>133</v>
      </c>
      <c r="B6" s="1979" t="s">
        <v>544</v>
      </c>
      <c r="C6" s="1980"/>
      <c r="D6" s="1202">
        <v>0</v>
      </c>
      <c r="E6" s="1203">
        <v>0</v>
      </c>
      <c r="F6" s="1203">
        <v>0</v>
      </c>
      <c r="G6" s="1204">
        <v>0</v>
      </c>
      <c r="H6"/>
      <c r="I6"/>
      <c r="J6"/>
      <c r="K6"/>
    </row>
    <row r="7" spans="1:13" ht="15">
      <c r="A7" s="1981"/>
      <c r="B7" s="1979" t="s">
        <v>545</v>
      </c>
      <c r="C7" s="1980"/>
      <c r="D7" s="1202">
        <v>0</v>
      </c>
      <c r="E7" s="1203">
        <v>0</v>
      </c>
      <c r="F7" s="1203">
        <v>0</v>
      </c>
      <c r="G7" s="1204">
        <v>0</v>
      </c>
    </row>
    <row r="8" spans="1:13" ht="15">
      <c r="A8" s="1981"/>
      <c r="B8" s="1979" t="s">
        <v>546</v>
      </c>
      <c r="C8" s="1980"/>
      <c r="D8" s="1202">
        <v>0</v>
      </c>
      <c r="E8" s="1203">
        <v>0</v>
      </c>
      <c r="F8" s="1203">
        <v>0</v>
      </c>
      <c r="G8" s="1204">
        <v>0</v>
      </c>
    </row>
    <row r="9" spans="1:13" ht="15">
      <c r="A9" s="1981"/>
      <c r="B9" s="1979" t="s">
        <v>547</v>
      </c>
      <c r="C9" s="1980"/>
      <c r="D9" s="1202">
        <v>0</v>
      </c>
      <c r="E9" s="1203">
        <v>0</v>
      </c>
      <c r="F9" s="1203">
        <v>0</v>
      </c>
      <c r="G9" s="1204">
        <v>0</v>
      </c>
    </row>
    <row r="10" spans="1:13" ht="15">
      <c r="A10" s="1981"/>
      <c r="B10" s="1983" t="s">
        <v>548</v>
      </c>
      <c r="C10" s="1984"/>
      <c r="D10" s="1202">
        <v>0</v>
      </c>
      <c r="E10" s="1203">
        <v>0</v>
      </c>
      <c r="F10" s="1203">
        <v>0</v>
      </c>
      <c r="G10" s="1204">
        <v>0</v>
      </c>
    </row>
    <row r="11" spans="1:13" ht="15">
      <c r="A11" s="1981"/>
      <c r="B11" s="1983" t="s">
        <v>549</v>
      </c>
      <c r="C11" s="1984"/>
      <c r="D11" s="1202">
        <v>0</v>
      </c>
      <c r="E11" s="1203">
        <v>0</v>
      </c>
      <c r="F11" s="1203">
        <v>0</v>
      </c>
      <c r="G11" s="1204">
        <v>0</v>
      </c>
    </row>
    <row r="12" spans="1:13" ht="15">
      <c r="A12" s="1981"/>
      <c r="B12" s="1983" t="s">
        <v>550</v>
      </c>
      <c r="C12" s="1984"/>
      <c r="D12" s="1202">
        <v>0</v>
      </c>
      <c r="E12" s="1203">
        <v>0</v>
      </c>
      <c r="F12" s="1203">
        <v>0</v>
      </c>
      <c r="G12" s="1204">
        <v>0</v>
      </c>
    </row>
    <row r="13" spans="1:13" ht="15">
      <c r="A13" s="1981"/>
      <c r="B13" s="1983" t="s">
        <v>551</v>
      </c>
      <c r="C13" s="1984"/>
      <c r="D13" s="1202">
        <v>0</v>
      </c>
      <c r="E13" s="1203">
        <v>0</v>
      </c>
      <c r="F13" s="1203">
        <v>0</v>
      </c>
      <c r="G13" s="1204">
        <v>0</v>
      </c>
    </row>
    <row r="14" spans="1:13" ht="15">
      <c r="A14" s="1982"/>
      <c r="B14" s="1983" t="s">
        <v>552</v>
      </c>
      <c r="C14" s="1984"/>
      <c r="D14" s="1205">
        <v>0</v>
      </c>
      <c r="E14" s="1206">
        <v>0</v>
      </c>
      <c r="F14" s="1206">
        <v>0</v>
      </c>
      <c r="G14" s="1207">
        <v>0</v>
      </c>
    </row>
    <row r="15" spans="1:13" ht="15">
      <c r="A15" s="1985" t="s">
        <v>131</v>
      </c>
      <c r="B15" s="1975" t="s">
        <v>553</v>
      </c>
      <c r="C15" s="1976"/>
      <c r="D15" s="1208">
        <v>0</v>
      </c>
      <c r="E15" s="1208">
        <v>0</v>
      </c>
      <c r="F15" s="1209">
        <v>69</v>
      </c>
      <c r="G15" s="1210">
        <v>80</v>
      </c>
    </row>
    <row r="16" spans="1:13" ht="15">
      <c r="A16" s="1985"/>
      <c r="B16" s="1975" t="s">
        <v>554</v>
      </c>
      <c r="C16" s="1976"/>
      <c r="D16" s="1211">
        <v>5</v>
      </c>
      <c r="E16" s="1208">
        <v>12</v>
      </c>
      <c r="F16" s="1208">
        <v>264</v>
      </c>
      <c r="G16" s="1210">
        <v>269</v>
      </c>
    </row>
    <row r="17" spans="1:15" ht="15">
      <c r="A17" s="1985"/>
      <c r="B17" s="1975" t="s">
        <v>555</v>
      </c>
      <c r="C17" s="1976"/>
      <c r="D17" s="1208">
        <v>0</v>
      </c>
      <c r="E17" s="1209">
        <v>0</v>
      </c>
      <c r="F17" s="1209">
        <v>0</v>
      </c>
      <c r="G17" s="1212">
        <v>0</v>
      </c>
    </row>
    <row r="18" spans="1:15" ht="15">
      <c r="A18" s="1985"/>
      <c r="B18" s="1975" t="s">
        <v>556</v>
      </c>
      <c r="C18" s="1976"/>
      <c r="D18" s="1211">
        <v>1</v>
      </c>
      <c r="E18" s="1211">
        <v>2</v>
      </c>
      <c r="F18" s="1213">
        <v>42</v>
      </c>
      <c r="G18" s="1212">
        <v>43</v>
      </c>
    </row>
    <row r="19" spans="1:15" ht="15">
      <c r="A19" s="1985"/>
      <c r="B19" s="1973" t="s">
        <v>557</v>
      </c>
      <c r="C19" s="1974"/>
      <c r="D19" s="1214">
        <v>0</v>
      </c>
      <c r="E19" s="1215">
        <v>0</v>
      </c>
      <c r="F19" s="1215">
        <v>0</v>
      </c>
      <c r="G19" s="1216">
        <v>0</v>
      </c>
    </row>
    <row r="20" spans="1:15">
      <c r="I20" s="950" t="s">
        <v>114</v>
      </c>
      <c r="J20" s="1968" t="s">
        <v>115</v>
      </c>
      <c r="K20" s="1968"/>
      <c r="L20" s="950" t="s">
        <v>116</v>
      </c>
      <c r="M20" s="950" t="s">
        <v>117</v>
      </c>
      <c r="N20" s="950" t="s">
        <v>118</v>
      </c>
      <c r="O20" s="950" t="s">
        <v>119</v>
      </c>
    </row>
    <row r="22" spans="1:15" ht="46.2" customHeight="1">
      <c r="A22" s="1827" t="s">
        <v>558</v>
      </c>
      <c r="B22" s="1828"/>
      <c r="C22" s="1828"/>
      <c r="D22" s="1828"/>
      <c r="E22" s="1828"/>
      <c r="F22" s="1828"/>
      <c r="G22" s="1828"/>
      <c r="I22" s="46" t="s">
        <v>406</v>
      </c>
      <c r="J22" s="806">
        <f>AVERAGE(E24:E98)</f>
        <v>0.88182002022244677</v>
      </c>
    </row>
    <row r="23" spans="1:15" ht="43.2" customHeight="1">
      <c r="A23" s="42" t="s">
        <v>408</v>
      </c>
      <c r="B23" s="42" t="s">
        <v>409</v>
      </c>
      <c r="C23" s="42" t="s">
        <v>410</v>
      </c>
      <c r="D23" s="42" t="s">
        <v>411</v>
      </c>
      <c r="E23" s="42" t="s">
        <v>559</v>
      </c>
      <c r="F23" s="42" t="s">
        <v>412</v>
      </c>
      <c r="G23" s="42" t="s">
        <v>413</v>
      </c>
      <c r="I23" s="46" t="s">
        <v>414</v>
      </c>
      <c r="J23" s="807">
        <f>HSE!AE6</f>
        <v>0.88</v>
      </c>
    </row>
    <row r="24" spans="1:15" hidden="1">
      <c r="A24" s="808" t="s">
        <v>416</v>
      </c>
      <c r="B24" s="799"/>
      <c r="C24" s="799"/>
      <c r="D24" s="801"/>
      <c r="E24" s="802"/>
      <c r="F24" s="799"/>
      <c r="G24" s="803"/>
    </row>
    <row r="25" spans="1:15" hidden="1">
      <c r="A25" s="805" t="s">
        <v>417</v>
      </c>
      <c r="B25" s="800"/>
      <c r="C25" s="800"/>
      <c r="D25" s="795"/>
      <c r="E25" s="804"/>
      <c r="F25" s="795"/>
      <c r="G25" s="796"/>
    </row>
    <row r="26" spans="1:15" hidden="1">
      <c r="A26" s="805" t="s">
        <v>418</v>
      </c>
      <c r="B26" s="800"/>
      <c r="C26" s="800"/>
      <c r="D26" s="795"/>
      <c r="E26" s="804"/>
      <c r="F26" s="795"/>
      <c r="G26" s="796"/>
    </row>
    <row r="27" spans="1:15" hidden="1">
      <c r="A27" s="805" t="s">
        <v>419</v>
      </c>
      <c r="B27" s="800"/>
      <c r="C27" s="800"/>
      <c r="D27" s="795"/>
      <c r="E27" s="804"/>
      <c r="F27" s="795"/>
      <c r="G27" s="796"/>
    </row>
    <row r="28" spans="1:15">
      <c r="A28" s="669" t="s">
        <v>420</v>
      </c>
      <c r="B28" s="670">
        <v>46014</v>
      </c>
      <c r="C28" s="670">
        <f t="shared" ref="C28" si="0">+B28-3</f>
        <v>46011</v>
      </c>
      <c r="D28" s="665">
        <v>5</v>
      </c>
      <c r="E28" s="784">
        <v>0.91304347826086951</v>
      </c>
      <c r="F28" s="670">
        <f t="shared" ref="F28" si="1">+C28+2</f>
        <v>46013</v>
      </c>
      <c r="G28" s="666">
        <f t="shared" ref="G28" si="2">F28-C28</f>
        <v>2</v>
      </c>
    </row>
    <row r="29" spans="1:15">
      <c r="A29" s="669" t="s">
        <v>421</v>
      </c>
      <c r="B29" s="670">
        <v>46021</v>
      </c>
      <c r="C29" s="670">
        <f t="shared" ref="C29" si="3">+B29-3</f>
        <v>46018</v>
      </c>
      <c r="D29" s="665">
        <v>3</v>
      </c>
      <c r="E29" s="784">
        <v>0.90217391304347827</v>
      </c>
      <c r="F29" s="670">
        <f t="shared" ref="F29" si="4">+C29+2</f>
        <v>46020</v>
      </c>
      <c r="G29" s="666">
        <f t="shared" ref="G29" si="5">F29-C29</f>
        <v>2</v>
      </c>
    </row>
    <row r="30" spans="1:15">
      <c r="A30" s="669" t="s">
        <v>422</v>
      </c>
      <c r="B30" s="670">
        <v>46028</v>
      </c>
      <c r="C30" s="670">
        <f t="shared" ref="C30" si="6">+B30-3</f>
        <v>46025</v>
      </c>
      <c r="D30" s="665">
        <v>3</v>
      </c>
      <c r="E30" s="784">
        <v>0.91304347826086951</v>
      </c>
      <c r="F30" s="670">
        <f t="shared" ref="F30" si="7">+C30+2</f>
        <v>46027</v>
      </c>
      <c r="G30" s="666">
        <f t="shared" ref="G30" si="8">F30-C30</f>
        <v>2</v>
      </c>
    </row>
    <row r="31" spans="1:15">
      <c r="A31" s="669" t="s">
        <v>423</v>
      </c>
      <c r="B31" s="670">
        <v>46035</v>
      </c>
      <c r="C31" s="670">
        <f t="shared" ref="C31" si="9">+B31-3</f>
        <v>46032</v>
      </c>
      <c r="D31" s="665">
        <v>3</v>
      </c>
      <c r="E31" s="784">
        <v>0.91</v>
      </c>
      <c r="F31" s="670">
        <f t="shared" ref="F31" si="10">+C31+2</f>
        <v>46034</v>
      </c>
      <c r="G31" s="666">
        <f t="shared" ref="G31" si="11">F31-C31</f>
        <v>2</v>
      </c>
    </row>
    <row r="32" spans="1:15">
      <c r="A32" s="669" t="s">
        <v>424</v>
      </c>
      <c r="B32" s="670">
        <v>46042</v>
      </c>
      <c r="C32" s="670">
        <f t="shared" ref="C32" si="12">+B32-3</f>
        <v>46039</v>
      </c>
      <c r="D32" s="665">
        <v>3</v>
      </c>
      <c r="E32" s="1088">
        <v>0.81</v>
      </c>
      <c r="F32" s="670">
        <f t="shared" ref="F32:F34" si="13">+C32+2</f>
        <v>46041</v>
      </c>
      <c r="G32" s="666">
        <f t="shared" ref="G32:G33" si="14">F32-C32</f>
        <v>2</v>
      </c>
    </row>
    <row r="33" spans="1:7">
      <c r="A33" s="669" t="s">
        <v>425</v>
      </c>
      <c r="B33" s="670">
        <v>46049</v>
      </c>
      <c r="C33" s="670">
        <f>+B33-3</f>
        <v>46046</v>
      </c>
      <c r="D33" s="665">
        <v>3</v>
      </c>
      <c r="E33" s="1088">
        <v>0.81</v>
      </c>
      <c r="F33" s="670">
        <f t="shared" si="13"/>
        <v>46048</v>
      </c>
      <c r="G33" s="666">
        <f t="shared" si="14"/>
        <v>2</v>
      </c>
    </row>
    <row r="34" spans="1:7">
      <c r="A34" s="669" t="s">
        <v>426</v>
      </c>
      <c r="B34" s="670">
        <v>46055</v>
      </c>
      <c r="C34" s="670">
        <f t="shared" ref="C34" si="15">+B34-3</f>
        <v>46052</v>
      </c>
      <c r="D34" s="665">
        <v>3</v>
      </c>
      <c r="E34" s="1088">
        <v>0.81</v>
      </c>
      <c r="F34" s="670">
        <f t="shared" si="13"/>
        <v>46054</v>
      </c>
      <c r="G34" s="666">
        <v>2</v>
      </c>
    </row>
    <row r="35" spans="1:7">
      <c r="A35" s="669" t="s">
        <v>427</v>
      </c>
      <c r="B35" s="670">
        <v>46063</v>
      </c>
      <c r="C35" s="670">
        <f t="shared" ref="C35" si="16">+B35-3</f>
        <v>46060</v>
      </c>
      <c r="D35" s="665">
        <v>3</v>
      </c>
      <c r="E35" s="1088">
        <v>0.81</v>
      </c>
      <c r="F35" s="670">
        <f t="shared" ref="F35" si="17">+C35+2</f>
        <v>46062</v>
      </c>
      <c r="G35" s="666">
        <v>2</v>
      </c>
    </row>
    <row r="36" spans="1:7">
      <c r="A36" s="669" t="s">
        <v>428</v>
      </c>
      <c r="B36" s="670">
        <v>46070</v>
      </c>
      <c r="C36" s="670">
        <f t="shared" ref="C36" si="18">+B36-3</f>
        <v>46067</v>
      </c>
      <c r="D36" s="665">
        <v>9</v>
      </c>
      <c r="E36" s="784">
        <f>+HSE!AE6</f>
        <v>0.88</v>
      </c>
      <c r="F36" s="670">
        <f t="shared" ref="F36:F37" si="19">+C36+2</f>
        <v>46069</v>
      </c>
      <c r="G36" s="666">
        <v>6</v>
      </c>
    </row>
    <row r="37" spans="1:7">
      <c r="A37" s="669" t="s">
        <v>429</v>
      </c>
      <c r="B37" s="670">
        <v>46077</v>
      </c>
      <c r="C37" s="670">
        <f t="shared" ref="C37" si="20">+B37-3</f>
        <v>46074</v>
      </c>
      <c r="D37" s="665">
        <v>5</v>
      </c>
      <c r="E37" s="1088">
        <v>0.88</v>
      </c>
      <c r="F37" s="670">
        <f t="shared" si="19"/>
        <v>46076</v>
      </c>
      <c r="G37" s="666">
        <v>5</v>
      </c>
    </row>
    <row r="38" spans="1:7">
      <c r="A38" s="669" t="s">
        <v>430</v>
      </c>
      <c r="B38" s="670">
        <v>46084</v>
      </c>
      <c r="C38" s="670">
        <f t="shared" ref="C38" si="21">+B38-3</f>
        <v>46081</v>
      </c>
      <c r="D38" s="665">
        <v>5</v>
      </c>
      <c r="E38" s="784">
        <v>0.88</v>
      </c>
      <c r="F38" s="670">
        <f t="shared" ref="F38" si="22">+C38+2</f>
        <v>46083</v>
      </c>
      <c r="G38" s="666">
        <v>5</v>
      </c>
    </row>
    <row r="39" spans="1:7">
      <c r="A39" s="669" t="s">
        <v>431</v>
      </c>
      <c r="B39" s="670">
        <v>46089</v>
      </c>
      <c r="C39" s="670">
        <v>46090</v>
      </c>
      <c r="D39" s="665">
        <v>6</v>
      </c>
      <c r="E39" s="784">
        <v>0.88</v>
      </c>
      <c r="F39" s="670">
        <v>46096</v>
      </c>
      <c r="G39" s="666">
        <v>6</v>
      </c>
    </row>
    <row r="40" spans="1:7">
      <c r="A40" s="669" t="s">
        <v>432</v>
      </c>
      <c r="B40" s="670">
        <v>46098</v>
      </c>
      <c r="C40" s="670">
        <f t="shared" ref="C40:C46" si="23">+B40-3</f>
        <v>46095</v>
      </c>
      <c r="D40" s="665">
        <v>6</v>
      </c>
      <c r="E40" s="784">
        <v>0.88</v>
      </c>
      <c r="F40" s="670">
        <f t="shared" ref="F40:F41" si="24">+C40+2</f>
        <v>46097</v>
      </c>
      <c r="G40" s="666">
        <v>6</v>
      </c>
    </row>
    <row r="41" spans="1:7">
      <c r="A41" s="669" t="s">
        <v>433</v>
      </c>
      <c r="B41" s="670">
        <v>46105</v>
      </c>
      <c r="C41" s="670">
        <f t="shared" si="23"/>
        <v>46102</v>
      </c>
      <c r="D41" s="665">
        <v>6</v>
      </c>
      <c r="E41" s="784">
        <v>0.9</v>
      </c>
      <c r="F41" s="670">
        <f t="shared" si="24"/>
        <v>46104</v>
      </c>
      <c r="G41" s="666">
        <v>0</v>
      </c>
    </row>
    <row r="42" spans="1:7">
      <c r="A42" s="669" t="s">
        <v>434</v>
      </c>
      <c r="B42" s="670">
        <v>46112</v>
      </c>
      <c r="C42" s="670">
        <f t="shared" si="23"/>
        <v>46109</v>
      </c>
      <c r="D42" s="665">
        <v>6</v>
      </c>
      <c r="E42" s="784">
        <v>0.88</v>
      </c>
      <c r="F42" s="670">
        <f t="shared" ref="F42" si="25">+C42+2</f>
        <v>46111</v>
      </c>
      <c r="G42" s="666">
        <v>6</v>
      </c>
    </row>
    <row r="43" spans="1:7">
      <c r="A43" s="669" t="s">
        <v>435</v>
      </c>
      <c r="B43" s="670">
        <v>46119</v>
      </c>
      <c r="C43" s="670">
        <f t="shared" si="23"/>
        <v>46116</v>
      </c>
      <c r="D43" s="665">
        <v>4</v>
      </c>
      <c r="E43" s="784">
        <v>0.88</v>
      </c>
      <c r="F43" s="670">
        <f t="shared" ref="F43" si="26">+C43+2</f>
        <v>46118</v>
      </c>
      <c r="G43" s="666">
        <v>1</v>
      </c>
    </row>
    <row r="44" spans="1:7">
      <c r="A44" s="669" t="s">
        <v>436</v>
      </c>
      <c r="B44" s="670">
        <v>46126</v>
      </c>
      <c r="C44" s="670">
        <f t="shared" si="23"/>
        <v>46123</v>
      </c>
      <c r="D44" s="665">
        <v>5</v>
      </c>
      <c r="E44" s="784">
        <v>0.88</v>
      </c>
      <c r="F44" s="670">
        <f t="shared" ref="F44" si="27">+C44+2</f>
        <v>46125</v>
      </c>
      <c r="G44" s="666">
        <v>5</v>
      </c>
    </row>
    <row r="45" spans="1:7">
      <c r="A45" s="669" t="s">
        <v>437</v>
      </c>
      <c r="B45" s="670">
        <v>46133</v>
      </c>
      <c r="C45" s="670">
        <f t="shared" si="23"/>
        <v>46130</v>
      </c>
      <c r="D45" s="665">
        <v>5</v>
      </c>
      <c r="E45" s="784">
        <v>0.88</v>
      </c>
      <c r="F45" s="670">
        <f t="shared" ref="F45:F46" si="28">+C45+2</f>
        <v>46132</v>
      </c>
      <c r="G45" s="666">
        <v>6</v>
      </c>
    </row>
    <row r="46" spans="1:7">
      <c r="A46" s="669" t="s">
        <v>438</v>
      </c>
      <c r="B46" s="670">
        <v>46140</v>
      </c>
      <c r="C46" s="670">
        <f t="shared" si="23"/>
        <v>46137</v>
      </c>
      <c r="D46" s="665">
        <v>6</v>
      </c>
      <c r="E46" s="784">
        <v>0.88</v>
      </c>
      <c r="F46" s="670">
        <f t="shared" si="28"/>
        <v>46139</v>
      </c>
      <c r="G46" s="666">
        <v>4</v>
      </c>
    </row>
    <row r="47" spans="1:7">
      <c r="A47" s="669" t="s">
        <v>439</v>
      </c>
      <c r="B47" s="670">
        <v>46147</v>
      </c>
      <c r="C47" s="670">
        <f t="shared" ref="C47" si="29">+B47-3</f>
        <v>46144</v>
      </c>
      <c r="D47" s="665">
        <v>5</v>
      </c>
      <c r="E47" s="784">
        <v>0.9</v>
      </c>
      <c r="F47" s="670">
        <f t="shared" ref="F47" si="30">+C47+2</f>
        <v>46146</v>
      </c>
      <c r="G47" s="666">
        <v>3</v>
      </c>
    </row>
    <row r="48" spans="1:7">
      <c r="A48" s="669" t="s">
        <v>440</v>
      </c>
      <c r="B48" s="670">
        <v>46154</v>
      </c>
      <c r="C48" s="670">
        <f t="shared" ref="C48" si="31">+B48-3</f>
        <v>46151</v>
      </c>
      <c r="D48" s="665">
        <v>5</v>
      </c>
      <c r="E48" s="784">
        <v>0.88</v>
      </c>
      <c r="F48" s="670">
        <f t="shared" ref="F48" si="32">+C48+2</f>
        <v>46153</v>
      </c>
      <c r="G48" s="666">
        <v>4</v>
      </c>
    </row>
    <row r="49" spans="1:7">
      <c r="A49" s="669" t="s">
        <v>441</v>
      </c>
      <c r="B49" s="670">
        <v>46161</v>
      </c>
      <c r="C49" s="670">
        <f t="shared" ref="C49" si="33">+B49-3</f>
        <v>46158</v>
      </c>
      <c r="D49" s="665">
        <v>3</v>
      </c>
      <c r="E49" s="784">
        <v>0.88</v>
      </c>
      <c r="F49" s="670">
        <f t="shared" ref="F49" si="34">+C49+2</f>
        <v>46160</v>
      </c>
      <c r="G49" s="666">
        <v>4</v>
      </c>
    </row>
    <row r="50" spans="1:7">
      <c r="A50" s="669" t="s">
        <v>442</v>
      </c>
      <c r="B50" s="670">
        <v>46168</v>
      </c>
      <c r="C50" s="670">
        <f t="shared" ref="C50" si="35">+B50-3</f>
        <v>46165</v>
      </c>
      <c r="D50" s="665">
        <v>5</v>
      </c>
      <c r="E50" s="784">
        <v>0.9</v>
      </c>
      <c r="F50" s="670">
        <f t="shared" ref="F50" si="36">+C50+2</f>
        <v>46167</v>
      </c>
      <c r="G50" s="666">
        <v>5</v>
      </c>
    </row>
    <row r="51" spans="1:7">
      <c r="A51" s="669" t="s">
        <v>443</v>
      </c>
      <c r="B51" s="670">
        <v>46175</v>
      </c>
      <c r="C51" s="670">
        <f t="shared" ref="C51" si="37">+B51-3</f>
        <v>46172</v>
      </c>
      <c r="D51" s="665">
        <v>0</v>
      </c>
      <c r="E51" s="784">
        <v>0.9</v>
      </c>
      <c r="F51" s="670">
        <f t="shared" ref="F51" si="38">+C51+2</f>
        <v>46174</v>
      </c>
      <c r="G51" s="666">
        <v>0</v>
      </c>
    </row>
    <row r="52" spans="1:7">
      <c r="A52" s="669" t="s">
        <v>444</v>
      </c>
      <c r="B52" s="670">
        <v>46182</v>
      </c>
      <c r="C52" s="670">
        <f t="shared" ref="C52" si="39">+B52-3</f>
        <v>46179</v>
      </c>
      <c r="D52" s="665">
        <v>6</v>
      </c>
      <c r="E52" s="1189">
        <v>0.88</v>
      </c>
      <c r="F52" s="1188">
        <v>46180</v>
      </c>
      <c r="G52" s="666">
        <v>4</v>
      </c>
    </row>
    <row r="53" spans="1:7">
      <c r="A53" s="669" t="s">
        <v>445</v>
      </c>
      <c r="B53" s="670">
        <v>46189</v>
      </c>
      <c r="C53" s="670">
        <f t="shared" ref="C53" si="40">+B53-3</f>
        <v>46186</v>
      </c>
      <c r="D53" s="665">
        <v>3</v>
      </c>
      <c r="E53" s="784">
        <v>0.9</v>
      </c>
      <c r="F53" s="670">
        <f t="shared" ref="F53" si="41">+C53+2</f>
        <v>46188</v>
      </c>
      <c r="G53" s="666">
        <v>5</v>
      </c>
    </row>
    <row r="54" spans="1:7">
      <c r="A54" s="669" t="s">
        <v>446</v>
      </c>
      <c r="B54" s="670">
        <v>46196</v>
      </c>
      <c r="C54" s="670">
        <f t="shared" ref="C54" si="42">+B54-3</f>
        <v>46193</v>
      </c>
      <c r="D54" s="665">
        <v>5</v>
      </c>
      <c r="E54" s="784">
        <v>0.88</v>
      </c>
      <c r="F54" s="670">
        <f t="shared" ref="F54" si="43">+C54+2</f>
        <v>46195</v>
      </c>
      <c r="G54" s="666">
        <v>5</v>
      </c>
    </row>
    <row r="55" spans="1:7">
      <c r="A55" s="669" t="s">
        <v>447</v>
      </c>
      <c r="B55" s="670">
        <v>46203</v>
      </c>
      <c r="C55" s="670">
        <f t="shared" ref="C55" si="44">+B55-3</f>
        <v>46200</v>
      </c>
      <c r="D55" s="665">
        <v>7</v>
      </c>
      <c r="E55" s="784">
        <v>0.88</v>
      </c>
      <c r="F55" s="670">
        <f t="shared" ref="F55" si="45">+C55+2</f>
        <v>46202</v>
      </c>
      <c r="G55" s="666">
        <v>4</v>
      </c>
    </row>
    <row r="56" spans="1:7">
      <c r="A56" s="669" t="s">
        <v>448</v>
      </c>
      <c r="B56" s="670">
        <v>46210</v>
      </c>
      <c r="C56" s="670">
        <f t="shared" ref="C56" si="46">+B56-3</f>
        <v>46207</v>
      </c>
      <c r="D56" s="665">
        <v>4</v>
      </c>
      <c r="E56" s="784">
        <v>0.9</v>
      </c>
      <c r="F56" s="670">
        <f t="shared" ref="F56" si="47">+C56+2</f>
        <v>46209</v>
      </c>
      <c r="G56" s="666">
        <v>3</v>
      </c>
    </row>
    <row r="57" spans="1:7">
      <c r="A57" s="669" t="s">
        <v>449</v>
      </c>
      <c r="B57" s="670">
        <v>46217</v>
      </c>
      <c r="C57" s="670">
        <f t="shared" ref="C57" si="48">+B57-3</f>
        <v>46214</v>
      </c>
      <c r="D57" s="665">
        <v>5</v>
      </c>
      <c r="E57" s="784">
        <v>0.9</v>
      </c>
      <c r="F57" s="670">
        <f t="shared" ref="F57" si="49">+C57+2</f>
        <v>46216</v>
      </c>
      <c r="G57" s="666">
        <v>6</v>
      </c>
    </row>
    <row r="58" spans="1:7">
      <c r="A58" s="669" t="s">
        <v>450</v>
      </c>
      <c r="B58" s="670">
        <v>46224</v>
      </c>
      <c r="C58" s="670">
        <f t="shared" ref="C58" si="50">+B58-3</f>
        <v>46221</v>
      </c>
      <c r="D58" s="665">
        <v>4</v>
      </c>
      <c r="E58" s="784">
        <v>0.9</v>
      </c>
      <c r="F58" s="670">
        <f t="shared" ref="F58" si="51">+C58+2</f>
        <v>46223</v>
      </c>
      <c r="G58" s="666">
        <v>4</v>
      </c>
    </row>
    <row r="59" spans="1:7">
      <c r="A59" s="669" t="s">
        <v>451</v>
      </c>
      <c r="B59" s="670">
        <v>46231</v>
      </c>
      <c r="C59" s="670">
        <f t="shared" ref="C59:C63" si="52">+B59-3</f>
        <v>46228</v>
      </c>
      <c r="D59" s="665">
        <v>5</v>
      </c>
      <c r="E59" s="784">
        <v>0.88</v>
      </c>
      <c r="F59" s="670">
        <f t="shared" ref="F59:F63" si="53">+C59+2</f>
        <v>46230</v>
      </c>
      <c r="G59" s="666">
        <v>5</v>
      </c>
    </row>
    <row r="60" spans="1:7">
      <c r="A60" s="669" t="s">
        <v>452</v>
      </c>
      <c r="B60" s="670">
        <v>46238</v>
      </c>
      <c r="C60" s="670">
        <f t="shared" si="52"/>
        <v>46235</v>
      </c>
      <c r="D60" s="665">
        <v>5</v>
      </c>
      <c r="E60" s="784">
        <v>0.88</v>
      </c>
      <c r="F60" s="670">
        <f t="shared" si="53"/>
        <v>46237</v>
      </c>
      <c r="G60" s="666">
        <v>5</v>
      </c>
    </row>
    <row r="61" spans="1:7">
      <c r="A61" s="669" t="s">
        <v>453</v>
      </c>
      <c r="B61" s="670">
        <v>46245</v>
      </c>
      <c r="C61" s="670">
        <f t="shared" si="52"/>
        <v>46242</v>
      </c>
      <c r="D61" s="665">
        <v>6</v>
      </c>
      <c r="E61" s="1218">
        <v>0.88</v>
      </c>
      <c r="F61" s="670">
        <f t="shared" si="53"/>
        <v>46244</v>
      </c>
      <c r="G61" s="666">
        <v>5</v>
      </c>
    </row>
    <row r="62" spans="1:7">
      <c r="A62" s="669" t="s">
        <v>454</v>
      </c>
      <c r="B62" s="670">
        <v>46252</v>
      </c>
      <c r="C62" s="670">
        <f t="shared" si="52"/>
        <v>46249</v>
      </c>
      <c r="D62" s="665">
        <v>6</v>
      </c>
      <c r="E62" s="1218">
        <v>0.88</v>
      </c>
      <c r="F62" s="670">
        <f t="shared" si="53"/>
        <v>46251</v>
      </c>
      <c r="G62" s="666">
        <v>5</v>
      </c>
    </row>
    <row r="63" spans="1:7">
      <c r="A63" s="669" t="s">
        <v>455</v>
      </c>
      <c r="B63" s="670">
        <v>46259</v>
      </c>
      <c r="C63" s="670">
        <f t="shared" si="52"/>
        <v>46256</v>
      </c>
      <c r="D63" s="665">
        <v>6</v>
      </c>
      <c r="E63" s="1218">
        <v>0.88</v>
      </c>
      <c r="F63" s="670">
        <f t="shared" si="53"/>
        <v>46258</v>
      </c>
      <c r="G63" s="666">
        <v>5</v>
      </c>
    </row>
    <row r="64" spans="1:7">
      <c r="A64" s="669" t="s">
        <v>456</v>
      </c>
      <c r="B64" s="1188">
        <v>46259</v>
      </c>
      <c r="C64" s="1188">
        <v>46260</v>
      </c>
      <c r="D64" s="665">
        <v>3</v>
      </c>
      <c r="E64" s="1226">
        <v>0.9</v>
      </c>
      <c r="F64" s="1188">
        <v>46264</v>
      </c>
      <c r="G64" s="666">
        <v>4</v>
      </c>
    </row>
    <row r="65" spans="1:7">
      <c r="A65" s="669" t="s">
        <v>457</v>
      </c>
      <c r="B65" s="670">
        <v>46273</v>
      </c>
      <c r="C65" s="670">
        <f t="shared" ref="C65" si="54">+B65-3</f>
        <v>46270</v>
      </c>
      <c r="D65" s="665">
        <v>4</v>
      </c>
      <c r="E65" s="784">
        <v>0.9</v>
      </c>
      <c r="F65" s="670">
        <f t="shared" ref="F65" si="55">+C65+2</f>
        <v>46272</v>
      </c>
      <c r="G65" s="666">
        <v>5</v>
      </c>
    </row>
    <row r="66" spans="1:7">
      <c r="A66" s="669" t="s">
        <v>458</v>
      </c>
      <c r="B66" s="670">
        <v>46280</v>
      </c>
      <c r="C66" s="670">
        <f t="shared" ref="C66" si="56">+B66-3</f>
        <v>46277</v>
      </c>
      <c r="D66" s="665">
        <v>6</v>
      </c>
      <c r="E66" s="784">
        <v>0.88</v>
      </c>
      <c r="F66" s="670">
        <f t="shared" ref="F66" si="57">+C66+2</f>
        <v>46279</v>
      </c>
      <c r="G66" s="666">
        <v>5</v>
      </c>
    </row>
    <row r="67" spans="1:7">
      <c r="A67" s="669" t="s">
        <v>459</v>
      </c>
      <c r="B67" s="670">
        <v>46287</v>
      </c>
      <c r="C67" s="670">
        <f t="shared" ref="C67" si="58">+B67-3</f>
        <v>46284</v>
      </c>
      <c r="D67" s="665">
        <v>5</v>
      </c>
      <c r="E67" s="784">
        <v>0.88</v>
      </c>
      <c r="F67" s="670">
        <f t="shared" ref="F67" si="59">+C67+2</f>
        <v>46286</v>
      </c>
      <c r="G67" s="666">
        <v>5</v>
      </c>
    </row>
    <row r="68" spans="1:7">
      <c r="A68" s="669" t="s">
        <v>460</v>
      </c>
      <c r="B68" s="670">
        <v>46294</v>
      </c>
      <c r="C68" s="670">
        <f t="shared" ref="C68" si="60">+B68-3</f>
        <v>46291</v>
      </c>
      <c r="D68" s="665">
        <v>5</v>
      </c>
      <c r="E68" s="784">
        <v>0.9</v>
      </c>
      <c r="F68" s="670">
        <f t="shared" ref="F68" si="61">+C68+2</f>
        <v>46293</v>
      </c>
      <c r="G68" s="666">
        <v>5</v>
      </c>
    </row>
    <row r="69" spans="1:7">
      <c r="A69" s="669" t="s">
        <v>461</v>
      </c>
      <c r="B69" s="670">
        <v>46301</v>
      </c>
      <c r="C69" s="670">
        <f t="shared" ref="C69" si="62">+B69-3</f>
        <v>46298</v>
      </c>
      <c r="D69" s="665">
        <v>5</v>
      </c>
      <c r="E69" s="784">
        <v>0.9</v>
      </c>
      <c r="F69" s="670">
        <f t="shared" ref="F69" si="63">+C69+2</f>
        <v>46300</v>
      </c>
      <c r="G69" s="666">
        <v>4</v>
      </c>
    </row>
    <row r="70" spans="1:7">
      <c r="A70" s="669" t="s">
        <v>462</v>
      </c>
      <c r="B70" s="670">
        <v>46308</v>
      </c>
      <c r="C70" s="670">
        <f t="shared" ref="C70" si="64">+B70-3</f>
        <v>46305</v>
      </c>
      <c r="D70" s="665">
        <v>5</v>
      </c>
      <c r="E70" s="784">
        <v>0.88</v>
      </c>
      <c r="F70" s="670">
        <f t="shared" ref="F70" si="65">+C70+2</f>
        <v>46307</v>
      </c>
      <c r="G70" s="666">
        <v>3</v>
      </c>
    </row>
    <row r="71" spans="1:7">
      <c r="A71" s="669" t="s">
        <v>463</v>
      </c>
      <c r="B71" s="670"/>
      <c r="C71" s="670"/>
      <c r="D71" s="665"/>
      <c r="E71" s="784"/>
      <c r="F71" s="670"/>
      <c r="G71" s="666"/>
    </row>
    <row r="72" spans="1:7">
      <c r="A72" s="669" t="s">
        <v>464</v>
      </c>
      <c r="B72" s="670"/>
      <c r="C72" s="670"/>
      <c r="D72" s="665"/>
      <c r="E72" s="784"/>
      <c r="F72" s="670"/>
      <c r="G72" s="666"/>
    </row>
    <row r="73" spans="1:7">
      <c r="A73" s="669" t="s">
        <v>465</v>
      </c>
      <c r="B73" s="670"/>
      <c r="C73" s="670"/>
      <c r="D73" s="665"/>
      <c r="E73" s="784"/>
      <c r="F73" s="670"/>
      <c r="G73" s="666"/>
    </row>
    <row r="74" spans="1:7">
      <c r="A74" s="669" t="s">
        <v>466</v>
      </c>
      <c r="B74" s="670"/>
      <c r="C74" s="670"/>
      <c r="D74" s="665"/>
      <c r="E74" s="784"/>
      <c r="F74" s="670"/>
      <c r="G74" s="666"/>
    </row>
    <row r="75" spans="1:7">
      <c r="A75" s="669" t="s">
        <v>467</v>
      </c>
      <c r="B75" s="670"/>
      <c r="C75" s="670"/>
      <c r="D75" s="665"/>
      <c r="E75" s="784"/>
      <c r="F75" s="670"/>
      <c r="G75" s="666"/>
    </row>
    <row r="76" spans="1:7">
      <c r="A76" s="669" t="s">
        <v>468</v>
      </c>
      <c r="B76" s="670"/>
      <c r="C76" s="670"/>
      <c r="D76" s="665"/>
      <c r="E76" s="784"/>
      <c r="F76" s="670"/>
      <c r="G76" s="666"/>
    </row>
    <row r="77" spans="1:7">
      <c r="A77" s="669" t="s">
        <v>469</v>
      </c>
      <c r="B77" s="670"/>
      <c r="C77" s="670"/>
      <c r="D77" s="665"/>
      <c r="E77" s="784"/>
      <c r="F77" s="670"/>
      <c r="G77" s="666"/>
    </row>
    <row r="78" spans="1:7">
      <c r="A78" s="669" t="s">
        <v>470</v>
      </c>
      <c r="B78" s="670"/>
      <c r="C78" s="670"/>
      <c r="D78" s="665"/>
      <c r="F78" s="670"/>
      <c r="G78" s="666"/>
    </row>
    <row r="79" spans="1:7">
      <c r="A79" s="669" t="s">
        <v>471</v>
      </c>
      <c r="B79" s="670"/>
      <c r="C79" s="670"/>
      <c r="D79" s="665"/>
      <c r="E79" s="784"/>
      <c r="F79" s="670"/>
      <c r="G79" s="666"/>
    </row>
    <row r="80" spans="1:7">
      <c r="A80" s="669" t="s">
        <v>472</v>
      </c>
      <c r="B80" s="670"/>
      <c r="C80" s="670"/>
      <c r="D80" s="665"/>
      <c r="E80" s="784"/>
      <c r="F80" s="670"/>
      <c r="G80" s="666"/>
    </row>
    <row r="81" spans="1:7">
      <c r="A81" s="669" t="s">
        <v>473</v>
      </c>
      <c r="B81" s="670"/>
      <c r="C81" s="670"/>
      <c r="D81" s="665"/>
      <c r="E81" s="784"/>
      <c r="F81" s="670"/>
      <c r="G81" s="666"/>
    </row>
    <row r="82" spans="1:7">
      <c r="A82" s="669" t="s">
        <v>474</v>
      </c>
      <c r="B82" s="670"/>
      <c r="C82" s="670"/>
      <c r="D82" s="665"/>
      <c r="E82" s="784"/>
      <c r="F82" s="670"/>
      <c r="G82" s="666"/>
    </row>
    <row r="83" spans="1:7">
      <c r="A83" s="669" t="s">
        <v>475</v>
      </c>
      <c r="B83" s="670"/>
      <c r="C83" s="670"/>
      <c r="D83" s="665"/>
      <c r="E83" s="784"/>
      <c r="F83" s="670"/>
      <c r="G83" s="666"/>
    </row>
    <row r="84" spans="1:7">
      <c r="A84" s="669" t="s">
        <v>476</v>
      </c>
      <c r="B84" s="670"/>
      <c r="C84" s="670"/>
      <c r="D84" s="665"/>
      <c r="E84" s="784"/>
      <c r="F84" s="670"/>
      <c r="G84" s="666"/>
    </row>
    <row r="85" spans="1:7">
      <c r="A85" s="669" t="s">
        <v>477</v>
      </c>
      <c r="B85" s="670"/>
      <c r="C85" s="670"/>
      <c r="D85" s="665"/>
      <c r="E85" s="784"/>
      <c r="F85" s="670"/>
      <c r="G85" s="666"/>
    </row>
    <row r="86" spans="1:7">
      <c r="A86" s="669" t="s">
        <v>478</v>
      </c>
      <c r="B86" s="670"/>
      <c r="C86" s="670"/>
      <c r="D86" s="665"/>
      <c r="E86" s="784"/>
      <c r="F86" s="670"/>
      <c r="G86" s="666"/>
    </row>
    <row r="87" spans="1:7">
      <c r="A87" s="669" t="s">
        <v>479</v>
      </c>
      <c r="B87" s="670"/>
      <c r="C87" s="670"/>
      <c r="D87" s="665"/>
      <c r="E87" s="784"/>
      <c r="F87" s="670"/>
      <c r="G87" s="666"/>
    </row>
    <row r="88" spans="1:7">
      <c r="A88" s="669" t="s">
        <v>480</v>
      </c>
      <c r="B88" s="670"/>
      <c r="C88" s="670"/>
      <c r="D88" s="665"/>
      <c r="E88" s="784"/>
      <c r="F88" s="670"/>
      <c r="G88" s="666"/>
    </row>
    <row r="89" spans="1:7">
      <c r="A89" s="669" t="s">
        <v>481</v>
      </c>
      <c r="B89" s="670"/>
      <c r="C89" s="670"/>
      <c r="D89" s="665"/>
      <c r="E89" s="784"/>
      <c r="F89" s="670"/>
      <c r="G89" s="666"/>
    </row>
    <row r="90" spans="1:7">
      <c r="A90" s="669" t="s">
        <v>482</v>
      </c>
      <c r="B90" s="670"/>
      <c r="C90" s="670"/>
      <c r="D90" s="665"/>
      <c r="E90" s="784"/>
      <c r="F90" s="670"/>
      <c r="G90" s="666"/>
    </row>
    <row r="91" spans="1:7">
      <c r="A91" s="669" t="s">
        <v>483</v>
      </c>
      <c r="B91" s="670"/>
      <c r="C91" s="670"/>
      <c r="D91" s="665"/>
      <c r="E91" s="784"/>
      <c r="F91" s="670"/>
      <c r="G91" s="666"/>
    </row>
    <row r="92" spans="1:7">
      <c r="A92" s="669" t="s">
        <v>484</v>
      </c>
      <c r="B92" s="670"/>
      <c r="C92" s="670"/>
      <c r="D92" s="665"/>
      <c r="E92" s="784"/>
      <c r="F92" s="670"/>
      <c r="G92" s="666"/>
    </row>
    <row r="93" spans="1:7">
      <c r="A93" s="669" t="s">
        <v>485</v>
      </c>
      <c r="B93" s="670"/>
      <c r="C93" s="670"/>
      <c r="D93" s="665"/>
      <c r="E93" s="784"/>
      <c r="F93" s="670"/>
      <c r="G93" s="666"/>
    </row>
    <row r="94" spans="1:7">
      <c r="A94" s="669" t="s">
        <v>486</v>
      </c>
      <c r="B94" s="670"/>
      <c r="C94" s="670"/>
      <c r="D94" s="665"/>
      <c r="E94" s="784"/>
      <c r="F94" s="670"/>
      <c r="G94" s="666"/>
    </row>
    <row r="95" spans="1:7">
      <c r="A95" s="669" t="s">
        <v>487</v>
      </c>
      <c r="B95" s="670"/>
      <c r="C95" s="670"/>
      <c r="D95" s="665"/>
      <c r="E95" s="784"/>
      <c r="F95" s="670"/>
      <c r="G95" s="666"/>
    </row>
    <row r="96" spans="1:7">
      <c r="A96" s="669" t="s">
        <v>488</v>
      </c>
      <c r="B96" s="670"/>
      <c r="C96" s="670"/>
      <c r="D96" s="665"/>
      <c r="E96" s="784"/>
      <c r="F96" s="670"/>
      <c r="G96" s="666"/>
    </row>
    <row r="97" spans="1:7">
      <c r="A97" s="669" t="s">
        <v>489</v>
      </c>
      <c r="B97" s="670"/>
      <c r="C97" s="670"/>
      <c r="D97" s="665"/>
      <c r="E97" s="784"/>
      <c r="F97" s="670"/>
      <c r="G97" s="666"/>
    </row>
    <row r="98" spans="1:7">
      <c r="A98" s="671" t="s">
        <v>490</v>
      </c>
      <c r="B98" s="809"/>
      <c r="C98" s="809"/>
      <c r="D98" s="667"/>
      <c r="E98" s="785"/>
      <c r="F98" s="667"/>
      <c r="G98" s="668"/>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dataValidations disablePrompts="1" count="1">
    <dataValidation allowBlank="1" showInputMessage="1" showErrorMessage="1" prompt="Medical Treatment Cases (Healed without Disabilities)" sqref="B7:C8" xr:uid="{3FB4FDC5-71CC-45CE-B4C0-50504332F485}"/>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21CB-0FAB-4D42-86D6-D1A81D114A3F}">
  <dimension ref="A1:AA250"/>
  <sheetViews>
    <sheetView zoomScale="90" zoomScaleNormal="90" workbookViewId="0">
      <pane xSplit="4" ySplit="4" topLeftCell="V8" activePane="bottomRight" state="frozen"/>
      <selection pane="topRight"/>
      <selection pane="bottomLeft"/>
      <selection pane="bottomRight" activeCell="A4" sqref="A4:AA11"/>
    </sheetView>
  </sheetViews>
  <sheetFormatPr defaultColWidth="8.6640625" defaultRowHeight="14.4"/>
  <cols>
    <col min="1" max="1" width="9" style="1268" customWidth="1"/>
    <col min="2" max="2" width="17.88671875" style="1268" customWidth="1"/>
    <col min="3" max="3" width="24" style="1268" customWidth="1"/>
    <col min="4" max="4" width="29.88671875" style="1268" customWidth="1"/>
    <col min="5" max="5" width="8" style="1268" customWidth="1"/>
    <col min="6" max="6" width="9.33203125" style="1268" customWidth="1"/>
    <col min="7" max="7" width="14.33203125" style="1268" customWidth="1"/>
    <col min="8" max="8" width="11" style="1268" customWidth="1"/>
    <col min="9" max="9" width="18" style="1268" customWidth="1"/>
    <col min="10" max="10" width="24" style="1268" customWidth="1"/>
    <col min="11" max="11" width="15.44140625" style="1268" customWidth="1"/>
    <col min="12" max="12" width="14" style="1268" customWidth="1"/>
    <col min="13" max="13" width="16" style="1268" customWidth="1"/>
    <col min="14" max="14" width="30" style="1268" customWidth="1"/>
    <col min="15" max="15" width="61.5546875" style="1268" customWidth="1"/>
    <col min="16" max="16" width="48.6640625" style="1268" customWidth="1"/>
    <col min="17" max="17" width="16.6640625" style="1268" customWidth="1"/>
    <col min="18" max="18" width="13.109375" style="1268" customWidth="1"/>
    <col min="19" max="19" width="8.109375" style="1268" customWidth="1"/>
    <col min="20" max="20" width="10" style="1268" customWidth="1"/>
    <col min="21" max="21" width="61.6640625" style="1268" customWidth="1"/>
    <col min="22" max="22" width="26.109375" style="1268" customWidth="1"/>
    <col min="23" max="23" width="15.88671875" style="1268" customWidth="1"/>
    <col min="24" max="24" width="12" style="1268" customWidth="1"/>
    <col min="25" max="25" width="13.33203125" style="1268" customWidth="1"/>
    <col min="26" max="26" width="30" style="1268" customWidth="1"/>
    <col min="27" max="27" width="11" style="1268" customWidth="1"/>
    <col min="28" max="16384" width="8.6640625" style="1268"/>
  </cols>
  <sheetData>
    <row r="1" spans="1:27" ht="21">
      <c r="A1" s="1986" t="s">
        <v>1283</v>
      </c>
      <c r="B1" s="1986"/>
      <c r="C1" s="1986"/>
      <c r="D1" s="1986"/>
      <c r="E1" s="1986"/>
      <c r="F1" s="1986"/>
      <c r="G1" s="1986"/>
      <c r="H1" s="1986"/>
    </row>
    <row r="2" spans="1:27">
      <c r="A2" s="1987"/>
      <c r="B2" s="1987"/>
      <c r="C2" s="1987"/>
      <c r="D2" s="1987"/>
      <c r="E2" s="1987"/>
      <c r="F2" s="1987"/>
      <c r="G2" s="1987"/>
      <c r="H2" s="1987"/>
    </row>
    <row r="4" spans="1:27" ht="31.5" customHeight="1">
      <c r="A4" s="1269" t="s">
        <v>570</v>
      </c>
      <c r="B4" s="1270" t="s">
        <v>1284</v>
      </c>
      <c r="C4" s="1270" t="s">
        <v>1285</v>
      </c>
      <c r="D4" s="1270" t="s">
        <v>30</v>
      </c>
      <c r="E4" s="1270" t="s">
        <v>572</v>
      </c>
      <c r="F4" s="1270" t="s">
        <v>571</v>
      </c>
      <c r="G4" s="1270" t="s">
        <v>1286</v>
      </c>
      <c r="H4" s="1270" t="s">
        <v>783</v>
      </c>
      <c r="I4" s="1270" t="s">
        <v>1287</v>
      </c>
      <c r="J4" s="1270" t="s">
        <v>1288</v>
      </c>
      <c r="K4" s="1270" t="s">
        <v>220</v>
      </c>
      <c r="L4" s="1270" t="s">
        <v>1289</v>
      </c>
      <c r="M4" s="1270" t="s">
        <v>114</v>
      </c>
      <c r="N4" s="1270" t="s">
        <v>1290</v>
      </c>
      <c r="O4" s="1270" t="s">
        <v>1291</v>
      </c>
      <c r="P4" s="1270" t="s">
        <v>1292</v>
      </c>
      <c r="Q4" s="1270" t="s">
        <v>1293</v>
      </c>
      <c r="R4" s="1270" t="s">
        <v>1294</v>
      </c>
      <c r="S4" s="1270" t="s">
        <v>317</v>
      </c>
      <c r="T4" s="1270" t="s">
        <v>1295</v>
      </c>
      <c r="U4" s="1270" t="s">
        <v>1296</v>
      </c>
      <c r="V4" s="1270" t="s">
        <v>1297</v>
      </c>
      <c r="W4" s="1270" t="s">
        <v>215</v>
      </c>
      <c r="X4" s="1270" t="s">
        <v>50</v>
      </c>
      <c r="Y4" s="1270" t="s">
        <v>1298</v>
      </c>
      <c r="Z4" s="1270" t="s">
        <v>1299</v>
      </c>
      <c r="AA4" s="1271" t="s">
        <v>1300</v>
      </c>
    </row>
    <row r="5" spans="1:27" ht="78.75" customHeight="1">
      <c r="A5" s="1272">
        <v>1</v>
      </c>
      <c r="B5" s="1273"/>
      <c r="C5" s="1273" t="s">
        <v>836</v>
      </c>
      <c r="D5" s="1273" t="s">
        <v>1301</v>
      </c>
      <c r="E5" s="1273" t="s">
        <v>835</v>
      </c>
      <c r="F5" s="1273" t="s">
        <v>834</v>
      </c>
      <c r="G5" s="1273"/>
      <c r="H5" s="1273"/>
      <c r="I5" s="1273" t="s">
        <v>1302</v>
      </c>
      <c r="J5" s="1273" t="s">
        <v>1303</v>
      </c>
      <c r="K5" s="1273" t="s">
        <v>1304</v>
      </c>
      <c r="L5" s="1274">
        <v>65900000</v>
      </c>
      <c r="M5" s="1273" t="s">
        <v>1305</v>
      </c>
      <c r="N5" s="1273" t="s">
        <v>1306</v>
      </c>
      <c r="O5" s="1273" t="s">
        <v>1307</v>
      </c>
      <c r="P5" s="1273" t="s">
        <v>1308</v>
      </c>
      <c r="Q5" s="1273" t="s">
        <v>1309</v>
      </c>
      <c r="R5" s="1273" t="s">
        <v>1309</v>
      </c>
      <c r="S5" s="1273">
        <v>16</v>
      </c>
      <c r="T5" s="1273" t="s">
        <v>576</v>
      </c>
      <c r="U5" s="1273" t="s">
        <v>1310</v>
      </c>
      <c r="V5" s="1275">
        <v>46283</v>
      </c>
      <c r="W5" s="1273" t="s">
        <v>111</v>
      </c>
      <c r="X5" s="1275">
        <v>46285</v>
      </c>
      <c r="Y5" s="1273" t="s">
        <v>1311</v>
      </c>
      <c r="Z5" s="1276" t="s">
        <v>1312</v>
      </c>
      <c r="AA5" s="1277"/>
    </row>
    <row r="6" spans="1:27" ht="72" customHeight="1">
      <c r="A6" s="1272">
        <v>2</v>
      </c>
      <c r="B6" s="1273"/>
      <c r="C6" s="1273" t="s">
        <v>836</v>
      </c>
      <c r="D6" s="1273" t="s">
        <v>1301</v>
      </c>
      <c r="E6" s="1273" t="s">
        <v>835</v>
      </c>
      <c r="F6" s="1273" t="s">
        <v>834</v>
      </c>
      <c r="G6" s="1273"/>
      <c r="H6" s="1273"/>
      <c r="I6" s="1273" t="s">
        <v>1302</v>
      </c>
      <c r="J6" s="1273" t="s">
        <v>1303</v>
      </c>
      <c r="K6" s="1273" t="s">
        <v>1304</v>
      </c>
      <c r="L6" s="1274">
        <v>65900000</v>
      </c>
      <c r="M6" s="1273" t="s">
        <v>1313</v>
      </c>
      <c r="N6" s="1273" t="s">
        <v>1314</v>
      </c>
      <c r="O6" s="1273" t="s">
        <v>1315</v>
      </c>
      <c r="P6" s="1273" t="s">
        <v>1316</v>
      </c>
      <c r="Q6" s="1273" t="s">
        <v>1309</v>
      </c>
      <c r="R6" s="1273" t="s">
        <v>1309</v>
      </c>
      <c r="S6" s="1273">
        <v>16</v>
      </c>
      <c r="T6" s="1273" t="s">
        <v>576</v>
      </c>
      <c r="U6" s="1273" t="s">
        <v>1317</v>
      </c>
      <c r="V6" s="1275">
        <v>46044</v>
      </c>
      <c r="W6" s="1273" t="s">
        <v>111</v>
      </c>
      <c r="X6" s="1275">
        <v>46051</v>
      </c>
      <c r="Y6" s="1273" t="s">
        <v>1318</v>
      </c>
      <c r="Z6" s="1276" t="s">
        <v>1319</v>
      </c>
      <c r="AA6" s="1277"/>
    </row>
    <row r="7" spans="1:27" ht="65.25" customHeight="1">
      <c r="A7" s="1272">
        <v>3</v>
      </c>
      <c r="B7" s="1273"/>
      <c r="C7" s="1273" t="s">
        <v>836</v>
      </c>
      <c r="D7" s="1273" t="s">
        <v>1301</v>
      </c>
      <c r="E7" s="1273" t="s">
        <v>835</v>
      </c>
      <c r="F7" s="1273" t="s">
        <v>834</v>
      </c>
      <c r="G7" s="1273"/>
      <c r="H7" s="1273"/>
      <c r="I7" s="1273" t="s">
        <v>1302</v>
      </c>
      <c r="J7" s="1273" t="s">
        <v>1303</v>
      </c>
      <c r="K7" s="1273" t="s">
        <v>1304</v>
      </c>
      <c r="L7" s="1274">
        <v>65900000</v>
      </c>
      <c r="M7" s="1273" t="s">
        <v>1320</v>
      </c>
      <c r="N7" s="1273" t="s">
        <v>1321</v>
      </c>
      <c r="O7" s="1273" t="s">
        <v>1322</v>
      </c>
      <c r="P7" s="1273" t="s">
        <v>1323</v>
      </c>
      <c r="Q7" s="1273" t="s">
        <v>1309</v>
      </c>
      <c r="R7" s="1273" t="s">
        <v>1309</v>
      </c>
      <c r="S7" s="1273">
        <v>16</v>
      </c>
      <c r="T7" s="1273" t="s">
        <v>576</v>
      </c>
      <c r="U7" s="1273" t="s">
        <v>1324</v>
      </c>
      <c r="V7" s="1275">
        <v>46002</v>
      </c>
      <c r="W7" s="1278" t="s">
        <v>111</v>
      </c>
      <c r="X7" s="1275">
        <v>46009</v>
      </c>
      <c r="Y7" s="1273" t="s">
        <v>1325</v>
      </c>
      <c r="Z7" s="1276" t="s">
        <v>1326</v>
      </c>
      <c r="AA7" s="1277"/>
    </row>
    <row r="8" spans="1:27" ht="69.75" customHeight="1">
      <c r="A8" s="1272">
        <v>4</v>
      </c>
      <c r="B8" s="1273"/>
      <c r="C8" s="1273" t="s">
        <v>836</v>
      </c>
      <c r="D8" s="1273" t="s">
        <v>1301</v>
      </c>
      <c r="E8" s="1273" t="s">
        <v>835</v>
      </c>
      <c r="F8" s="1273" t="s">
        <v>834</v>
      </c>
      <c r="G8" s="1273"/>
      <c r="H8" s="1273"/>
      <c r="I8" s="1273" t="s">
        <v>1302</v>
      </c>
      <c r="J8" s="1273" t="s">
        <v>1303</v>
      </c>
      <c r="K8" s="1273" t="s">
        <v>1304</v>
      </c>
      <c r="L8" s="1274">
        <v>65900000</v>
      </c>
      <c r="M8" s="1273" t="s">
        <v>1320</v>
      </c>
      <c r="N8" s="1273" t="s">
        <v>1327</v>
      </c>
      <c r="O8" s="1273" t="s">
        <v>1328</v>
      </c>
      <c r="P8" s="1273" t="s">
        <v>1329</v>
      </c>
      <c r="Q8" s="1273">
        <v>4</v>
      </c>
      <c r="R8" s="1273">
        <v>4</v>
      </c>
      <c r="S8" s="1273">
        <v>16</v>
      </c>
      <c r="T8" s="1273" t="s">
        <v>576</v>
      </c>
      <c r="U8" s="1273" t="s">
        <v>1277</v>
      </c>
      <c r="V8" s="1275" t="s">
        <v>1330</v>
      </c>
      <c r="W8" s="1278" t="s">
        <v>111</v>
      </c>
      <c r="X8" s="1275">
        <v>46058</v>
      </c>
      <c r="Y8" s="1273" t="s">
        <v>1280</v>
      </c>
      <c r="Z8" s="1276" t="s">
        <v>1331</v>
      </c>
      <c r="AA8" s="1277"/>
    </row>
    <row r="9" spans="1:27" ht="89.25" customHeight="1">
      <c r="A9" s="1272">
        <v>5</v>
      </c>
      <c r="B9" s="1273"/>
      <c r="C9" s="1273" t="s">
        <v>836</v>
      </c>
      <c r="D9" s="1273" t="s">
        <v>1301</v>
      </c>
      <c r="E9" s="1273" t="s">
        <v>835</v>
      </c>
      <c r="F9" s="1273" t="s">
        <v>834</v>
      </c>
      <c r="G9" s="1273"/>
      <c r="H9" s="1273"/>
      <c r="I9" s="1273" t="s">
        <v>1302</v>
      </c>
      <c r="J9" s="1273" t="s">
        <v>1303</v>
      </c>
      <c r="K9" s="1273" t="s">
        <v>1304</v>
      </c>
      <c r="L9" s="1274">
        <v>65900000</v>
      </c>
      <c r="M9" s="1273" t="s">
        <v>1320</v>
      </c>
      <c r="N9" s="1279" t="s">
        <v>1332</v>
      </c>
      <c r="O9" s="1280" t="s">
        <v>1333</v>
      </c>
      <c r="P9" s="1273" t="s">
        <v>1334</v>
      </c>
      <c r="Q9" s="1273">
        <v>5</v>
      </c>
      <c r="R9" s="1273">
        <v>4</v>
      </c>
      <c r="S9" s="1273">
        <v>20</v>
      </c>
      <c r="T9" s="1273" t="s">
        <v>576</v>
      </c>
      <c r="U9" s="1273" t="s">
        <v>1278</v>
      </c>
      <c r="V9" s="1275">
        <v>46242</v>
      </c>
      <c r="W9" s="1278" t="s">
        <v>111</v>
      </c>
      <c r="X9" s="1275" t="s">
        <v>1335</v>
      </c>
      <c r="Y9" s="1273" t="s">
        <v>1281</v>
      </c>
      <c r="Z9" s="1276" t="s">
        <v>1336</v>
      </c>
      <c r="AA9" s="1277"/>
    </row>
    <row r="10" spans="1:27" ht="43.5" customHeight="1">
      <c r="A10" s="1272">
        <v>6</v>
      </c>
      <c r="B10" s="1273"/>
      <c r="C10" s="1273" t="s">
        <v>836</v>
      </c>
      <c r="D10" s="1273" t="s">
        <v>1301</v>
      </c>
      <c r="E10" s="1273" t="s">
        <v>835</v>
      </c>
      <c r="F10" s="1273" t="s">
        <v>834</v>
      </c>
      <c r="G10" s="1273"/>
      <c r="H10" s="1273"/>
      <c r="I10" s="1273" t="s">
        <v>1302</v>
      </c>
      <c r="J10" s="1273" t="s">
        <v>1303</v>
      </c>
      <c r="K10" s="1273" t="s">
        <v>1304</v>
      </c>
      <c r="L10" s="1274">
        <v>65900000</v>
      </c>
      <c r="M10" s="1273" t="s">
        <v>1320</v>
      </c>
      <c r="N10" s="1273" t="s">
        <v>1337</v>
      </c>
      <c r="O10" s="1273" t="s">
        <v>1338</v>
      </c>
      <c r="P10" s="1273" t="s">
        <v>1339</v>
      </c>
      <c r="Q10" s="1273">
        <v>5</v>
      </c>
      <c r="R10" s="1273">
        <v>5</v>
      </c>
      <c r="S10" s="1273">
        <v>25</v>
      </c>
      <c r="T10" s="1273" t="s">
        <v>576</v>
      </c>
      <c r="U10" s="1273" t="s">
        <v>1279</v>
      </c>
      <c r="V10" s="1275" t="s">
        <v>1340</v>
      </c>
      <c r="W10" s="1278" t="s">
        <v>111</v>
      </c>
      <c r="X10" s="1275">
        <v>46113</v>
      </c>
      <c r="Y10" s="1273" t="s">
        <v>1282</v>
      </c>
      <c r="Z10" s="1276" t="s">
        <v>1341</v>
      </c>
      <c r="AA10" s="1277"/>
    </row>
    <row r="11" spans="1:27" ht="22.8">
      <c r="A11" s="1281">
        <v>7</v>
      </c>
      <c r="B11" s="1282"/>
      <c r="C11" s="1283" t="s">
        <v>836</v>
      </c>
      <c r="D11" s="1283" t="s">
        <v>1301</v>
      </c>
      <c r="E11" s="1283" t="s">
        <v>835</v>
      </c>
      <c r="F11" s="1283" t="s">
        <v>834</v>
      </c>
      <c r="G11" s="1283"/>
      <c r="H11" s="1283"/>
      <c r="I11" s="1282" t="s">
        <v>1302</v>
      </c>
      <c r="J11" s="1283" t="s">
        <v>1303</v>
      </c>
      <c r="K11" s="1283" t="s">
        <v>1304</v>
      </c>
      <c r="L11" s="1284">
        <v>65900000</v>
      </c>
      <c r="M11" s="1283" t="s">
        <v>1320</v>
      </c>
      <c r="N11" s="1283" t="s">
        <v>1373</v>
      </c>
      <c r="O11" s="1283" t="s">
        <v>1374</v>
      </c>
      <c r="P11" s="1283" t="s">
        <v>1375</v>
      </c>
      <c r="Q11" s="1283">
        <v>4</v>
      </c>
      <c r="R11" s="1283">
        <v>4</v>
      </c>
      <c r="S11" s="1283">
        <v>16</v>
      </c>
      <c r="T11" s="1273" t="s">
        <v>576</v>
      </c>
      <c r="U11" s="1283" t="s">
        <v>1376</v>
      </c>
      <c r="V11" s="1285">
        <v>45667</v>
      </c>
      <c r="W11" s="1286" t="s">
        <v>111</v>
      </c>
      <c r="X11" s="1285">
        <v>46122</v>
      </c>
      <c r="Y11" s="1286"/>
      <c r="Z11" s="1283" t="s">
        <v>1377</v>
      </c>
      <c r="AA11" s="1277"/>
    </row>
    <row r="12" spans="1:27">
      <c r="A12" s="1281"/>
      <c r="B12" s="1282"/>
      <c r="C12" s="1282"/>
      <c r="D12" s="1282"/>
      <c r="E12" s="1283"/>
      <c r="F12" s="1283"/>
      <c r="G12" s="1283"/>
      <c r="H12" s="1283"/>
      <c r="I12" s="1282"/>
      <c r="J12" s="1282"/>
      <c r="K12" s="1282"/>
      <c r="L12" s="1287"/>
      <c r="M12" s="1282"/>
      <c r="N12" s="1282"/>
      <c r="O12" s="1282"/>
      <c r="P12" s="1282"/>
      <c r="Q12" s="1283"/>
      <c r="R12" s="1283"/>
      <c r="S12" s="1283"/>
      <c r="T12" s="1283"/>
      <c r="U12" s="1283"/>
      <c r="V12" s="1282"/>
      <c r="W12" s="1286"/>
      <c r="X12" s="1283"/>
      <c r="Y12" s="1286"/>
      <c r="Z12" s="1282"/>
      <c r="AA12" s="1277"/>
    </row>
    <row r="13" spans="1:27">
      <c r="A13" s="1281"/>
      <c r="B13" s="1282"/>
      <c r="C13" s="1282"/>
      <c r="D13" s="1282"/>
      <c r="E13" s="1283"/>
      <c r="F13" s="1283"/>
      <c r="G13" s="1283"/>
      <c r="H13" s="1283"/>
      <c r="I13" s="1282"/>
      <c r="J13" s="1282"/>
      <c r="K13" s="1282"/>
      <c r="L13" s="1287"/>
      <c r="M13" s="1282"/>
      <c r="N13" s="1282"/>
      <c r="O13" s="1282"/>
      <c r="P13" s="1282"/>
      <c r="Q13" s="1283"/>
      <c r="R13" s="1283"/>
      <c r="S13" s="1283"/>
      <c r="T13" s="1283"/>
      <c r="U13" s="1283"/>
      <c r="V13" s="1282"/>
      <c r="W13" s="1286"/>
      <c r="X13" s="1283"/>
      <c r="Y13" s="1286"/>
      <c r="Z13" s="1282"/>
      <c r="AA13" s="1277"/>
    </row>
    <row r="14" spans="1:27">
      <c r="A14" s="1281"/>
      <c r="B14" s="1282"/>
      <c r="C14" s="1282"/>
      <c r="D14" s="1282"/>
      <c r="E14" s="1283"/>
      <c r="F14" s="1283"/>
      <c r="G14" s="1283"/>
      <c r="H14" s="1283"/>
      <c r="I14" s="1282"/>
      <c r="J14" s="1282"/>
      <c r="K14" s="1282"/>
      <c r="L14" s="1287"/>
      <c r="M14" s="1282"/>
      <c r="N14" s="1282"/>
      <c r="O14" s="1282"/>
      <c r="P14" s="1282"/>
      <c r="Q14" s="1283"/>
      <c r="R14" s="1283"/>
      <c r="S14" s="1283"/>
      <c r="T14" s="1283"/>
      <c r="U14" s="1283"/>
      <c r="V14" s="1282"/>
      <c r="W14" s="1286"/>
      <c r="X14" s="1283"/>
      <c r="Y14" s="1286"/>
      <c r="Z14" s="1282"/>
      <c r="AA14" s="1277"/>
    </row>
    <row r="15" spans="1:27">
      <c r="A15" s="1281"/>
      <c r="B15" s="1282"/>
      <c r="C15" s="1282"/>
      <c r="D15" s="1282"/>
      <c r="E15" s="1283"/>
      <c r="F15" s="1283"/>
      <c r="G15" s="1283"/>
      <c r="H15" s="1283"/>
      <c r="I15" s="1282"/>
      <c r="J15" s="1282"/>
      <c r="K15" s="1282"/>
      <c r="L15" s="1287"/>
      <c r="M15" s="1282"/>
      <c r="N15" s="1282"/>
      <c r="O15" s="1282"/>
      <c r="P15" s="1282"/>
      <c r="Q15" s="1283"/>
      <c r="R15" s="1283"/>
      <c r="S15" s="1283"/>
      <c r="T15" s="1283"/>
      <c r="U15" s="1283"/>
      <c r="V15" s="1282"/>
      <c r="W15" s="1286"/>
      <c r="X15" s="1283"/>
      <c r="Y15" s="1286"/>
      <c r="Z15" s="1282"/>
      <c r="AA15" s="1277"/>
    </row>
    <row r="16" spans="1:27">
      <c r="A16" s="1281"/>
      <c r="B16" s="1282"/>
      <c r="C16" s="1282"/>
      <c r="D16" s="1282"/>
      <c r="E16" s="1283"/>
      <c r="F16" s="1283"/>
      <c r="G16" s="1283"/>
      <c r="H16" s="1283"/>
      <c r="I16" s="1282"/>
      <c r="J16" s="1282"/>
      <c r="K16" s="1282"/>
      <c r="L16" s="1287"/>
      <c r="M16" s="1282"/>
      <c r="N16" s="1282"/>
      <c r="O16" s="1282"/>
      <c r="P16" s="1282"/>
      <c r="Q16" s="1283"/>
      <c r="R16" s="1283"/>
      <c r="S16" s="1283"/>
      <c r="T16" s="1283"/>
      <c r="U16" s="1283"/>
      <c r="V16" s="1282"/>
      <c r="W16" s="1286"/>
      <c r="X16" s="1283"/>
      <c r="Y16" s="1286"/>
      <c r="Z16" s="1282"/>
      <c r="AA16" s="1277"/>
    </row>
    <row r="17" spans="1:27">
      <c r="A17" s="1281"/>
      <c r="B17" s="1282"/>
      <c r="C17" s="1282"/>
      <c r="D17" s="1282"/>
      <c r="E17" s="1283"/>
      <c r="F17" s="1283"/>
      <c r="G17" s="1283"/>
      <c r="H17" s="1283"/>
      <c r="I17" s="1282"/>
      <c r="J17" s="1282"/>
      <c r="K17" s="1282"/>
      <c r="L17" s="1287"/>
      <c r="M17" s="1282"/>
      <c r="N17" s="1282"/>
      <c r="O17" s="1282"/>
      <c r="P17" s="1282"/>
      <c r="Q17" s="1283"/>
      <c r="R17" s="1283"/>
      <c r="S17" s="1283"/>
      <c r="T17" s="1283"/>
      <c r="U17" s="1283"/>
      <c r="V17" s="1282"/>
      <c r="W17" s="1286"/>
      <c r="X17" s="1283"/>
      <c r="Y17" s="1286"/>
      <c r="Z17" s="1282"/>
      <c r="AA17" s="1277"/>
    </row>
    <row r="18" spans="1:27">
      <c r="A18" s="1281"/>
      <c r="B18" s="1282"/>
      <c r="C18" s="1282"/>
      <c r="D18" s="1282"/>
      <c r="E18" s="1283"/>
      <c r="F18" s="1283"/>
      <c r="G18" s="1283"/>
      <c r="H18" s="1283"/>
      <c r="I18" s="1282"/>
      <c r="J18" s="1282"/>
      <c r="K18" s="1282"/>
      <c r="L18" s="1287"/>
      <c r="M18" s="1282"/>
      <c r="N18" s="1282"/>
      <c r="O18" s="1282"/>
      <c r="P18" s="1282"/>
      <c r="Q18" s="1283"/>
      <c r="R18" s="1283"/>
      <c r="S18" s="1283"/>
      <c r="T18" s="1283"/>
      <c r="U18" s="1283"/>
      <c r="V18" s="1282"/>
      <c r="W18" s="1286"/>
      <c r="X18" s="1283"/>
      <c r="Y18" s="1286"/>
      <c r="Z18" s="1282"/>
      <c r="AA18" s="1277"/>
    </row>
    <row r="19" spans="1:27">
      <c r="A19" s="1281"/>
      <c r="B19" s="1282"/>
      <c r="C19" s="1282"/>
      <c r="D19" s="1282"/>
      <c r="E19" s="1283"/>
      <c r="F19" s="1283"/>
      <c r="G19" s="1283"/>
      <c r="H19" s="1283"/>
      <c r="I19" s="1282"/>
      <c r="J19" s="1282"/>
      <c r="K19" s="1282"/>
      <c r="L19" s="1287"/>
      <c r="M19" s="1282"/>
      <c r="N19" s="1282"/>
      <c r="O19" s="1282"/>
      <c r="P19" s="1282"/>
      <c r="Q19" s="1283"/>
      <c r="R19" s="1283"/>
      <c r="S19" s="1283"/>
      <c r="T19" s="1283"/>
      <c r="U19" s="1283"/>
      <c r="V19" s="1282"/>
      <c r="W19" s="1286"/>
      <c r="X19" s="1283"/>
      <c r="Y19" s="1286"/>
      <c r="Z19" s="1282"/>
      <c r="AA19" s="1277"/>
    </row>
    <row r="20" spans="1:27">
      <c r="A20" s="1281"/>
      <c r="B20" s="1282"/>
      <c r="C20" s="1282"/>
      <c r="D20" s="1282"/>
      <c r="E20" s="1283"/>
      <c r="F20" s="1283"/>
      <c r="G20" s="1283"/>
      <c r="H20" s="1283"/>
      <c r="I20" s="1282"/>
      <c r="J20" s="1282"/>
      <c r="K20" s="1282"/>
      <c r="L20" s="1287"/>
      <c r="M20" s="1282"/>
      <c r="N20" s="1282"/>
      <c r="O20" s="1282"/>
      <c r="P20" s="1282"/>
      <c r="Q20" s="1283"/>
      <c r="R20" s="1283"/>
      <c r="S20" s="1283"/>
      <c r="T20" s="1283"/>
      <c r="U20" s="1283"/>
      <c r="V20" s="1282"/>
      <c r="W20" s="1286"/>
      <c r="X20" s="1283"/>
      <c r="Y20" s="1286"/>
      <c r="Z20" s="1282"/>
      <c r="AA20" s="1277"/>
    </row>
    <row r="21" spans="1:27">
      <c r="A21" s="1281"/>
      <c r="B21" s="1282"/>
      <c r="C21" s="1282"/>
      <c r="D21" s="1282"/>
      <c r="E21" s="1283"/>
      <c r="F21" s="1283"/>
      <c r="G21" s="1283"/>
      <c r="H21" s="1283"/>
      <c r="I21" s="1282"/>
      <c r="J21" s="1282"/>
      <c r="K21" s="1282"/>
      <c r="L21" s="1287"/>
      <c r="M21" s="1282"/>
      <c r="N21" s="1282"/>
      <c r="O21" s="1282"/>
      <c r="P21" s="1282"/>
      <c r="Q21" s="1283"/>
      <c r="R21" s="1283"/>
      <c r="S21" s="1283"/>
      <c r="T21" s="1283"/>
      <c r="U21" s="1283"/>
      <c r="V21" s="1282"/>
      <c r="W21" s="1286"/>
      <c r="X21" s="1283"/>
      <c r="Y21" s="1286"/>
      <c r="Z21" s="1282"/>
      <c r="AA21" s="1277"/>
    </row>
    <row r="22" spans="1:27">
      <c r="A22" s="1281"/>
      <c r="B22" s="1282"/>
      <c r="C22" s="1282"/>
      <c r="D22" s="1282"/>
      <c r="E22" s="1283"/>
      <c r="F22" s="1283"/>
      <c r="G22" s="1283"/>
      <c r="H22" s="1283"/>
      <c r="I22" s="1282"/>
      <c r="J22" s="1282"/>
      <c r="K22" s="1282"/>
      <c r="L22" s="1287"/>
      <c r="M22" s="1282"/>
      <c r="N22" s="1282"/>
      <c r="O22" s="1282"/>
      <c r="P22" s="1282"/>
      <c r="Q22" s="1283"/>
      <c r="R22" s="1283"/>
      <c r="S22" s="1283"/>
      <c r="T22" s="1283"/>
      <c r="U22" s="1283"/>
      <c r="V22" s="1282"/>
      <c r="W22" s="1286"/>
      <c r="X22" s="1283"/>
      <c r="Y22" s="1286"/>
      <c r="Z22" s="1282"/>
      <c r="AA22" s="1277"/>
    </row>
    <row r="23" spans="1:27">
      <c r="A23" s="1281"/>
      <c r="B23" s="1282"/>
      <c r="C23" s="1282"/>
      <c r="D23" s="1282"/>
      <c r="E23" s="1283"/>
      <c r="F23" s="1283"/>
      <c r="G23" s="1283"/>
      <c r="H23" s="1283"/>
      <c r="I23" s="1282"/>
      <c r="J23" s="1282"/>
      <c r="K23" s="1282"/>
      <c r="L23" s="1287"/>
      <c r="M23" s="1282"/>
      <c r="N23" s="1282"/>
      <c r="O23" s="1282"/>
      <c r="P23" s="1282"/>
      <c r="Q23" s="1283"/>
      <c r="R23" s="1283"/>
      <c r="S23" s="1283"/>
      <c r="T23" s="1283"/>
      <c r="U23" s="1283"/>
      <c r="V23" s="1282"/>
      <c r="W23" s="1286"/>
      <c r="X23" s="1283"/>
      <c r="Y23" s="1286"/>
      <c r="Z23" s="1282"/>
      <c r="AA23" s="1277"/>
    </row>
    <row r="24" spans="1:27">
      <c r="A24" s="1281"/>
      <c r="B24" s="1282"/>
      <c r="C24" s="1282"/>
      <c r="D24" s="1282"/>
      <c r="E24" s="1283"/>
      <c r="F24" s="1283"/>
      <c r="G24" s="1283"/>
      <c r="H24" s="1283"/>
      <c r="I24" s="1282"/>
      <c r="J24" s="1282"/>
      <c r="K24" s="1282"/>
      <c r="L24" s="1287"/>
      <c r="M24" s="1282"/>
      <c r="N24" s="1282"/>
      <c r="O24" s="1282"/>
      <c r="P24" s="1282"/>
      <c r="Q24" s="1283"/>
      <c r="R24" s="1283"/>
      <c r="S24" s="1283"/>
      <c r="T24" s="1283"/>
      <c r="U24" s="1283"/>
      <c r="V24" s="1282"/>
      <c r="W24" s="1286"/>
      <c r="X24" s="1283"/>
      <c r="Y24" s="1286"/>
      <c r="Z24" s="1282"/>
      <c r="AA24" s="1277"/>
    </row>
    <row r="25" spans="1:27">
      <c r="A25" s="1281"/>
      <c r="B25" s="1282"/>
      <c r="C25" s="1282"/>
      <c r="D25" s="1282"/>
      <c r="E25" s="1283"/>
      <c r="F25" s="1283"/>
      <c r="G25" s="1283"/>
      <c r="H25" s="1283"/>
      <c r="I25" s="1282"/>
      <c r="J25" s="1282"/>
      <c r="K25" s="1282"/>
      <c r="L25" s="1287"/>
      <c r="M25" s="1282"/>
      <c r="N25" s="1282"/>
      <c r="O25" s="1282"/>
      <c r="P25" s="1282"/>
      <c r="Q25" s="1283"/>
      <c r="R25" s="1283"/>
      <c r="S25" s="1283"/>
      <c r="T25" s="1283"/>
      <c r="U25" s="1283"/>
      <c r="V25" s="1282"/>
      <c r="W25" s="1286"/>
      <c r="X25" s="1283"/>
      <c r="Y25" s="1286"/>
      <c r="Z25" s="1282"/>
      <c r="AA25" s="1277"/>
    </row>
    <row r="26" spans="1:27">
      <c r="A26" s="1281"/>
      <c r="B26" s="1282"/>
      <c r="C26" s="1282"/>
      <c r="D26" s="1282"/>
      <c r="E26" s="1283"/>
      <c r="F26" s="1283"/>
      <c r="G26" s="1283"/>
      <c r="H26" s="1283"/>
      <c r="I26" s="1282"/>
      <c r="J26" s="1282"/>
      <c r="K26" s="1282"/>
      <c r="L26" s="1287"/>
      <c r="M26" s="1282"/>
      <c r="N26" s="1282"/>
      <c r="O26" s="1282"/>
      <c r="P26" s="1282"/>
      <c r="Q26" s="1283"/>
      <c r="R26" s="1283"/>
      <c r="S26" s="1283"/>
      <c r="T26" s="1283"/>
      <c r="U26" s="1283"/>
      <c r="V26" s="1282"/>
      <c r="W26" s="1286"/>
      <c r="X26" s="1283"/>
      <c r="Y26" s="1286"/>
      <c r="Z26" s="1282"/>
      <c r="AA26" s="1277"/>
    </row>
    <row r="27" spans="1:27">
      <c r="A27" s="1281"/>
      <c r="B27" s="1282"/>
      <c r="C27" s="1282"/>
      <c r="D27" s="1282"/>
      <c r="E27" s="1283"/>
      <c r="F27" s="1283"/>
      <c r="G27" s="1283"/>
      <c r="H27" s="1283"/>
      <c r="I27" s="1282"/>
      <c r="J27" s="1282"/>
      <c r="K27" s="1282"/>
      <c r="L27" s="1287"/>
      <c r="M27" s="1282"/>
      <c r="N27" s="1282"/>
      <c r="O27" s="1282"/>
      <c r="P27" s="1282"/>
      <c r="Q27" s="1283"/>
      <c r="R27" s="1283"/>
      <c r="S27" s="1283"/>
      <c r="T27" s="1283"/>
      <c r="U27" s="1283"/>
      <c r="V27" s="1282"/>
      <c r="W27" s="1286"/>
      <c r="X27" s="1283"/>
      <c r="Y27" s="1286"/>
      <c r="Z27" s="1282"/>
      <c r="AA27" s="1277"/>
    </row>
    <row r="28" spans="1:27">
      <c r="A28" s="1281"/>
      <c r="B28" s="1282"/>
      <c r="C28" s="1282"/>
      <c r="D28" s="1282"/>
      <c r="E28" s="1283"/>
      <c r="F28" s="1283"/>
      <c r="G28" s="1283"/>
      <c r="H28" s="1283"/>
      <c r="I28" s="1282"/>
      <c r="J28" s="1282"/>
      <c r="K28" s="1282"/>
      <c r="L28" s="1287"/>
      <c r="M28" s="1282"/>
      <c r="N28" s="1282"/>
      <c r="O28" s="1282"/>
      <c r="P28" s="1282"/>
      <c r="Q28" s="1283"/>
      <c r="R28" s="1283"/>
      <c r="S28" s="1283"/>
      <c r="T28" s="1283"/>
      <c r="U28" s="1283"/>
      <c r="V28" s="1282"/>
      <c r="W28" s="1286"/>
      <c r="X28" s="1283"/>
      <c r="Y28" s="1286"/>
      <c r="Z28" s="1282"/>
      <c r="AA28" s="1277"/>
    </row>
    <row r="29" spans="1:27">
      <c r="A29" s="1281"/>
      <c r="B29" s="1282"/>
      <c r="C29" s="1282"/>
      <c r="D29" s="1282"/>
      <c r="E29" s="1283"/>
      <c r="F29" s="1283"/>
      <c r="G29" s="1283"/>
      <c r="H29" s="1283"/>
      <c r="I29" s="1282"/>
      <c r="J29" s="1282"/>
      <c r="K29" s="1282"/>
      <c r="L29" s="1287"/>
      <c r="M29" s="1282"/>
      <c r="N29" s="1282"/>
      <c r="O29" s="1282"/>
      <c r="P29" s="1282"/>
      <c r="Q29" s="1283"/>
      <c r="R29" s="1283"/>
      <c r="S29" s="1283"/>
      <c r="T29" s="1283"/>
      <c r="U29" s="1283"/>
      <c r="V29" s="1282"/>
      <c r="W29" s="1286"/>
      <c r="X29" s="1283"/>
      <c r="Y29" s="1286"/>
      <c r="Z29" s="1282"/>
      <c r="AA29" s="1277"/>
    </row>
    <row r="30" spans="1:27">
      <c r="A30" s="1281"/>
      <c r="B30" s="1282"/>
      <c r="C30" s="1282"/>
      <c r="D30" s="1282"/>
      <c r="E30" s="1283"/>
      <c r="F30" s="1283"/>
      <c r="G30" s="1283"/>
      <c r="H30" s="1283"/>
      <c r="I30" s="1282"/>
      <c r="J30" s="1282"/>
      <c r="K30" s="1282"/>
      <c r="L30" s="1287"/>
      <c r="M30" s="1282"/>
      <c r="N30" s="1282"/>
      <c r="O30" s="1282"/>
      <c r="P30" s="1282"/>
      <c r="Q30" s="1283"/>
      <c r="R30" s="1283"/>
      <c r="S30" s="1283"/>
      <c r="T30" s="1283"/>
      <c r="U30" s="1283"/>
      <c r="V30" s="1282"/>
      <c r="W30" s="1286"/>
      <c r="X30" s="1283"/>
      <c r="Y30" s="1286"/>
      <c r="Z30" s="1282"/>
      <c r="AA30" s="1277"/>
    </row>
    <row r="31" spans="1:27">
      <c r="A31" s="1281"/>
      <c r="B31" s="1282"/>
      <c r="C31" s="1282"/>
      <c r="D31" s="1282"/>
      <c r="E31" s="1283"/>
      <c r="F31" s="1283"/>
      <c r="G31" s="1283"/>
      <c r="H31" s="1283"/>
      <c r="I31" s="1282"/>
      <c r="J31" s="1282"/>
      <c r="K31" s="1282"/>
      <c r="L31" s="1287"/>
      <c r="M31" s="1282"/>
      <c r="N31" s="1282"/>
      <c r="O31" s="1282"/>
      <c r="P31" s="1282"/>
      <c r="Q31" s="1283"/>
      <c r="R31" s="1283"/>
      <c r="S31" s="1283"/>
      <c r="T31" s="1283"/>
      <c r="U31" s="1283"/>
      <c r="V31" s="1282"/>
      <c r="W31" s="1286"/>
      <c r="X31" s="1283"/>
      <c r="Y31" s="1286"/>
      <c r="Z31" s="1282"/>
      <c r="AA31" s="1277"/>
    </row>
    <row r="32" spans="1:27">
      <c r="A32" s="1281"/>
      <c r="B32" s="1282"/>
      <c r="C32" s="1282"/>
      <c r="D32" s="1282"/>
      <c r="E32" s="1283"/>
      <c r="F32" s="1283"/>
      <c r="G32" s="1283"/>
      <c r="H32" s="1283"/>
      <c r="I32" s="1282"/>
      <c r="J32" s="1282"/>
      <c r="K32" s="1282"/>
      <c r="L32" s="1287"/>
      <c r="M32" s="1282"/>
      <c r="N32" s="1282"/>
      <c r="O32" s="1282"/>
      <c r="P32" s="1282"/>
      <c r="Q32" s="1283"/>
      <c r="R32" s="1283"/>
      <c r="S32" s="1283"/>
      <c r="T32" s="1283"/>
      <c r="U32" s="1283"/>
      <c r="V32" s="1282"/>
      <c r="W32" s="1286"/>
      <c r="X32" s="1283"/>
      <c r="Y32" s="1286"/>
      <c r="Z32" s="1282"/>
      <c r="AA32" s="1277"/>
    </row>
    <row r="33" spans="1:27">
      <c r="A33" s="1281"/>
      <c r="B33" s="1282"/>
      <c r="C33" s="1282"/>
      <c r="D33" s="1282"/>
      <c r="E33" s="1283"/>
      <c r="F33" s="1283"/>
      <c r="G33" s="1283"/>
      <c r="H33" s="1283"/>
      <c r="I33" s="1282"/>
      <c r="J33" s="1282"/>
      <c r="K33" s="1282"/>
      <c r="L33" s="1287"/>
      <c r="M33" s="1282"/>
      <c r="N33" s="1282"/>
      <c r="O33" s="1282"/>
      <c r="P33" s="1282"/>
      <c r="Q33" s="1283"/>
      <c r="R33" s="1283"/>
      <c r="S33" s="1283"/>
      <c r="T33" s="1283"/>
      <c r="U33" s="1283"/>
      <c r="V33" s="1282"/>
      <c r="W33" s="1286"/>
      <c r="X33" s="1283"/>
      <c r="Y33" s="1286"/>
      <c r="Z33" s="1282"/>
      <c r="AA33" s="1277"/>
    </row>
    <row r="34" spans="1:27">
      <c r="A34" s="1281"/>
      <c r="B34" s="1282"/>
      <c r="C34" s="1282"/>
      <c r="D34" s="1282"/>
      <c r="E34" s="1283"/>
      <c r="F34" s="1283"/>
      <c r="G34" s="1283"/>
      <c r="H34" s="1283"/>
      <c r="I34" s="1282"/>
      <c r="J34" s="1282"/>
      <c r="K34" s="1282"/>
      <c r="L34" s="1287"/>
      <c r="M34" s="1282"/>
      <c r="N34" s="1282"/>
      <c r="O34" s="1282"/>
      <c r="P34" s="1282"/>
      <c r="Q34" s="1283"/>
      <c r="R34" s="1283"/>
      <c r="S34" s="1283"/>
      <c r="T34" s="1283"/>
      <c r="U34" s="1283"/>
      <c r="V34" s="1282"/>
      <c r="W34" s="1286"/>
      <c r="X34" s="1283"/>
      <c r="Y34" s="1286"/>
      <c r="Z34" s="1282"/>
      <c r="AA34" s="1277"/>
    </row>
    <row r="35" spans="1:27">
      <c r="A35" s="1281"/>
      <c r="B35" s="1282"/>
      <c r="C35" s="1282"/>
      <c r="D35" s="1282"/>
      <c r="E35" s="1283"/>
      <c r="F35" s="1283"/>
      <c r="G35" s="1283"/>
      <c r="H35" s="1283"/>
      <c r="I35" s="1282"/>
      <c r="J35" s="1282"/>
      <c r="K35" s="1282"/>
      <c r="L35" s="1287"/>
      <c r="M35" s="1282"/>
      <c r="N35" s="1282"/>
      <c r="O35" s="1282"/>
      <c r="P35" s="1282"/>
      <c r="Q35" s="1283"/>
      <c r="R35" s="1283"/>
      <c r="S35" s="1283"/>
      <c r="T35" s="1283"/>
      <c r="U35" s="1283"/>
      <c r="V35" s="1282"/>
      <c r="W35" s="1286"/>
      <c r="X35" s="1283"/>
      <c r="Y35" s="1286"/>
      <c r="Z35" s="1282"/>
      <c r="AA35" s="1277"/>
    </row>
    <row r="36" spans="1:27">
      <c r="A36" s="1281"/>
      <c r="B36" s="1282"/>
      <c r="C36" s="1282"/>
      <c r="D36" s="1282"/>
      <c r="E36" s="1283"/>
      <c r="F36" s="1283"/>
      <c r="G36" s="1283"/>
      <c r="H36" s="1283"/>
      <c r="I36" s="1282"/>
      <c r="J36" s="1282"/>
      <c r="K36" s="1282"/>
      <c r="L36" s="1287"/>
      <c r="M36" s="1282"/>
      <c r="N36" s="1282"/>
      <c r="O36" s="1282"/>
      <c r="P36" s="1282"/>
      <c r="Q36" s="1283"/>
      <c r="R36" s="1283"/>
      <c r="S36" s="1283"/>
      <c r="T36" s="1283"/>
      <c r="U36" s="1283"/>
      <c r="V36" s="1282"/>
      <c r="W36" s="1286"/>
      <c r="X36" s="1283"/>
      <c r="Y36" s="1286"/>
      <c r="Z36" s="1282"/>
      <c r="AA36" s="1277"/>
    </row>
    <row r="37" spans="1:27">
      <c r="A37" s="1281"/>
      <c r="B37" s="1282"/>
      <c r="C37" s="1282"/>
      <c r="D37" s="1282"/>
      <c r="E37" s="1283"/>
      <c r="F37" s="1283"/>
      <c r="G37" s="1283"/>
      <c r="H37" s="1283"/>
      <c r="I37" s="1282"/>
      <c r="J37" s="1282"/>
      <c r="K37" s="1282"/>
      <c r="L37" s="1287"/>
      <c r="M37" s="1282"/>
      <c r="N37" s="1282"/>
      <c r="O37" s="1282"/>
      <c r="P37" s="1282"/>
      <c r="Q37" s="1283"/>
      <c r="R37" s="1283"/>
      <c r="S37" s="1283"/>
      <c r="T37" s="1283"/>
      <c r="U37" s="1283"/>
      <c r="V37" s="1282"/>
      <c r="W37" s="1286"/>
      <c r="X37" s="1283"/>
      <c r="Y37" s="1286"/>
      <c r="Z37" s="1282"/>
      <c r="AA37" s="1277"/>
    </row>
    <row r="38" spans="1:27">
      <c r="A38" s="1281"/>
      <c r="B38" s="1282"/>
      <c r="C38" s="1282"/>
      <c r="D38" s="1282"/>
      <c r="E38" s="1283"/>
      <c r="F38" s="1283"/>
      <c r="G38" s="1283"/>
      <c r="H38" s="1283"/>
      <c r="I38" s="1282"/>
      <c r="J38" s="1282"/>
      <c r="K38" s="1282"/>
      <c r="L38" s="1287"/>
      <c r="M38" s="1282"/>
      <c r="N38" s="1282"/>
      <c r="O38" s="1282"/>
      <c r="P38" s="1282"/>
      <c r="Q38" s="1283"/>
      <c r="R38" s="1283"/>
      <c r="S38" s="1283"/>
      <c r="T38" s="1283"/>
      <c r="U38" s="1283"/>
      <c r="V38" s="1282"/>
      <c r="W38" s="1286"/>
      <c r="X38" s="1283"/>
      <c r="Y38" s="1286"/>
      <c r="Z38" s="1282"/>
      <c r="AA38" s="1277"/>
    </row>
    <row r="39" spans="1:27">
      <c r="A39" s="1281"/>
      <c r="B39" s="1282"/>
      <c r="C39" s="1282"/>
      <c r="D39" s="1282"/>
      <c r="E39" s="1283"/>
      <c r="F39" s="1283"/>
      <c r="G39" s="1283"/>
      <c r="H39" s="1283"/>
      <c r="I39" s="1282"/>
      <c r="J39" s="1282"/>
      <c r="K39" s="1282"/>
      <c r="L39" s="1287"/>
      <c r="M39" s="1282"/>
      <c r="N39" s="1282"/>
      <c r="O39" s="1282"/>
      <c r="P39" s="1282"/>
      <c r="Q39" s="1283"/>
      <c r="R39" s="1283"/>
      <c r="S39" s="1283"/>
      <c r="T39" s="1283"/>
      <c r="U39" s="1283"/>
      <c r="V39" s="1282"/>
      <c r="W39" s="1286"/>
      <c r="X39" s="1283"/>
      <c r="Y39" s="1286"/>
      <c r="Z39" s="1282"/>
      <c r="AA39" s="1277"/>
    </row>
    <row r="40" spans="1:27">
      <c r="A40" s="1281"/>
      <c r="B40" s="1282"/>
      <c r="C40" s="1282"/>
      <c r="D40" s="1282"/>
      <c r="E40" s="1283"/>
      <c r="F40" s="1283"/>
      <c r="G40" s="1283"/>
      <c r="H40" s="1283"/>
      <c r="I40" s="1282"/>
      <c r="J40" s="1282"/>
      <c r="K40" s="1282"/>
      <c r="L40" s="1287"/>
      <c r="M40" s="1282"/>
      <c r="N40" s="1282"/>
      <c r="O40" s="1282"/>
      <c r="P40" s="1282"/>
      <c r="Q40" s="1283"/>
      <c r="R40" s="1283"/>
      <c r="S40" s="1283"/>
      <c r="T40" s="1283"/>
      <c r="U40" s="1283"/>
      <c r="V40" s="1282"/>
      <c r="W40" s="1286"/>
      <c r="X40" s="1283"/>
      <c r="Y40" s="1286"/>
      <c r="Z40" s="1282"/>
      <c r="AA40" s="1277"/>
    </row>
    <row r="41" spans="1:27">
      <c r="A41" s="1281"/>
      <c r="B41" s="1282"/>
      <c r="C41" s="1282"/>
      <c r="D41" s="1282"/>
      <c r="E41" s="1283"/>
      <c r="F41" s="1283"/>
      <c r="G41" s="1283"/>
      <c r="H41" s="1283"/>
      <c r="I41" s="1282"/>
      <c r="J41" s="1282"/>
      <c r="K41" s="1282"/>
      <c r="L41" s="1287"/>
      <c r="M41" s="1282"/>
      <c r="N41" s="1282"/>
      <c r="O41" s="1282"/>
      <c r="P41" s="1282"/>
      <c r="Q41" s="1283"/>
      <c r="R41" s="1283"/>
      <c r="S41" s="1283"/>
      <c r="T41" s="1283"/>
      <c r="U41" s="1283"/>
      <c r="V41" s="1282"/>
      <c r="W41" s="1286"/>
      <c r="X41" s="1283"/>
      <c r="Y41" s="1286"/>
      <c r="Z41" s="1282"/>
      <c r="AA41" s="1277"/>
    </row>
    <row r="42" spans="1:27">
      <c r="A42" s="1281"/>
      <c r="B42" s="1282"/>
      <c r="C42" s="1282"/>
      <c r="D42" s="1282"/>
      <c r="E42" s="1283"/>
      <c r="F42" s="1283"/>
      <c r="G42" s="1283"/>
      <c r="H42" s="1283"/>
      <c r="I42" s="1282"/>
      <c r="J42" s="1282"/>
      <c r="K42" s="1282"/>
      <c r="L42" s="1287"/>
      <c r="M42" s="1282"/>
      <c r="N42" s="1282"/>
      <c r="O42" s="1282"/>
      <c r="P42" s="1282"/>
      <c r="Q42" s="1283"/>
      <c r="R42" s="1283"/>
      <c r="S42" s="1283"/>
      <c r="T42" s="1283"/>
      <c r="U42" s="1283"/>
      <c r="V42" s="1282"/>
      <c r="W42" s="1286"/>
      <c r="X42" s="1283"/>
      <c r="Y42" s="1286"/>
      <c r="Z42" s="1282"/>
      <c r="AA42" s="1277"/>
    </row>
    <row r="43" spans="1:27">
      <c r="A43" s="1281"/>
      <c r="B43" s="1282"/>
      <c r="C43" s="1282"/>
      <c r="D43" s="1282"/>
      <c r="E43" s="1283"/>
      <c r="F43" s="1283"/>
      <c r="G43" s="1283"/>
      <c r="H43" s="1283"/>
      <c r="I43" s="1282"/>
      <c r="J43" s="1282"/>
      <c r="K43" s="1282"/>
      <c r="L43" s="1287"/>
      <c r="M43" s="1282"/>
      <c r="N43" s="1282"/>
      <c r="O43" s="1282"/>
      <c r="P43" s="1282"/>
      <c r="Q43" s="1283"/>
      <c r="R43" s="1283"/>
      <c r="S43" s="1283"/>
      <c r="T43" s="1283"/>
      <c r="U43" s="1283"/>
      <c r="V43" s="1282"/>
      <c r="W43" s="1286"/>
      <c r="X43" s="1283"/>
      <c r="Y43" s="1286"/>
      <c r="Z43" s="1282"/>
      <c r="AA43" s="1277"/>
    </row>
    <row r="44" spans="1:27">
      <c r="A44" s="1281"/>
      <c r="B44" s="1282"/>
      <c r="C44" s="1282"/>
      <c r="D44" s="1282"/>
      <c r="E44" s="1283"/>
      <c r="F44" s="1283"/>
      <c r="G44" s="1283"/>
      <c r="H44" s="1283"/>
      <c r="I44" s="1282"/>
      <c r="J44" s="1282"/>
      <c r="K44" s="1282"/>
      <c r="L44" s="1287"/>
      <c r="M44" s="1282"/>
      <c r="N44" s="1282"/>
      <c r="O44" s="1282"/>
      <c r="P44" s="1282"/>
      <c r="Q44" s="1283"/>
      <c r="R44" s="1283"/>
      <c r="S44" s="1283"/>
      <c r="T44" s="1283"/>
      <c r="U44" s="1283"/>
      <c r="V44" s="1282"/>
      <c r="W44" s="1286"/>
      <c r="X44" s="1283"/>
      <c r="Y44" s="1286"/>
      <c r="Z44" s="1282"/>
      <c r="AA44" s="1277"/>
    </row>
    <row r="45" spans="1:27">
      <c r="A45" s="1281"/>
      <c r="B45" s="1282"/>
      <c r="C45" s="1282"/>
      <c r="D45" s="1282"/>
      <c r="E45" s="1283"/>
      <c r="F45" s="1283"/>
      <c r="G45" s="1283"/>
      <c r="H45" s="1283"/>
      <c r="I45" s="1282"/>
      <c r="J45" s="1282"/>
      <c r="K45" s="1282"/>
      <c r="L45" s="1287"/>
      <c r="M45" s="1282"/>
      <c r="N45" s="1282"/>
      <c r="O45" s="1282"/>
      <c r="P45" s="1282"/>
      <c r="Q45" s="1283"/>
      <c r="R45" s="1283"/>
      <c r="S45" s="1283"/>
      <c r="T45" s="1283"/>
      <c r="U45" s="1283"/>
      <c r="V45" s="1282"/>
      <c r="W45" s="1286"/>
      <c r="X45" s="1283"/>
      <c r="Y45" s="1286"/>
      <c r="Z45" s="1282"/>
      <c r="AA45" s="1277"/>
    </row>
    <row r="46" spans="1:27">
      <c r="A46" s="1281"/>
      <c r="B46" s="1282"/>
      <c r="C46" s="1282"/>
      <c r="D46" s="1282"/>
      <c r="E46" s="1283"/>
      <c r="F46" s="1283"/>
      <c r="G46" s="1283"/>
      <c r="H46" s="1283"/>
      <c r="I46" s="1282"/>
      <c r="J46" s="1282"/>
      <c r="K46" s="1282"/>
      <c r="L46" s="1287"/>
      <c r="M46" s="1282"/>
      <c r="N46" s="1282"/>
      <c r="O46" s="1282"/>
      <c r="P46" s="1282"/>
      <c r="Q46" s="1283"/>
      <c r="R46" s="1283"/>
      <c r="S46" s="1283"/>
      <c r="T46" s="1283"/>
      <c r="U46" s="1283"/>
      <c r="V46" s="1282"/>
      <c r="W46" s="1286"/>
      <c r="X46" s="1283"/>
      <c r="Y46" s="1286"/>
      <c r="Z46" s="1282"/>
      <c r="AA46" s="1277"/>
    </row>
    <row r="47" spans="1:27">
      <c r="A47" s="1281"/>
      <c r="B47" s="1282"/>
      <c r="C47" s="1282"/>
      <c r="D47" s="1282"/>
      <c r="E47" s="1283"/>
      <c r="F47" s="1283"/>
      <c r="G47" s="1283"/>
      <c r="H47" s="1283"/>
      <c r="I47" s="1282"/>
      <c r="J47" s="1282"/>
      <c r="K47" s="1282"/>
      <c r="L47" s="1287"/>
      <c r="M47" s="1282"/>
      <c r="N47" s="1282"/>
      <c r="O47" s="1282"/>
      <c r="P47" s="1282"/>
      <c r="Q47" s="1283"/>
      <c r="R47" s="1283"/>
      <c r="S47" s="1283"/>
      <c r="T47" s="1283"/>
      <c r="U47" s="1283"/>
      <c r="V47" s="1282"/>
      <c r="W47" s="1286"/>
      <c r="X47" s="1283"/>
      <c r="Y47" s="1286"/>
      <c r="Z47" s="1282"/>
      <c r="AA47" s="1277"/>
    </row>
    <row r="48" spans="1:27">
      <c r="A48" s="1281"/>
      <c r="B48" s="1282"/>
      <c r="C48" s="1282"/>
      <c r="D48" s="1282"/>
      <c r="E48" s="1283"/>
      <c r="F48" s="1283"/>
      <c r="G48" s="1283"/>
      <c r="H48" s="1283"/>
      <c r="I48" s="1282"/>
      <c r="J48" s="1282"/>
      <c r="K48" s="1282"/>
      <c r="L48" s="1287"/>
      <c r="M48" s="1282"/>
      <c r="N48" s="1282"/>
      <c r="O48" s="1282"/>
      <c r="P48" s="1282"/>
      <c r="Q48" s="1283"/>
      <c r="R48" s="1283"/>
      <c r="S48" s="1283"/>
      <c r="T48" s="1283"/>
      <c r="U48" s="1283"/>
      <c r="V48" s="1282"/>
      <c r="W48" s="1286"/>
      <c r="X48" s="1283"/>
      <c r="Y48" s="1286"/>
      <c r="Z48" s="1282"/>
      <c r="AA48" s="1277"/>
    </row>
    <row r="49" spans="1:27">
      <c r="A49" s="1281"/>
      <c r="B49" s="1282"/>
      <c r="C49" s="1282"/>
      <c r="D49" s="1282"/>
      <c r="E49" s="1283"/>
      <c r="F49" s="1283"/>
      <c r="G49" s="1283"/>
      <c r="H49" s="1283"/>
      <c r="I49" s="1282"/>
      <c r="J49" s="1282"/>
      <c r="K49" s="1282"/>
      <c r="L49" s="1287"/>
      <c r="M49" s="1282"/>
      <c r="N49" s="1282"/>
      <c r="O49" s="1282"/>
      <c r="P49" s="1282"/>
      <c r="Q49" s="1283"/>
      <c r="R49" s="1283"/>
      <c r="S49" s="1283"/>
      <c r="T49" s="1283"/>
      <c r="U49" s="1283"/>
      <c r="V49" s="1282"/>
      <c r="W49" s="1286"/>
      <c r="X49" s="1283"/>
      <c r="Y49" s="1286"/>
      <c r="Z49" s="1282"/>
      <c r="AA49" s="1277"/>
    </row>
    <row r="50" spans="1:27">
      <c r="A50" s="1281"/>
      <c r="B50" s="1282"/>
      <c r="C50" s="1282"/>
      <c r="D50" s="1282"/>
      <c r="E50" s="1283"/>
      <c r="F50" s="1283"/>
      <c r="G50" s="1283"/>
      <c r="H50" s="1283"/>
      <c r="I50" s="1282"/>
      <c r="J50" s="1282"/>
      <c r="K50" s="1282"/>
      <c r="L50" s="1287"/>
      <c r="M50" s="1282"/>
      <c r="N50" s="1282"/>
      <c r="O50" s="1282"/>
      <c r="P50" s="1282"/>
      <c r="Q50" s="1283"/>
      <c r="R50" s="1283"/>
      <c r="S50" s="1283"/>
      <c r="T50" s="1283"/>
      <c r="U50" s="1283"/>
      <c r="V50" s="1282"/>
      <c r="W50" s="1286"/>
      <c r="X50" s="1283"/>
      <c r="Y50" s="1286"/>
      <c r="Z50" s="1282"/>
      <c r="AA50" s="1277"/>
    </row>
    <row r="51" spans="1:27">
      <c r="A51" s="1281"/>
      <c r="B51" s="1282"/>
      <c r="C51" s="1282"/>
      <c r="D51" s="1282"/>
      <c r="E51" s="1283"/>
      <c r="F51" s="1283"/>
      <c r="G51" s="1283"/>
      <c r="H51" s="1283"/>
      <c r="I51" s="1282"/>
      <c r="J51" s="1282"/>
      <c r="K51" s="1282"/>
      <c r="L51" s="1287"/>
      <c r="M51" s="1282"/>
      <c r="N51" s="1282"/>
      <c r="O51" s="1282"/>
      <c r="P51" s="1282"/>
      <c r="Q51" s="1283"/>
      <c r="R51" s="1283"/>
      <c r="S51" s="1283"/>
      <c r="T51" s="1283"/>
      <c r="U51" s="1283"/>
      <c r="V51" s="1282"/>
      <c r="W51" s="1286"/>
      <c r="X51" s="1283"/>
      <c r="Y51" s="1286"/>
      <c r="Z51" s="1282"/>
      <c r="AA51" s="1277"/>
    </row>
    <row r="52" spans="1:27">
      <c r="A52" s="1281"/>
      <c r="B52" s="1282"/>
      <c r="C52" s="1282"/>
      <c r="D52" s="1282"/>
      <c r="E52" s="1283"/>
      <c r="F52" s="1283"/>
      <c r="G52" s="1283"/>
      <c r="H52" s="1283"/>
      <c r="I52" s="1282"/>
      <c r="J52" s="1282"/>
      <c r="K52" s="1282"/>
      <c r="L52" s="1287"/>
      <c r="M52" s="1282"/>
      <c r="N52" s="1282"/>
      <c r="O52" s="1282"/>
      <c r="P52" s="1282"/>
      <c r="Q52" s="1283"/>
      <c r="R52" s="1283"/>
      <c r="S52" s="1283"/>
      <c r="T52" s="1283"/>
      <c r="U52" s="1283"/>
      <c r="V52" s="1282"/>
      <c r="W52" s="1286"/>
      <c r="X52" s="1283"/>
      <c r="Y52" s="1286"/>
      <c r="Z52" s="1282"/>
      <c r="AA52" s="1277"/>
    </row>
    <row r="53" spans="1:27">
      <c r="A53" s="1281"/>
      <c r="B53" s="1282"/>
      <c r="C53" s="1282"/>
      <c r="D53" s="1282"/>
      <c r="E53" s="1283"/>
      <c r="F53" s="1283"/>
      <c r="G53" s="1283"/>
      <c r="H53" s="1283"/>
      <c r="I53" s="1282"/>
      <c r="J53" s="1282"/>
      <c r="K53" s="1282"/>
      <c r="L53" s="1287"/>
      <c r="M53" s="1282"/>
      <c r="N53" s="1282"/>
      <c r="O53" s="1282"/>
      <c r="P53" s="1282"/>
      <c r="Q53" s="1283"/>
      <c r="R53" s="1283"/>
      <c r="S53" s="1283"/>
      <c r="T53" s="1283"/>
      <c r="U53" s="1283"/>
      <c r="V53" s="1282"/>
      <c r="W53" s="1286"/>
      <c r="X53" s="1283"/>
      <c r="Y53" s="1286"/>
      <c r="Z53" s="1282"/>
      <c r="AA53" s="1277"/>
    </row>
    <row r="54" spans="1:27">
      <c r="A54" s="1281"/>
      <c r="B54" s="1282"/>
      <c r="C54" s="1282"/>
      <c r="D54" s="1282"/>
      <c r="E54" s="1283"/>
      <c r="F54" s="1283"/>
      <c r="G54" s="1283"/>
      <c r="H54" s="1283"/>
      <c r="I54" s="1282"/>
      <c r="J54" s="1282"/>
      <c r="K54" s="1282"/>
      <c r="L54" s="1287"/>
      <c r="M54" s="1282"/>
      <c r="N54" s="1282"/>
      <c r="O54" s="1282"/>
      <c r="P54" s="1282"/>
      <c r="Q54" s="1283"/>
      <c r="R54" s="1283"/>
      <c r="S54" s="1283"/>
      <c r="T54" s="1283"/>
      <c r="U54" s="1283"/>
      <c r="V54" s="1282"/>
      <c r="W54" s="1286"/>
      <c r="X54" s="1283"/>
      <c r="Y54" s="1286"/>
      <c r="Z54" s="1282"/>
      <c r="AA54" s="1277"/>
    </row>
    <row r="55" spans="1:27">
      <c r="A55" s="1281"/>
      <c r="B55" s="1282"/>
      <c r="C55" s="1282"/>
      <c r="D55" s="1282"/>
      <c r="E55" s="1283"/>
      <c r="F55" s="1283"/>
      <c r="G55" s="1283"/>
      <c r="H55" s="1283"/>
      <c r="I55" s="1282"/>
      <c r="J55" s="1282"/>
      <c r="K55" s="1282"/>
      <c r="L55" s="1287"/>
      <c r="M55" s="1282"/>
      <c r="N55" s="1282"/>
      <c r="O55" s="1282"/>
      <c r="P55" s="1282"/>
      <c r="Q55" s="1283"/>
      <c r="R55" s="1283"/>
      <c r="S55" s="1283"/>
      <c r="T55" s="1283"/>
      <c r="U55" s="1283"/>
      <c r="V55" s="1282"/>
      <c r="W55" s="1286"/>
      <c r="X55" s="1283"/>
      <c r="Y55" s="1286"/>
      <c r="Z55" s="1282"/>
      <c r="AA55" s="1277"/>
    </row>
    <row r="56" spans="1:27">
      <c r="A56" s="1281"/>
      <c r="B56" s="1282"/>
      <c r="C56" s="1282"/>
      <c r="D56" s="1282"/>
      <c r="E56" s="1283"/>
      <c r="F56" s="1283"/>
      <c r="G56" s="1283"/>
      <c r="H56" s="1283"/>
      <c r="I56" s="1282"/>
      <c r="J56" s="1282"/>
      <c r="K56" s="1282"/>
      <c r="L56" s="1287"/>
      <c r="M56" s="1282"/>
      <c r="N56" s="1282"/>
      <c r="O56" s="1282"/>
      <c r="P56" s="1282"/>
      <c r="Q56" s="1283"/>
      <c r="R56" s="1283"/>
      <c r="S56" s="1283"/>
      <c r="T56" s="1283"/>
      <c r="U56" s="1283"/>
      <c r="V56" s="1282"/>
      <c r="W56" s="1286"/>
      <c r="X56" s="1283"/>
      <c r="Y56" s="1286"/>
      <c r="Z56" s="1282"/>
      <c r="AA56" s="1277"/>
    </row>
    <row r="57" spans="1:27">
      <c r="A57" s="1281"/>
      <c r="B57" s="1282"/>
      <c r="C57" s="1282"/>
      <c r="D57" s="1282"/>
      <c r="E57" s="1283"/>
      <c r="F57" s="1283"/>
      <c r="G57" s="1283"/>
      <c r="H57" s="1283"/>
      <c r="I57" s="1282"/>
      <c r="J57" s="1282"/>
      <c r="K57" s="1282"/>
      <c r="L57" s="1287"/>
      <c r="M57" s="1282"/>
      <c r="N57" s="1282"/>
      <c r="O57" s="1282"/>
      <c r="P57" s="1282"/>
      <c r="Q57" s="1283"/>
      <c r="R57" s="1283"/>
      <c r="S57" s="1283"/>
      <c r="T57" s="1283"/>
      <c r="U57" s="1283"/>
      <c r="V57" s="1282"/>
      <c r="W57" s="1286"/>
      <c r="X57" s="1283"/>
      <c r="Y57" s="1286"/>
      <c r="Z57" s="1282"/>
      <c r="AA57" s="1277"/>
    </row>
    <row r="58" spans="1:27">
      <c r="A58" s="1281"/>
      <c r="B58" s="1282"/>
      <c r="C58" s="1282"/>
      <c r="D58" s="1282"/>
      <c r="E58" s="1283"/>
      <c r="F58" s="1283"/>
      <c r="G58" s="1283"/>
      <c r="H58" s="1283"/>
      <c r="I58" s="1282"/>
      <c r="J58" s="1282"/>
      <c r="K58" s="1282"/>
      <c r="L58" s="1287"/>
      <c r="M58" s="1282"/>
      <c r="N58" s="1282"/>
      <c r="O58" s="1282"/>
      <c r="P58" s="1282"/>
      <c r="Q58" s="1283"/>
      <c r="R58" s="1283"/>
      <c r="S58" s="1283"/>
      <c r="T58" s="1283"/>
      <c r="U58" s="1283"/>
      <c r="V58" s="1282"/>
      <c r="W58" s="1286"/>
      <c r="X58" s="1283"/>
      <c r="Y58" s="1286"/>
      <c r="Z58" s="1282"/>
      <c r="AA58" s="1277"/>
    </row>
    <row r="59" spans="1:27">
      <c r="A59" s="1281"/>
      <c r="B59" s="1282"/>
      <c r="C59" s="1282"/>
      <c r="D59" s="1282"/>
      <c r="E59" s="1283"/>
      <c r="F59" s="1283"/>
      <c r="G59" s="1283"/>
      <c r="H59" s="1283"/>
      <c r="I59" s="1282"/>
      <c r="J59" s="1282"/>
      <c r="K59" s="1282"/>
      <c r="L59" s="1287"/>
      <c r="M59" s="1282"/>
      <c r="N59" s="1282"/>
      <c r="O59" s="1282"/>
      <c r="P59" s="1282"/>
      <c r="Q59" s="1283"/>
      <c r="R59" s="1283"/>
      <c r="S59" s="1283"/>
      <c r="T59" s="1283"/>
      <c r="U59" s="1283"/>
      <c r="V59" s="1282"/>
      <c r="W59" s="1286"/>
      <c r="X59" s="1283"/>
      <c r="Y59" s="1286"/>
      <c r="Z59" s="1282"/>
      <c r="AA59" s="1277"/>
    </row>
    <row r="60" spans="1:27">
      <c r="A60" s="1281"/>
      <c r="B60" s="1282"/>
      <c r="C60" s="1282"/>
      <c r="D60" s="1282"/>
      <c r="E60" s="1283"/>
      <c r="F60" s="1283"/>
      <c r="G60" s="1283"/>
      <c r="H60" s="1283"/>
      <c r="I60" s="1282"/>
      <c r="J60" s="1282"/>
      <c r="K60" s="1282"/>
      <c r="L60" s="1287"/>
      <c r="M60" s="1282"/>
      <c r="N60" s="1282"/>
      <c r="O60" s="1282"/>
      <c r="P60" s="1282"/>
      <c r="Q60" s="1283"/>
      <c r="R60" s="1283"/>
      <c r="S60" s="1283"/>
      <c r="T60" s="1283"/>
      <c r="U60" s="1283"/>
      <c r="V60" s="1282"/>
      <c r="W60" s="1286"/>
      <c r="X60" s="1283"/>
      <c r="Y60" s="1286"/>
      <c r="Z60" s="1282"/>
      <c r="AA60" s="1277"/>
    </row>
    <row r="61" spans="1:27">
      <c r="A61" s="1281"/>
      <c r="B61" s="1282"/>
      <c r="C61" s="1282"/>
      <c r="D61" s="1282"/>
      <c r="E61" s="1283"/>
      <c r="F61" s="1283"/>
      <c r="G61" s="1283"/>
      <c r="H61" s="1283"/>
      <c r="I61" s="1282"/>
      <c r="J61" s="1282"/>
      <c r="K61" s="1282"/>
      <c r="L61" s="1287"/>
      <c r="M61" s="1282"/>
      <c r="N61" s="1282"/>
      <c r="O61" s="1282"/>
      <c r="P61" s="1282"/>
      <c r="Q61" s="1283"/>
      <c r="R61" s="1283"/>
      <c r="S61" s="1283"/>
      <c r="T61" s="1283"/>
      <c r="U61" s="1283"/>
      <c r="V61" s="1282"/>
      <c r="W61" s="1286"/>
      <c r="X61" s="1283"/>
      <c r="Y61" s="1286"/>
      <c r="Z61" s="1282"/>
      <c r="AA61" s="1277"/>
    </row>
    <row r="62" spans="1:27">
      <c r="A62" s="1281"/>
      <c r="B62" s="1282"/>
      <c r="C62" s="1282"/>
      <c r="D62" s="1282"/>
      <c r="E62" s="1283"/>
      <c r="F62" s="1283"/>
      <c r="G62" s="1283"/>
      <c r="H62" s="1283"/>
      <c r="I62" s="1282"/>
      <c r="J62" s="1282"/>
      <c r="K62" s="1282"/>
      <c r="L62" s="1287"/>
      <c r="M62" s="1282"/>
      <c r="N62" s="1282"/>
      <c r="O62" s="1282"/>
      <c r="P62" s="1282"/>
      <c r="Q62" s="1283"/>
      <c r="R62" s="1283"/>
      <c r="S62" s="1283"/>
      <c r="T62" s="1283"/>
      <c r="U62" s="1283"/>
      <c r="V62" s="1282"/>
      <c r="W62" s="1286"/>
      <c r="X62" s="1283"/>
      <c r="Y62" s="1286"/>
      <c r="Z62" s="1282"/>
      <c r="AA62" s="1277"/>
    </row>
    <row r="63" spans="1:27">
      <c r="A63" s="1281"/>
      <c r="B63" s="1282"/>
      <c r="C63" s="1282"/>
      <c r="D63" s="1282"/>
      <c r="E63" s="1283"/>
      <c r="F63" s="1283"/>
      <c r="G63" s="1283"/>
      <c r="H63" s="1283"/>
      <c r="I63" s="1282"/>
      <c r="J63" s="1282"/>
      <c r="K63" s="1282"/>
      <c r="L63" s="1287"/>
      <c r="M63" s="1282"/>
      <c r="N63" s="1282"/>
      <c r="O63" s="1282"/>
      <c r="P63" s="1282"/>
      <c r="Q63" s="1283"/>
      <c r="R63" s="1283"/>
      <c r="S63" s="1283"/>
      <c r="T63" s="1283"/>
      <c r="U63" s="1283"/>
      <c r="V63" s="1282"/>
      <c r="W63" s="1286"/>
      <c r="X63" s="1283"/>
      <c r="Y63" s="1286"/>
      <c r="Z63" s="1282"/>
      <c r="AA63" s="1277"/>
    </row>
    <row r="64" spans="1:27">
      <c r="A64" s="1281"/>
      <c r="B64" s="1282"/>
      <c r="C64" s="1282"/>
      <c r="D64" s="1282"/>
      <c r="E64" s="1283"/>
      <c r="F64" s="1283"/>
      <c r="G64" s="1283"/>
      <c r="H64" s="1283"/>
      <c r="I64" s="1282"/>
      <c r="J64" s="1282"/>
      <c r="K64" s="1282"/>
      <c r="L64" s="1287"/>
      <c r="M64" s="1282"/>
      <c r="N64" s="1282"/>
      <c r="O64" s="1282"/>
      <c r="P64" s="1282"/>
      <c r="Q64" s="1283"/>
      <c r="R64" s="1283"/>
      <c r="S64" s="1283"/>
      <c r="T64" s="1283"/>
      <c r="U64" s="1283"/>
      <c r="V64" s="1282"/>
      <c r="W64" s="1286"/>
      <c r="X64" s="1283"/>
      <c r="Y64" s="1286"/>
      <c r="Z64" s="1282"/>
      <c r="AA64" s="1277"/>
    </row>
    <row r="65" spans="1:27">
      <c r="A65" s="1281"/>
      <c r="B65" s="1282"/>
      <c r="C65" s="1282"/>
      <c r="D65" s="1282"/>
      <c r="E65" s="1283"/>
      <c r="F65" s="1283"/>
      <c r="G65" s="1283"/>
      <c r="H65" s="1283"/>
      <c r="I65" s="1282"/>
      <c r="J65" s="1282"/>
      <c r="K65" s="1282"/>
      <c r="L65" s="1287"/>
      <c r="M65" s="1282"/>
      <c r="N65" s="1282"/>
      <c r="O65" s="1282"/>
      <c r="P65" s="1282"/>
      <c r="Q65" s="1283"/>
      <c r="R65" s="1283"/>
      <c r="S65" s="1283"/>
      <c r="T65" s="1283"/>
      <c r="U65" s="1283"/>
      <c r="V65" s="1282"/>
      <c r="W65" s="1286"/>
      <c r="X65" s="1283"/>
      <c r="Y65" s="1286"/>
      <c r="Z65" s="1282"/>
      <c r="AA65" s="1277"/>
    </row>
    <row r="66" spans="1:27">
      <c r="A66" s="1281"/>
      <c r="B66" s="1282"/>
      <c r="C66" s="1282"/>
      <c r="D66" s="1282"/>
      <c r="E66" s="1283"/>
      <c r="F66" s="1283"/>
      <c r="G66" s="1283"/>
      <c r="H66" s="1283"/>
      <c r="I66" s="1282"/>
      <c r="J66" s="1282"/>
      <c r="K66" s="1282"/>
      <c r="L66" s="1287"/>
      <c r="M66" s="1282"/>
      <c r="N66" s="1282"/>
      <c r="O66" s="1282"/>
      <c r="P66" s="1282"/>
      <c r="Q66" s="1283"/>
      <c r="R66" s="1283"/>
      <c r="S66" s="1283"/>
      <c r="T66" s="1283"/>
      <c r="U66" s="1283"/>
      <c r="V66" s="1282"/>
      <c r="W66" s="1286"/>
      <c r="X66" s="1283"/>
      <c r="Y66" s="1286"/>
      <c r="Z66" s="1282"/>
      <c r="AA66" s="1277"/>
    </row>
    <row r="67" spans="1:27">
      <c r="A67" s="1281"/>
      <c r="B67" s="1282"/>
      <c r="C67" s="1282"/>
      <c r="D67" s="1282"/>
      <c r="E67" s="1283"/>
      <c r="F67" s="1283"/>
      <c r="G67" s="1283"/>
      <c r="H67" s="1283"/>
      <c r="I67" s="1282"/>
      <c r="J67" s="1282"/>
      <c r="K67" s="1282"/>
      <c r="L67" s="1287"/>
      <c r="M67" s="1282"/>
      <c r="N67" s="1282"/>
      <c r="O67" s="1282"/>
      <c r="P67" s="1282"/>
      <c r="Q67" s="1283"/>
      <c r="R67" s="1283"/>
      <c r="S67" s="1283"/>
      <c r="T67" s="1283"/>
      <c r="U67" s="1283"/>
      <c r="V67" s="1282"/>
      <c r="W67" s="1286"/>
      <c r="X67" s="1283"/>
      <c r="Y67" s="1286"/>
      <c r="Z67" s="1282"/>
      <c r="AA67" s="1277"/>
    </row>
    <row r="68" spans="1:27">
      <c r="A68" s="1281"/>
      <c r="B68" s="1282"/>
      <c r="C68" s="1282"/>
      <c r="D68" s="1282"/>
      <c r="E68" s="1283"/>
      <c r="F68" s="1283"/>
      <c r="G68" s="1283"/>
      <c r="H68" s="1283"/>
      <c r="I68" s="1282"/>
      <c r="J68" s="1282"/>
      <c r="K68" s="1282"/>
      <c r="L68" s="1287"/>
      <c r="M68" s="1282"/>
      <c r="N68" s="1282"/>
      <c r="O68" s="1282"/>
      <c r="P68" s="1282"/>
      <c r="Q68" s="1283"/>
      <c r="R68" s="1283"/>
      <c r="S68" s="1283"/>
      <c r="T68" s="1283"/>
      <c r="U68" s="1283"/>
      <c r="V68" s="1282"/>
      <c r="W68" s="1286"/>
      <c r="X68" s="1283"/>
      <c r="Y68" s="1286"/>
      <c r="Z68" s="1282"/>
      <c r="AA68" s="1277"/>
    </row>
    <row r="69" spans="1:27">
      <c r="A69" s="1281"/>
      <c r="B69" s="1282"/>
      <c r="C69" s="1282"/>
      <c r="D69" s="1282"/>
      <c r="E69" s="1283"/>
      <c r="F69" s="1283"/>
      <c r="G69" s="1283"/>
      <c r="H69" s="1283"/>
      <c r="I69" s="1282"/>
      <c r="J69" s="1282"/>
      <c r="K69" s="1282"/>
      <c r="L69" s="1287"/>
      <c r="M69" s="1282"/>
      <c r="N69" s="1282"/>
      <c r="O69" s="1282"/>
      <c r="P69" s="1282"/>
      <c r="Q69" s="1283"/>
      <c r="R69" s="1283"/>
      <c r="S69" s="1283"/>
      <c r="T69" s="1283"/>
      <c r="U69" s="1283"/>
      <c r="V69" s="1282"/>
      <c r="W69" s="1286"/>
      <c r="X69" s="1283"/>
      <c r="Y69" s="1286"/>
      <c r="Z69" s="1282"/>
      <c r="AA69" s="1277"/>
    </row>
    <row r="70" spans="1:27">
      <c r="A70" s="1281"/>
      <c r="B70" s="1282"/>
      <c r="C70" s="1282"/>
      <c r="D70" s="1282"/>
      <c r="E70" s="1283"/>
      <c r="F70" s="1283"/>
      <c r="G70" s="1283"/>
      <c r="H70" s="1283"/>
      <c r="I70" s="1282"/>
      <c r="J70" s="1282"/>
      <c r="K70" s="1282"/>
      <c r="L70" s="1287"/>
      <c r="M70" s="1282"/>
      <c r="N70" s="1282"/>
      <c r="O70" s="1282"/>
      <c r="P70" s="1282"/>
      <c r="Q70" s="1283"/>
      <c r="R70" s="1283"/>
      <c r="S70" s="1283"/>
      <c r="T70" s="1283"/>
      <c r="U70" s="1283"/>
      <c r="V70" s="1282"/>
      <c r="W70" s="1286"/>
      <c r="X70" s="1283"/>
      <c r="Y70" s="1286"/>
      <c r="Z70" s="1282"/>
      <c r="AA70" s="1277"/>
    </row>
    <row r="71" spans="1:27">
      <c r="A71" s="1281"/>
      <c r="B71" s="1282"/>
      <c r="C71" s="1282"/>
      <c r="D71" s="1282"/>
      <c r="E71" s="1283"/>
      <c r="F71" s="1283"/>
      <c r="G71" s="1283"/>
      <c r="H71" s="1283"/>
      <c r="I71" s="1282"/>
      <c r="J71" s="1282"/>
      <c r="K71" s="1282"/>
      <c r="L71" s="1287"/>
      <c r="M71" s="1282"/>
      <c r="N71" s="1282"/>
      <c r="O71" s="1282"/>
      <c r="P71" s="1282"/>
      <c r="Q71" s="1283"/>
      <c r="R71" s="1283"/>
      <c r="S71" s="1283"/>
      <c r="T71" s="1283"/>
      <c r="U71" s="1283"/>
      <c r="V71" s="1282"/>
      <c r="W71" s="1286"/>
      <c r="X71" s="1283"/>
      <c r="Y71" s="1286"/>
      <c r="Z71" s="1282"/>
      <c r="AA71" s="1277"/>
    </row>
    <row r="72" spans="1:27">
      <c r="A72" s="1281"/>
      <c r="B72" s="1282"/>
      <c r="C72" s="1282"/>
      <c r="D72" s="1282"/>
      <c r="E72" s="1283"/>
      <c r="F72" s="1283"/>
      <c r="G72" s="1283"/>
      <c r="H72" s="1283"/>
      <c r="I72" s="1282"/>
      <c r="J72" s="1282"/>
      <c r="K72" s="1282"/>
      <c r="L72" s="1287"/>
      <c r="M72" s="1282"/>
      <c r="N72" s="1282"/>
      <c r="O72" s="1282"/>
      <c r="P72" s="1282"/>
      <c r="Q72" s="1283"/>
      <c r="R72" s="1283"/>
      <c r="S72" s="1283"/>
      <c r="T72" s="1283"/>
      <c r="U72" s="1283"/>
      <c r="V72" s="1282"/>
      <c r="W72" s="1286"/>
      <c r="X72" s="1283"/>
      <c r="Y72" s="1286"/>
      <c r="Z72" s="1282"/>
      <c r="AA72" s="1277"/>
    </row>
    <row r="73" spans="1:27">
      <c r="A73" s="1281"/>
      <c r="B73" s="1282"/>
      <c r="C73" s="1282"/>
      <c r="D73" s="1282"/>
      <c r="E73" s="1283"/>
      <c r="F73" s="1283"/>
      <c r="G73" s="1283"/>
      <c r="H73" s="1283"/>
      <c r="I73" s="1282"/>
      <c r="J73" s="1282"/>
      <c r="K73" s="1282"/>
      <c r="L73" s="1287"/>
      <c r="M73" s="1282"/>
      <c r="N73" s="1282"/>
      <c r="O73" s="1282"/>
      <c r="P73" s="1282"/>
      <c r="Q73" s="1283"/>
      <c r="R73" s="1283"/>
      <c r="S73" s="1283"/>
      <c r="T73" s="1283"/>
      <c r="U73" s="1283"/>
      <c r="V73" s="1282"/>
      <c r="W73" s="1286"/>
      <c r="X73" s="1283"/>
      <c r="Y73" s="1286"/>
      <c r="Z73" s="1282"/>
      <c r="AA73" s="1277"/>
    </row>
    <row r="74" spans="1:27">
      <c r="A74" s="1281"/>
      <c r="B74" s="1282"/>
      <c r="C74" s="1282"/>
      <c r="D74" s="1282"/>
      <c r="E74" s="1283"/>
      <c r="F74" s="1283"/>
      <c r="G74" s="1283"/>
      <c r="H74" s="1283"/>
      <c r="I74" s="1282"/>
      <c r="J74" s="1282"/>
      <c r="K74" s="1282"/>
      <c r="L74" s="1287"/>
      <c r="M74" s="1282"/>
      <c r="N74" s="1282"/>
      <c r="O74" s="1282"/>
      <c r="P74" s="1282"/>
      <c r="Q74" s="1283"/>
      <c r="R74" s="1283"/>
      <c r="S74" s="1283"/>
      <c r="T74" s="1283"/>
      <c r="U74" s="1283"/>
      <c r="V74" s="1282"/>
      <c r="W74" s="1286"/>
      <c r="X74" s="1283"/>
      <c r="Y74" s="1286"/>
      <c r="Z74" s="1282"/>
      <c r="AA74" s="1277"/>
    </row>
    <row r="75" spans="1:27">
      <c r="A75" s="1281"/>
      <c r="B75" s="1282"/>
      <c r="C75" s="1282"/>
      <c r="D75" s="1282"/>
      <c r="E75" s="1283"/>
      <c r="F75" s="1283"/>
      <c r="G75" s="1283"/>
      <c r="H75" s="1283"/>
      <c r="I75" s="1282"/>
      <c r="J75" s="1282"/>
      <c r="K75" s="1282"/>
      <c r="L75" s="1287"/>
      <c r="M75" s="1282"/>
      <c r="N75" s="1282"/>
      <c r="O75" s="1282"/>
      <c r="P75" s="1282"/>
      <c r="Q75" s="1283"/>
      <c r="R75" s="1283"/>
      <c r="S75" s="1283"/>
      <c r="T75" s="1283"/>
      <c r="U75" s="1283"/>
      <c r="V75" s="1282"/>
      <c r="W75" s="1286"/>
      <c r="X75" s="1283"/>
      <c r="Y75" s="1286"/>
      <c r="Z75" s="1282"/>
      <c r="AA75" s="1277"/>
    </row>
    <row r="76" spans="1:27">
      <c r="A76" s="1281"/>
      <c r="B76" s="1282"/>
      <c r="C76" s="1282"/>
      <c r="D76" s="1282"/>
      <c r="E76" s="1283"/>
      <c r="F76" s="1283"/>
      <c r="G76" s="1283"/>
      <c r="H76" s="1283"/>
      <c r="I76" s="1282"/>
      <c r="J76" s="1282"/>
      <c r="K76" s="1282"/>
      <c r="L76" s="1287"/>
      <c r="M76" s="1282"/>
      <c r="N76" s="1282"/>
      <c r="O76" s="1282"/>
      <c r="P76" s="1282"/>
      <c r="Q76" s="1283"/>
      <c r="R76" s="1283"/>
      <c r="S76" s="1283"/>
      <c r="T76" s="1283"/>
      <c r="U76" s="1283"/>
      <c r="V76" s="1282"/>
      <c r="W76" s="1286"/>
      <c r="X76" s="1283"/>
      <c r="Y76" s="1286"/>
      <c r="Z76" s="1282"/>
      <c r="AA76" s="1277"/>
    </row>
    <row r="77" spans="1:27">
      <c r="A77" s="1281"/>
      <c r="B77" s="1282"/>
      <c r="C77" s="1282"/>
      <c r="D77" s="1282"/>
      <c r="E77" s="1283"/>
      <c r="F77" s="1283"/>
      <c r="G77" s="1283"/>
      <c r="H77" s="1283"/>
      <c r="I77" s="1282"/>
      <c r="J77" s="1282"/>
      <c r="K77" s="1282"/>
      <c r="L77" s="1287"/>
      <c r="M77" s="1282"/>
      <c r="N77" s="1282"/>
      <c r="O77" s="1282"/>
      <c r="P77" s="1282"/>
      <c r="Q77" s="1283"/>
      <c r="R77" s="1283"/>
      <c r="S77" s="1283"/>
      <c r="T77" s="1283"/>
      <c r="U77" s="1283"/>
      <c r="V77" s="1282"/>
      <c r="W77" s="1286"/>
      <c r="X77" s="1283"/>
      <c r="Y77" s="1286"/>
      <c r="Z77" s="1282"/>
      <c r="AA77" s="1277"/>
    </row>
    <row r="78" spans="1:27">
      <c r="A78" s="1281"/>
      <c r="B78" s="1282"/>
      <c r="C78" s="1282"/>
      <c r="D78" s="1282"/>
      <c r="E78" s="1283"/>
      <c r="F78" s="1283"/>
      <c r="G78" s="1283"/>
      <c r="H78" s="1283"/>
      <c r="I78" s="1282"/>
      <c r="J78" s="1282"/>
      <c r="K78" s="1282"/>
      <c r="L78" s="1287"/>
      <c r="M78" s="1282"/>
      <c r="N78" s="1282"/>
      <c r="O78" s="1282"/>
      <c r="P78" s="1282"/>
      <c r="Q78" s="1283"/>
      <c r="R78" s="1283"/>
      <c r="S78" s="1283"/>
      <c r="T78" s="1283"/>
      <c r="U78" s="1283"/>
      <c r="V78" s="1282"/>
      <c r="W78" s="1286"/>
      <c r="X78" s="1283"/>
      <c r="Y78" s="1286"/>
      <c r="Z78" s="1282"/>
      <c r="AA78" s="1277"/>
    </row>
    <row r="79" spans="1:27">
      <c r="A79" s="1281"/>
      <c r="B79" s="1282"/>
      <c r="C79" s="1282"/>
      <c r="D79" s="1282"/>
      <c r="E79" s="1283"/>
      <c r="F79" s="1283"/>
      <c r="G79" s="1283"/>
      <c r="H79" s="1283"/>
      <c r="I79" s="1282"/>
      <c r="J79" s="1282"/>
      <c r="K79" s="1282"/>
      <c r="L79" s="1287"/>
      <c r="M79" s="1282"/>
      <c r="N79" s="1282"/>
      <c r="O79" s="1282"/>
      <c r="P79" s="1282"/>
      <c r="Q79" s="1283"/>
      <c r="R79" s="1283"/>
      <c r="S79" s="1283"/>
      <c r="T79" s="1283"/>
      <c r="U79" s="1283"/>
      <c r="V79" s="1282"/>
      <c r="W79" s="1286"/>
      <c r="X79" s="1283"/>
      <c r="Y79" s="1286"/>
      <c r="Z79" s="1282"/>
      <c r="AA79" s="1277"/>
    </row>
    <row r="80" spans="1:27">
      <c r="A80" s="1281"/>
      <c r="B80" s="1282"/>
      <c r="C80" s="1282"/>
      <c r="D80" s="1282"/>
      <c r="E80" s="1283"/>
      <c r="F80" s="1283"/>
      <c r="G80" s="1283"/>
      <c r="H80" s="1283"/>
      <c r="I80" s="1282"/>
      <c r="J80" s="1282"/>
      <c r="K80" s="1282"/>
      <c r="L80" s="1287"/>
      <c r="M80" s="1282"/>
      <c r="N80" s="1282"/>
      <c r="O80" s="1282"/>
      <c r="P80" s="1282"/>
      <c r="Q80" s="1283"/>
      <c r="R80" s="1283"/>
      <c r="S80" s="1283"/>
      <c r="T80" s="1283"/>
      <c r="U80" s="1283"/>
      <c r="V80" s="1282"/>
      <c r="W80" s="1286"/>
      <c r="X80" s="1283"/>
      <c r="Y80" s="1286"/>
      <c r="Z80" s="1282"/>
      <c r="AA80" s="1277"/>
    </row>
    <row r="81" spans="1:27">
      <c r="A81" s="1281"/>
      <c r="B81" s="1282"/>
      <c r="C81" s="1282"/>
      <c r="D81" s="1282"/>
      <c r="E81" s="1283"/>
      <c r="F81" s="1283"/>
      <c r="G81" s="1283"/>
      <c r="H81" s="1283"/>
      <c r="I81" s="1282"/>
      <c r="J81" s="1282"/>
      <c r="K81" s="1282"/>
      <c r="L81" s="1287"/>
      <c r="M81" s="1282"/>
      <c r="N81" s="1282"/>
      <c r="O81" s="1282"/>
      <c r="P81" s="1282"/>
      <c r="Q81" s="1283"/>
      <c r="R81" s="1283"/>
      <c r="S81" s="1283"/>
      <c r="T81" s="1283"/>
      <c r="U81" s="1283"/>
      <c r="V81" s="1282"/>
      <c r="W81" s="1286"/>
      <c r="X81" s="1283"/>
      <c r="Y81" s="1286"/>
      <c r="Z81" s="1282"/>
      <c r="AA81" s="1277"/>
    </row>
    <row r="82" spans="1:27">
      <c r="A82" s="1281"/>
      <c r="B82" s="1282"/>
      <c r="C82" s="1282"/>
      <c r="D82" s="1282"/>
      <c r="E82" s="1283"/>
      <c r="F82" s="1283"/>
      <c r="G82" s="1283"/>
      <c r="H82" s="1283"/>
      <c r="I82" s="1282"/>
      <c r="J82" s="1282"/>
      <c r="K82" s="1282"/>
      <c r="L82" s="1287"/>
      <c r="M82" s="1282"/>
      <c r="N82" s="1282"/>
      <c r="O82" s="1282"/>
      <c r="P82" s="1282"/>
      <c r="Q82" s="1283"/>
      <c r="R82" s="1283"/>
      <c r="S82" s="1283"/>
      <c r="T82" s="1283"/>
      <c r="U82" s="1283"/>
      <c r="V82" s="1282"/>
      <c r="W82" s="1286"/>
      <c r="X82" s="1283"/>
      <c r="Y82" s="1286"/>
      <c r="Z82" s="1282"/>
      <c r="AA82" s="1277"/>
    </row>
    <row r="83" spans="1:27">
      <c r="A83" s="1281"/>
      <c r="B83" s="1282"/>
      <c r="C83" s="1282"/>
      <c r="D83" s="1282"/>
      <c r="E83" s="1283"/>
      <c r="F83" s="1283"/>
      <c r="G83" s="1283"/>
      <c r="H83" s="1283"/>
      <c r="I83" s="1282"/>
      <c r="J83" s="1282"/>
      <c r="K83" s="1282"/>
      <c r="L83" s="1287"/>
      <c r="M83" s="1282"/>
      <c r="N83" s="1282"/>
      <c r="O83" s="1282"/>
      <c r="P83" s="1282"/>
      <c r="Q83" s="1283"/>
      <c r="R83" s="1283"/>
      <c r="S83" s="1283"/>
      <c r="T83" s="1283"/>
      <c r="U83" s="1283"/>
      <c r="V83" s="1282"/>
      <c r="W83" s="1286"/>
      <c r="X83" s="1283"/>
      <c r="Y83" s="1286"/>
      <c r="Z83" s="1282"/>
      <c r="AA83" s="1277"/>
    </row>
    <row r="84" spans="1:27">
      <c r="A84" s="1281"/>
      <c r="B84" s="1282"/>
      <c r="C84" s="1282"/>
      <c r="D84" s="1282"/>
      <c r="E84" s="1283"/>
      <c r="F84" s="1283"/>
      <c r="G84" s="1283"/>
      <c r="H84" s="1283"/>
      <c r="I84" s="1282"/>
      <c r="J84" s="1282"/>
      <c r="K84" s="1282"/>
      <c r="L84" s="1287"/>
      <c r="M84" s="1282"/>
      <c r="N84" s="1282"/>
      <c r="O84" s="1282"/>
      <c r="P84" s="1282"/>
      <c r="Q84" s="1283"/>
      <c r="R84" s="1283"/>
      <c r="S84" s="1283"/>
      <c r="T84" s="1283"/>
      <c r="U84" s="1283"/>
      <c r="V84" s="1282"/>
      <c r="W84" s="1286"/>
      <c r="X84" s="1283"/>
      <c r="Y84" s="1286"/>
      <c r="Z84" s="1282"/>
      <c r="AA84" s="1277"/>
    </row>
    <row r="85" spans="1:27">
      <c r="A85" s="1281"/>
      <c r="B85" s="1282"/>
      <c r="C85" s="1282"/>
      <c r="D85" s="1282"/>
      <c r="E85" s="1283"/>
      <c r="F85" s="1283"/>
      <c r="G85" s="1283"/>
      <c r="H85" s="1283"/>
      <c r="I85" s="1282"/>
      <c r="J85" s="1282"/>
      <c r="K85" s="1282"/>
      <c r="L85" s="1287"/>
      <c r="M85" s="1282"/>
      <c r="N85" s="1282"/>
      <c r="O85" s="1282"/>
      <c r="P85" s="1282"/>
      <c r="Q85" s="1283"/>
      <c r="R85" s="1283"/>
      <c r="S85" s="1283"/>
      <c r="T85" s="1283"/>
      <c r="U85" s="1283"/>
      <c r="V85" s="1282"/>
      <c r="W85" s="1286"/>
      <c r="X85" s="1283"/>
      <c r="Y85" s="1286"/>
      <c r="Z85" s="1282"/>
      <c r="AA85" s="1277"/>
    </row>
    <row r="86" spans="1:27">
      <c r="A86" s="1281"/>
      <c r="B86" s="1282"/>
      <c r="C86" s="1282"/>
      <c r="D86" s="1282"/>
      <c r="E86" s="1283"/>
      <c r="F86" s="1283"/>
      <c r="G86" s="1283"/>
      <c r="H86" s="1283"/>
      <c r="I86" s="1282"/>
      <c r="J86" s="1282"/>
      <c r="K86" s="1282"/>
      <c r="L86" s="1287"/>
      <c r="M86" s="1282"/>
      <c r="N86" s="1282"/>
      <c r="O86" s="1282"/>
      <c r="P86" s="1282"/>
      <c r="Q86" s="1283"/>
      <c r="R86" s="1283"/>
      <c r="S86" s="1283"/>
      <c r="T86" s="1283"/>
      <c r="U86" s="1283"/>
      <c r="V86" s="1282"/>
      <c r="W86" s="1286"/>
      <c r="X86" s="1283"/>
      <c r="Y86" s="1286"/>
      <c r="Z86" s="1282"/>
      <c r="AA86" s="1277"/>
    </row>
    <row r="87" spans="1:27">
      <c r="A87" s="1281"/>
      <c r="B87" s="1282"/>
      <c r="C87" s="1282"/>
      <c r="D87" s="1282"/>
      <c r="E87" s="1283"/>
      <c r="F87" s="1283"/>
      <c r="G87" s="1283"/>
      <c r="H87" s="1283"/>
      <c r="I87" s="1282"/>
      <c r="J87" s="1282"/>
      <c r="K87" s="1282"/>
      <c r="L87" s="1287"/>
      <c r="M87" s="1282"/>
      <c r="N87" s="1282"/>
      <c r="O87" s="1282"/>
      <c r="P87" s="1282"/>
      <c r="Q87" s="1283"/>
      <c r="R87" s="1283"/>
      <c r="S87" s="1283"/>
      <c r="T87" s="1283"/>
      <c r="U87" s="1283"/>
      <c r="V87" s="1282"/>
      <c r="W87" s="1286"/>
      <c r="X87" s="1283"/>
      <c r="Y87" s="1286"/>
      <c r="Z87" s="1282"/>
      <c r="AA87" s="1277"/>
    </row>
    <row r="88" spans="1:27">
      <c r="A88" s="1281"/>
      <c r="B88" s="1282"/>
      <c r="C88" s="1282"/>
      <c r="D88" s="1282"/>
      <c r="E88" s="1283"/>
      <c r="F88" s="1283"/>
      <c r="G88" s="1283"/>
      <c r="H88" s="1283"/>
      <c r="I88" s="1282"/>
      <c r="J88" s="1282"/>
      <c r="K88" s="1282"/>
      <c r="L88" s="1287"/>
      <c r="M88" s="1282"/>
      <c r="N88" s="1282"/>
      <c r="O88" s="1282"/>
      <c r="P88" s="1282"/>
      <c r="Q88" s="1283"/>
      <c r="R88" s="1283"/>
      <c r="S88" s="1283"/>
      <c r="T88" s="1283"/>
      <c r="U88" s="1283"/>
      <c r="V88" s="1282"/>
      <c r="W88" s="1286"/>
      <c r="X88" s="1283"/>
      <c r="Y88" s="1286"/>
      <c r="Z88" s="1282"/>
      <c r="AA88" s="1277"/>
    </row>
    <row r="89" spans="1:27">
      <c r="A89" s="1281"/>
      <c r="B89" s="1282"/>
      <c r="C89" s="1282"/>
      <c r="D89" s="1282"/>
      <c r="E89" s="1283"/>
      <c r="F89" s="1283"/>
      <c r="G89" s="1283"/>
      <c r="H89" s="1283"/>
      <c r="I89" s="1282"/>
      <c r="J89" s="1282"/>
      <c r="K89" s="1282"/>
      <c r="L89" s="1287"/>
      <c r="M89" s="1282"/>
      <c r="N89" s="1282"/>
      <c r="O89" s="1282"/>
      <c r="P89" s="1282"/>
      <c r="Q89" s="1283"/>
      <c r="R89" s="1283"/>
      <c r="S89" s="1283"/>
      <c r="T89" s="1283"/>
      <c r="U89" s="1283"/>
      <c r="V89" s="1282"/>
      <c r="W89" s="1286"/>
      <c r="X89" s="1283"/>
      <c r="Y89" s="1286"/>
      <c r="Z89" s="1282"/>
      <c r="AA89" s="1277"/>
    </row>
    <row r="90" spans="1:27">
      <c r="A90" s="1281"/>
      <c r="B90" s="1282"/>
      <c r="C90" s="1282"/>
      <c r="D90" s="1282"/>
      <c r="E90" s="1283"/>
      <c r="F90" s="1283"/>
      <c r="G90" s="1283"/>
      <c r="H90" s="1283"/>
      <c r="I90" s="1282"/>
      <c r="J90" s="1282"/>
      <c r="K90" s="1282"/>
      <c r="L90" s="1287"/>
      <c r="M90" s="1282"/>
      <c r="N90" s="1282"/>
      <c r="O90" s="1282"/>
      <c r="P90" s="1282"/>
      <c r="Q90" s="1283"/>
      <c r="R90" s="1283"/>
      <c r="S90" s="1283"/>
      <c r="T90" s="1283"/>
      <c r="U90" s="1283"/>
      <c r="V90" s="1282"/>
      <c r="W90" s="1286"/>
      <c r="X90" s="1283"/>
      <c r="Y90" s="1286"/>
      <c r="Z90" s="1282"/>
      <c r="AA90" s="1277"/>
    </row>
    <row r="91" spans="1:27">
      <c r="A91" s="1281"/>
      <c r="B91" s="1282"/>
      <c r="C91" s="1282"/>
      <c r="D91" s="1282"/>
      <c r="E91" s="1283"/>
      <c r="F91" s="1283"/>
      <c r="G91" s="1283"/>
      <c r="H91" s="1283"/>
      <c r="I91" s="1282"/>
      <c r="J91" s="1282"/>
      <c r="K91" s="1282"/>
      <c r="L91" s="1287"/>
      <c r="M91" s="1282"/>
      <c r="N91" s="1282"/>
      <c r="O91" s="1282"/>
      <c r="P91" s="1282"/>
      <c r="Q91" s="1283"/>
      <c r="R91" s="1283"/>
      <c r="S91" s="1283"/>
      <c r="T91" s="1283"/>
      <c r="U91" s="1283"/>
      <c r="V91" s="1282"/>
      <c r="W91" s="1286"/>
      <c r="X91" s="1283"/>
      <c r="Y91" s="1286"/>
      <c r="Z91" s="1282"/>
      <c r="AA91" s="1277"/>
    </row>
    <row r="92" spans="1:27">
      <c r="A92" s="1281"/>
      <c r="B92" s="1282"/>
      <c r="C92" s="1282"/>
      <c r="D92" s="1282"/>
      <c r="E92" s="1283"/>
      <c r="F92" s="1283"/>
      <c r="G92" s="1283"/>
      <c r="H92" s="1283"/>
      <c r="I92" s="1282"/>
      <c r="J92" s="1282"/>
      <c r="K92" s="1282"/>
      <c r="L92" s="1287"/>
      <c r="M92" s="1282"/>
      <c r="N92" s="1282"/>
      <c r="O92" s="1282"/>
      <c r="P92" s="1282"/>
      <c r="Q92" s="1283"/>
      <c r="R92" s="1283"/>
      <c r="S92" s="1283"/>
      <c r="T92" s="1283"/>
      <c r="U92" s="1283"/>
      <c r="V92" s="1282"/>
      <c r="W92" s="1286"/>
      <c r="X92" s="1283"/>
      <c r="Y92" s="1286"/>
      <c r="Z92" s="1282"/>
      <c r="AA92" s="1277"/>
    </row>
    <row r="93" spans="1:27">
      <c r="A93" s="1281"/>
      <c r="B93" s="1282"/>
      <c r="C93" s="1282"/>
      <c r="D93" s="1282"/>
      <c r="E93" s="1283"/>
      <c r="F93" s="1283"/>
      <c r="G93" s="1283"/>
      <c r="H93" s="1283"/>
      <c r="I93" s="1282"/>
      <c r="J93" s="1282"/>
      <c r="K93" s="1282"/>
      <c r="L93" s="1287"/>
      <c r="M93" s="1282"/>
      <c r="N93" s="1282"/>
      <c r="O93" s="1282"/>
      <c r="P93" s="1282"/>
      <c r="Q93" s="1283"/>
      <c r="R93" s="1283"/>
      <c r="S93" s="1283"/>
      <c r="T93" s="1283"/>
      <c r="U93" s="1283"/>
      <c r="V93" s="1282"/>
      <c r="W93" s="1286"/>
      <c r="X93" s="1283"/>
      <c r="Y93" s="1286"/>
      <c r="Z93" s="1282"/>
      <c r="AA93" s="1277"/>
    </row>
    <row r="94" spans="1:27">
      <c r="A94" s="1281"/>
      <c r="B94" s="1282"/>
      <c r="C94" s="1282"/>
      <c r="D94" s="1282"/>
      <c r="E94" s="1283"/>
      <c r="F94" s="1283"/>
      <c r="G94" s="1283"/>
      <c r="H94" s="1283"/>
      <c r="I94" s="1282"/>
      <c r="J94" s="1282"/>
      <c r="K94" s="1282"/>
      <c r="L94" s="1287"/>
      <c r="M94" s="1282"/>
      <c r="N94" s="1282"/>
      <c r="O94" s="1282"/>
      <c r="P94" s="1282"/>
      <c r="Q94" s="1283"/>
      <c r="R94" s="1283"/>
      <c r="S94" s="1283"/>
      <c r="T94" s="1283"/>
      <c r="U94" s="1283"/>
      <c r="V94" s="1282"/>
      <c r="W94" s="1286"/>
      <c r="X94" s="1283"/>
      <c r="Y94" s="1286"/>
      <c r="Z94" s="1282"/>
      <c r="AA94" s="1277"/>
    </row>
    <row r="95" spans="1:27">
      <c r="A95" s="1281"/>
      <c r="B95" s="1282"/>
      <c r="C95" s="1282"/>
      <c r="D95" s="1282"/>
      <c r="E95" s="1283"/>
      <c r="F95" s="1283"/>
      <c r="G95" s="1283"/>
      <c r="H95" s="1283"/>
      <c r="I95" s="1282"/>
      <c r="J95" s="1282"/>
      <c r="K95" s="1282"/>
      <c r="L95" s="1287"/>
      <c r="M95" s="1282"/>
      <c r="N95" s="1282"/>
      <c r="O95" s="1282"/>
      <c r="P95" s="1282"/>
      <c r="Q95" s="1283"/>
      <c r="R95" s="1283"/>
      <c r="S95" s="1283"/>
      <c r="T95" s="1283"/>
      <c r="U95" s="1283"/>
      <c r="V95" s="1282"/>
      <c r="W95" s="1286"/>
      <c r="X95" s="1283"/>
      <c r="Y95" s="1286"/>
      <c r="Z95" s="1282"/>
      <c r="AA95" s="1277"/>
    </row>
    <row r="96" spans="1:27">
      <c r="A96" s="1281"/>
      <c r="B96" s="1282"/>
      <c r="C96" s="1282"/>
      <c r="D96" s="1282"/>
      <c r="E96" s="1283"/>
      <c r="F96" s="1283"/>
      <c r="G96" s="1283"/>
      <c r="H96" s="1283"/>
      <c r="I96" s="1282"/>
      <c r="J96" s="1282"/>
      <c r="K96" s="1282"/>
      <c r="L96" s="1287"/>
      <c r="M96" s="1282"/>
      <c r="N96" s="1282"/>
      <c r="O96" s="1282"/>
      <c r="P96" s="1282"/>
      <c r="Q96" s="1283"/>
      <c r="R96" s="1283"/>
      <c r="S96" s="1283"/>
      <c r="T96" s="1283"/>
      <c r="U96" s="1283"/>
      <c r="V96" s="1282"/>
      <c r="W96" s="1286"/>
      <c r="X96" s="1283"/>
      <c r="Y96" s="1286"/>
      <c r="Z96" s="1282"/>
      <c r="AA96" s="1277"/>
    </row>
    <row r="97" spans="1:27">
      <c r="A97" s="1281"/>
      <c r="B97" s="1282"/>
      <c r="C97" s="1282"/>
      <c r="D97" s="1282"/>
      <c r="E97" s="1283"/>
      <c r="F97" s="1283"/>
      <c r="G97" s="1283"/>
      <c r="H97" s="1283"/>
      <c r="I97" s="1282"/>
      <c r="J97" s="1282"/>
      <c r="K97" s="1282"/>
      <c r="L97" s="1287"/>
      <c r="M97" s="1282"/>
      <c r="N97" s="1282"/>
      <c r="O97" s="1282"/>
      <c r="P97" s="1282"/>
      <c r="Q97" s="1283"/>
      <c r="R97" s="1283"/>
      <c r="S97" s="1283"/>
      <c r="T97" s="1283"/>
      <c r="U97" s="1283"/>
      <c r="V97" s="1282"/>
      <c r="W97" s="1286"/>
      <c r="X97" s="1283"/>
      <c r="Y97" s="1286"/>
      <c r="Z97" s="1282"/>
      <c r="AA97" s="1277"/>
    </row>
    <row r="98" spans="1:27">
      <c r="A98" s="1281"/>
      <c r="B98" s="1282"/>
      <c r="C98" s="1282"/>
      <c r="D98" s="1282"/>
      <c r="E98" s="1283"/>
      <c r="F98" s="1283"/>
      <c r="G98" s="1283"/>
      <c r="H98" s="1283"/>
      <c r="I98" s="1282"/>
      <c r="J98" s="1282"/>
      <c r="K98" s="1282"/>
      <c r="L98" s="1287"/>
      <c r="M98" s="1282"/>
      <c r="N98" s="1282"/>
      <c r="O98" s="1282"/>
      <c r="P98" s="1282"/>
      <c r="Q98" s="1283"/>
      <c r="R98" s="1283"/>
      <c r="S98" s="1283"/>
      <c r="T98" s="1283"/>
      <c r="U98" s="1283"/>
      <c r="V98" s="1282"/>
      <c r="W98" s="1286"/>
      <c r="X98" s="1283"/>
      <c r="Y98" s="1286"/>
      <c r="Z98" s="1282"/>
      <c r="AA98" s="1277"/>
    </row>
    <row r="99" spans="1:27">
      <c r="A99" s="1281"/>
      <c r="B99" s="1282"/>
      <c r="C99" s="1282"/>
      <c r="D99" s="1282"/>
      <c r="E99" s="1283"/>
      <c r="F99" s="1283"/>
      <c r="G99" s="1283"/>
      <c r="H99" s="1283"/>
      <c r="I99" s="1282"/>
      <c r="J99" s="1282"/>
      <c r="K99" s="1282"/>
      <c r="L99" s="1287"/>
      <c r="M99" s="1282"/>
      <c r="N99" s="1282"/>
      <c r="O99" s="1282"/>
      <c r="P99" s="1282"/>
      <c r="Q99" s="1283"/>
      <c r="R99" s="1283"/>
      <c r="S99" s="1283"/>
      <c r="T99" s="1283"/>
      <c r="U99" s="1283"/>
      <c r="V99" s="1282"/>
      <c r="W99" s="1286"/>
      <c r="X99" s="1283"/>
      <c r="Y99" s="1286"/>
      <c r="Z99" s="1282"/>
      <c r="AA99" s="1277"/>
    </row>
    <row r="100" spans="1:27">
      <c r="A100" s="1281"/>
      <c r="B100" s="1282"/>
      <c r="C100" s="1282"/>
      <c r="D100" s="1282"/>
      <c r="E100" s="1283"/>
      <c r="F100" s="1283"/>
      <c r="G100" s="1283"/>
      <c r="H100" s="1283"/>
      <c r="I100" s="1282"/>
      <c r="J100" s="1282"/>
      <c r="K100" s="1282"/>
      <c r="L100" s="1287"/>
      <c r="M100" s="1282"/>
      <c r="N100" s="1282"/>
      <c r="O100" s="1282"/>
      <c r="P100" s="1282"/>
      <c r="Q100" s="1283"/>
      <c r="R100" s="1283"/>
      <c r="S100" s="1283"/>
      <c r="T100" s="1283"/>
      <c r="U100" s="1283"/>
      <c r="V100" s="1282"/>
      <c r="W100" s="1286"/>
      <c r="X100" s="1283"/>
      <c r="Y100" s="1286"/>
      <c r="Z100" s="1282"/>
      <c r="AA100" s="1277"/>
    </row>
    <row r="101" spans="1:27">
      <c r="A101" s="1281"/>
      <c r="B101" s="1282"/>
      <c r="C101" s="1282"/>
      <c r="D101" s="1282"/>
      <c r="E101" s="1283"/>
      <c r="F101" s="1283"/>
      <c r="G101" s="1283"/>
      <c r="H101" s="1283"/>
      <c r="I101" s="1282"/>
      <c r="J101" s="1282"/>
      <c r="K101" s="1282"/>
      <c r="L101" s="1287"/>
      <c r="M101" s="1282"/>
      <c r="N101" s="1282"/>
      <c r="O101" s="1282"/>
      <c r="P101" s="1282"/>
      <c r="Q101" s="1283"/>
      <c r="R101" s="1283"/>
      <c r="S101" s="1283"/>
      <c r="T101" s="1283"/>
      <c r="U101" s="1283"/>
      <c r="V101" s="1282"/>
      <c r="W101" s="1286"/>
      <c r="X101" s="1283"/>
      <c r="Y101" s="1286"/>
      <c r="Z101" s="1282"/>
      <c r="AA101" s="1277"/>
    </row>
    <row r="102" spans="1:27">
      <c r="A102" s="1281"/>
      <c r="B102" s="1282"/>
      <c r="C102" s="1282"/>
      <c r="D102" s="1282"/>
      <c r="E102" s="1283"/>
      <c r="F102" s="1283"/>
      <c r="G102" s="1283"/>
      <c r="H102" s="1283"/>
      <c r="I102" s="1282"/>
      <c r="J102" s="1282"/>
      <c r="K102" s="1282"/>
      <c r="L102" s="1287"/>
      <c r="M102" s="1282"/>
      <c r="N102" s="1282"/>
      <c r="O102" s="1282"/>
      <c r="P102" s="1282"/>
      <c r="Q102" s="1283"/>
      <c r="R102" s="1283"/>
      <c r="S102" s="1283"/>
      <c r="T102" s="1283"/>
      <c r="U102" s="1283"/>
      <c r="V102" s="1282"/>
      <c r="W102" s="1286"/>
      <c r="X102" s="1283"/>
      <c r="Y102" s="1286"/>
      <c r="Z102" s="1282"/>
      <c r="AA102" s="1277"/>
    </row>
    <row r="103" spans="1:27">
      <c r="A103" s="1281"/>
      <c r="B103" s="1282"/>
      <c r="C103" s="1282"/>
      <c r="D103" s="1282"/>
      <c r="E103" s="1283"/>
      <c r="F103" s="1283"/>
      <c r="G103" s="1283"/>
      <c r="H103" s="1283"/>
      <c r="I103" s="1282"/>
      <c r="J103" s="1282"/>
      <c r="K103" s="1282"/>
      <c r="L103" s="1287"/>
      <c r="M103" s="1282"/>
      <c r="N103" s="1282"/>
      <c r="O103" s="1282"/>
      <c r="P103" s="1282"/>
      <c r="Q103" s="1283"/>
      <c r="R103" s="1283"/>
      <c r="S103" s="1283"/>
      <c r="T103" s="1283"/>
      <c r="U103" s="1283"/>
      <c r="V103" s="1282"/>
      <c r="W103" s="1286"/>
      <c r="X103" s="1283"/>
      <c r="Y103" s="1286"/>
      <c r="Z103" s="1282"/>
      <c r="AA103" s="1277"/>
    </row>
    <row r="104" spans="1:27">
      <c r="A104" s="1281"/>
      <c r="B104" s="1282"/>
      <c r="C104" s="1282"/>
      <c r="D104" s="1282"/>
      <c r="E104" s="1283"/>
      <c r="F104" s="1283"/>
      <c r="G104" s="1283"/>
      <c r="H104" s="1283"/>
      <c r="I104" s="1282"/>
      <c r="J104" s="1282"/>
      <c r="K104" s="1282"/>
      <c r="L104" s="1287"/>
      <c r="M104" s="1282"/>
      <c r="N104" s="1282"/>
      <c r="O104" s="1282"/>
      <c r="P104" s="1282"/>
      <c r="Q104" s="1283"/>
      <c r="R104" s="1283"/>
      <c r="S104" s="1283"/>
      <c r="T104" s="1283"/>
      <c r="U104" s="1283"/>
      <c r="V104" s="1282"/>
      <c r="W104" s="1286"/>
      <c r="X104" s="1283"/>
      <c r="Y104" s="1286"/>
      <c r="Z104" s="1282"/>
      <c r="AA104" s="1277"/>
    </row>
    <row r="105" spans="1:27">
      <c r="A105" s="1281"/>
      <c r="B105" s="1282"/>
      <c r="C105" s="1282"/>
      <c r="D105" s="1282"/>
      <c r="E105" s="1283"/>
      <c r="F105" s="1283"/>
      <c r="G105" s="1283"/>
      <c r="H105" s="1283"/>
      <c r="I105" s="1282"/>
      <c r="J105" s="1282"/>
      <c r="K105" s="1282"/>
      <c r="L105" s="1287"/>
      <c r="M105" s="1282"/>
      <c r="N105" s="1282"/>
      <c r="O105" s="1282"/>
      <c r="P105" s="1282"/>
      <c r="Q105" s="1283"/>
      <c r="R105" s="1283"/>
      <c r="S105" s="1283"/>
      <c r="T105" s="1283"/>
      <c r="U105" s="1283"/>
      <c r="V105" s="1282"/>
      <c r="W105" s="1286"/>
      <c r="X105" s="1283"/>
      <c r="Y105" s="1286"/>
      <c r="Z105" s="1282"/>
      <c r="AA105" s="1277"/>
    </row>
    <row r="106" spans="1:27">
      <c r="A106" s="1281"/>
      <c r="B106" s="1282"/>
      <c r="C106" s="1282"/>
      <c r="D106" s="1282"/>
      <c r="E106" s="1283"/>
      <c r="F106" s="1283"/>
      <c r="G106" s="1283"/>
      <c r="H106" s="1283"/>
      <c r="I106" s="1282"/>
      <c r="J106" s="1282"/>
      <c r="K106" s="1282"/>
      <c r="L106" s="1287"/>
      <c r="M106" s="1282"/>
      <c r="N106" s="1282"/>
      <c r="O106" s="1282"/>
      <c r="P106" s="1282"/>
      <c r="Q106" s="1283"/>
      <c r="R106" s="1283"/>
      <c r="S106" s="1283"/>
      <c r="T106" s="1283"/>
      <c r="U106" s="1283"/>
      <c r="V106" s="1282"/>
      <c r="W106" s="1286"/>
      <c r="X106" s="1283"/>
      <c r="Y106" s="1286"/>
      <c r="Z106" s="1282"/>
      <c r="AA106" s="1277"/>
    </row>
    <row r="107" spans="1:27">
      <c r="A107" s="1281"/>
      <c r="B107" s="1282"/>
      <c r="C107" s="1282"/>
      <c r="D107" s="1282"/>
      <c r="E107" s="1283"/>
      <c r="F107" s="1283"/>
      <c r="G107" s="1283"/>
      <c r="H107" s="1283"/>
      <c r="I107" s="1282"/>
      <c r="J107" s="1282"/>
      <c r="K107" s="1282"/>
      <c r="L107" s="1287"/>
      <c r="M107" s="1282"/>
      <c r="N107" s="1282"/>
      <c r="O107" s="1282"/>
      <c r="P107" s="1282"/>
      <c r="Q107" s="1283"/>
      <c r="R107" s="1283"/>
      <c r="S107" s="1283"/>
      <c r="T107" s="1283"/>
      <c r="U107" s="1283"/>
      <c r="V107" s="1282"/>
      <c r="W107" s="1286"/>
      <c r="X107" s="1283"/>
      <c r="Y107" s="1286"/>
      <c r="Z107" s="1282"/>
      <c r="AA107" s="1277"/>
    </row>
    <row r="108" spans="1:27">
      <c r="A108" s="1281"/>
      <c r="B108" s="1282"/>
      <c r="C108" s="1282"/>
      <c r="D108" s="1282"/>
      <c r="E108" s="1283"/>
      <c r="F108" s="1283"/>
      <c r="G108" s="1283"/>
      <c r="H108" s="1283"/>
      <c r="I108" s="1282"/>
      <c r="J108" s="1282"/>
      <c r="K108" s="1282"/>
      <c r="L108" s="1287"/>
      <c r="M108" s="1282"/>
      <c r="N108" s="1282"/>
      <c r="O108" s="1282"/>
      <c r="P108" s="1282"/>
      <c r="Q108" s="1283"/>
      <c r="R108" s="1283"/>
      <c r="S108" s="1283"/>
      <c r="T108" s="1283"/>
      <c r="U108" s="1283"/>
      <c r="V108" s="1282"/>
      <c r="W108" s="1286"/>
      <c r="X108" s="1283"/>
      <c r="Y108" s="1286"/>
      <c r="Z108" s="1282"/>
      <c r="AA108" s="1277"/>
    </row>
    <row r="109" spans="1:27">
      <c r="A109" s="1281"/>
      <c r="B109" s="1282"/>
      <c r="C109" s="1282"/>
      <c r="D109" s="1282"/>
      <c r="E109" s="1283"/>
      <c r="F109" s="1283"/>
      <c r="G109" s="1283"/>
      <c r="H109" s="1283"/>
      <c r="I109" s="1282"/>
      <c r="J109" s="1282"/>
      <c r="K109" s="1282"/>
      <c r="L109" s="1287"/>
      <c r="M109" s="1282"/>
      <c r="N109" s="1282"/>
      <c r="O109" s="1282"/>
      <c r="P109" s="1282"/>
      <c r="Q109" s="1283"/>
      <c r="R109" s="1283"/>
      <c r="S109" s="1283"/>
      <c r="T109" s="1283"/>
      <c r="U109" s="1283"/>
      <c r="V109" s="1282"/>
      <c r="W109" s="1286"/>
      <c r="X109" s="1283"/>
      <c r="Y109" s="1286"/>
      <c r="Z109" s="1282"/>
      <c r="AA109" s="1277"/>
    </row>
    <row r="110" spans="1:27">
      <c r="A110" s="1281"/>
      <c r="B110" s="1282"/>
      <c r="C110" s="1282"/>
      <c r="D110" s="1282"/>
      <c r="E110" s="1283"/>
      <c r="F110" s="1283"/>
      <c r="G110" s="1283"/>
      <c r="H110" s="1283"/>
      <c r="I110" s="1282"/>
      <c r="J110" s="1282"/>
      <c r="K110" s="1282"/>
      <c r="L110" s="1287"/>
      <c r="M110" s="1282"/>
      <c r="N110" s="1282"/>
      <c r="O110" s="1282"/>
      <c r="P110" s="1282"/>
      <c r="Q110" s="1283"/>
      <c r="R110" s="1283"/>
      <c r="S110" s="1283"/>
      <c r="T110" s="1283"/>
      <c r="U110" s="1283"/>
      <c r="V110" s="1282"/>
      <c r="W110" s="1286"/>
      <c r="X110" s="1283"/>
      <c r="Y110" s="1286"/>
      <c r="Z110" s="1282"/>
      <c r="AA110" s="1277"/>
    </row>
    <row r="111" spans="1:27">
      <c r="A111" s="1281"/>
      <c r="B111" s="1282"/>
      <c r="C111" s="1282"/>
      <c r="D111" s="1282"/>
      <c r="E111" s="1283"/>
      <c r="F111" s="1283"/>
      <c r="G111" s="1283"/>
      <c r="H111" s="1283"/>
      <c r="I111" s="1282"/>
      <c r="J111" s="1282"/>
      <c r="K111" s="1282"/>
      <c r="L111" s="1287"/>
      <c r="M111" s="1282"/>
      <c r="N111" s="1282"/>
      <c r="O111" s="1282"/>
      <c r="P111" s="1282"/>
      <c r="Q111" s="1283"/>
      <c r="R111" s="1283"/>
      <c r="S111" s="1283"/>
      <c r="T111" s="1283"/>
      <c r="U111" s="1283"/>
      <c r="V111" s="1282"/>
      <c r="W111" s="1286"/>
      <c r="X111" s="1283"/>
      <c r="Y111" s="1286"/>
      <c r="Z111" s="1282"/>
      <c r="AA111" s="1277"/>
    </row>
    <row r="112" spans="1:27">
      <c r="A112" s="1281"/>
      <c r="B112" s="1282"/>
      <c r="C112" s="1282"/>
      <c r="D112" s="1282"/>
      <c r="E112" s="1283"/>
      <c r="F112" s="1283"/>
      <c r="G112" s="1283"/>
      <c r="H112" s="1283"/>
      <c r="I112" s="1282"/>
      <c r="J112" s="1282"/>
      <c r="K112" s="1282"/>
      <c r="L112" s="1287"/>
      <c r="M112" s="1282"/>
      <c r="N112" s="1282"/>
      <c r="O112" s="1282"/>
      <c r="P112" s="1282"/>
      <c r="Q112" s="1283"/>
      <c r="R112" s="1283"/>
      <c r="S112" s="1283"/>
      <c r="T112" s="1283"/>
      <c r="U112" s="1283"/>
      <c r="V112" s="1282"/>
      <c r="W112" s="1286"/>
      <c r="X112" s="1283"/>
      <c r="Y112" s="1286"/>
      <c r="Z112" s="1282"/>
      <c r="AA112" s="1277"/>
    </row>
    <row r="113" spans="1:27">
      <c r="A113" s="1281"/>
      <c r="B113" s="1282"/>
      <c r="C113" s="1282"/>
      <c r="D113" s="1282"/>
      <c r="E113" s="1283"/>
      <c r="F113" s="1283"/>
      <c r="G113" s="1283"/>
      <c r="H113" s="1283"/>
      <c r="I113" s="1282"/>
      <c r="J113" s="1282"/>
      <c r="K113" s="1282"/>
      <c r="L113" s="1287"/>
      <c r="M113" s="1282"/>
      <c r="N113" s="1282"/>
      <c r="O113" s="1282"/>
      <c r="P113" s="1282"/>
      <c r="Q113" s="1283"/>
      <c r="R113" s="1283"/>
      <c r="S113" s="1283"/>
      <c r="T113" s="1283"/>
      <c r="U113" s="1283"/>
      <c r="V113" s="1282"/>
      <c r="W113" s="1286"/>
      <c r="X113" s="1283"/>
      <c r="Y113" s="1286"/>
      <c r="Z113" s="1282"/>
      <c r="AA113" s="1277"/>
    </row>
    <row r="114" spans="1:27">
      <c r="A114" s="1281"/>
      <c r="B114" s="1282"/>
      <c r="C114" s="1282"/>
      <c r="D114" s="1282"/>
      <c r="E114" s="1283"/>
      <c r="F114" s="1283"/>
      <c r="G114" s="1283"/>
      <c r="H114" s="1283"/>
      <c r="I114" s="1282"/>
      <c r="J114" s="1282"/>
      <c r="K114" s="1282"/>
      <c r="L114" s="1287"/>
      <c r="M114" s="1282"/>
      <c r="N114" s="1282"/>
      <c r="O114" s="1282"/>
      <c r="P114" s="1282"/>
      <c r="Q114" s="1283"/>
      <c r="R114" s="1283"/>
      <c r="S114" s="1283"/>
      <c r="T114" s="1283"/>
      <c r="U114" s="1283"/>
      <c r="V114" s="1282"/>
      <c r="W114" s="1286"/>
      <c r="X114" s="1283"/>
      <c r="Y114" s="1286"/>
      <c r="Z114" s="1282"/>
      <c r="AA114" s="1277"/>
    </row>
    <row r="115" spans="1:27">
      <c r="A115" s="1281"/>
      <c r="B115" s="1282"/>
      <c r="C115" s="1282"/>
      <c r="D115" s="1282"/>
      <c r="E115" s="1283"/>
      <c r="F115" s="1283"/>
      <c r="G115" s="1283"/>
      <c r="H115" s="1283"/>
      <c r="I115" s="1282"/>
      <c r="J115" s="1282"/>
      <c r="K115" s="1282"/>
      <c r="L115" s="1287"/>
      <c r="M115" s="1282"/>
      <c r="N115" s="1282"/>
      <c r="O115" s="1282"/>
      <c r="P115" s="1282"/>
      <c r="Q115" s="1283"/>
      <c r="R115" s="1283"/>
      <c r="S115" s="1283"/>
      <c r="T115" s="1283"/>
      <c r="U115" s="1283"/>
      <c r="V115" s="1282"/>
      <c r="W115" s="1286"/>
      <c r="X115" s="1283"/>
      <c r="Y115" s="1286"/>
      <c r="Z115" s="1282"/>
      <c r="AA115" s="1277"/>
    </row>
    <row r="116" spans="1:27">
      <c r="A116" s="1281"/>
      <c r="B116" s="1282"/>
      <c r="C116" s="1282"/>
      <c r="D116" s="1282"/>
      <c r="E116" s="1283"/>
      <c r="F116" s="1283"/>
      <c r="G116" s="1283"/>
      <c r="H116" s="1283"/>
      <c r="I116" s="1282"/>
      <c r="J116" s="1282"/>
      <c r="K116" s="1282"/>
      <c r="L116" s="1287"/>
      <c r="M116" s="1282"/>
      <c r="N116" s="1282"/>
      <c r="O116" s="1282"/>
      <c r="P116" s="1282"/>
      <c r="Q116" s="1283"/>
      <c r="R116" s="1283"/>
      <c r="S116" s="1283"/>
      <c r="T116" s="1283"/>
      <c r="U116" s="1283"/>
      <c r="V116" s="1282"/>
      <c r="W116" s="1286"/>
      <c r="X116" s="1283"/>
      <c r="Y116" s="1286"/>
      <c r="Z116" s="1282"/>
      <c r="AA116" s="1277"/>
    </row>
    <row r="117" spans="1:27">
      <c r="A117" s="1281"/>
      <c r="B117" s="1282"/>
      <c r="C117" s="1282"/>
      <c r="D117" s="1282"/>
      <c r="E117" s="1283"/>
      <c r="F117" s="1283"/>
      <c r="G117" s="1283"/>
      <c r="H117" s="1283"/>
      <c r="I117" s="1282"/>
      <c r="J117" s="1282"/>
      <c r="K117" s="1282"/>
      <c r="L117" s="1287"/>
      <c r="M117" s="1282"/>
      <c r="N117" s="1282"/>
      <c r="O117" s="1282"/>
      <c r="P117" s="1282"/>
      <c r="Q117" s="1283"/>
      <c r="R117" s="1283"/>
      <c r="S117" s="1283"/>
      <c r="T117" s="1283"/>
      <c r="U117" s="1283"/>
      <c r="V117" s="1282"/>
      <c r="W117" s="1286"/>
      <c r="X117" s="1283"/>
      <c r="Y117" s="1286"/>
      <c r="Z117" s="1282"/>
      <c r="AA117" s="1277"/>
    </row>
    <row r="118" spans="1:27">
      <c r="A118" s="1281"/>
      <c r="B118" s="1282"/>
      <c r="C118" s="1282"/>
      <c r="D118" s="1282"/>
      <c r="E118" s="1283"/>
      <c r="F118" s="1283"/>
      <c r="G118" s="1283"/>
      <c r="H118" s="1283"/>
      <c r="I118" s="1282"/>
      <c r="J118" s="1282"/>
      <c r="K118" s="1282"/>
      <c r="L118" s="1287"/>
      <c r="M118" s="1282"/>
      <c r="N118" s="1282"/>
      <c r="O118" s="1282"/>
      <c r="P118" s="1282"/>
      <c r="Q118" s="1283"/>
      <c r="R118" s="1283"/>
      <c r="S118" s="1283"/>
      <c r="T118" s="1283"/>
      <c r="U118" s="1283"/>
      <c r="V118" s="1282"/>
      <c r="W118" s="1286"/>
      <c r="X118" s="1283"/>
      <c r="Y118" s="1286"/>
      <c r="Z118" s="1282"/>
      <c r="AA118" s="1277"/>
    </row>
    <row r="119" spans="1:27">
      <c r="A119" s="1281"/>
      <c r="B119" s="1282"/>
      <c r="C119" s="1282"/>
      <c r="D119" s="1282"/>
      <c r="E119" s="1283"/>
      <c r="F119" s="1283"/>
      <c r="G119" s="1283"/>
      <c r="H119" s="1283"/>
      <c r="I119" s="1282"/>
      <c r="J119" s="1282"/>
      <c r="K119" s="1282"/>
      <c r="L119" s="1287"/>
      <c r="M119" s="1282"/>
      <c r="N119" s="1282"/>
      <c r="O119" s="1282"/>
      <c r="P119" s="1282"/>
      <c r="Q119" s="1283"/>
      <c r="R119" s="1283"/>
      <c r="S119" s="1283"/>
      <c r="T119" s="1283"/>
      <c r="U119" s="1283"/>
      <c r="V119" s="1282"/>
      <c r="W119" s="1286"/>
      <c r="X119" s="1283"/>
      <c r="Y119" s="1286"/>
      <c r="Z119" s="1282"/>
      <c r="AA119" s="1277"/>
    </row>
    <row r="120" spans="1:27">
      <c r="A120" s="1281"/>
      <c r="B120" s="1282"/>
      <c r="C120" s="1282"/>
      <c r="D120" s="1282"/>
      <c r="E120" s="1283"/>
      <c r="F120" s="1283"/>
      <c r="G120" s="1283"/>
      <c r="H120" s="1283"/>
      <c r="I120" s="1282"/>
      <c r="J120" s="1282"/>
      <c r="K120" s="1282"/>
      <c r="L120" s="1287"/>
      <c r="M120" s="1282"/>
      <c r="N120" s="1282"/>
      <c r="O120" s="1282"/>
      <c r="P120" s="1282"/>
      <c r="Q120" s="1283"/>
      <c r="R120" s="1283"/>
      <c r="S120" s="1283"/>
      <c r="T120" s="1283"/>
      <c r="U120" s="1283"/>
      <c r="V120" s="1282"/>
      <c r="W120" s="1286"/>
      <c r="X120" s="1283"/>
      <c r="Y120" s="1286"/>
      <c r="Z120" s="1282"/>
      <c r="AA120" s="1277"/>
    </row>
    <row r="121" spans="1:27">
      <c r="A121" s="1281"/>
      <c r="B121" s="1282"/>
      <c r="C121" s="1282"/>
      <c r="D121" s="1282"/>
      <c r="E121" s="1283"/>
      <c r="F121" s="1283"/>
      <c r="G121" s="1283"/>
      <c r="H121" s="1283"/>
      <c r="I121" s="1282"/>
      <c r="J121" s="1282"/>
      <c r="K121" s="1282"/>
      <c r="L121" s="1287"/>
      <c r="M121" s="1282"/>
      <c r="N121" s="1282"/>
      <c r="O121" s="1282"/>
      <c r="P121" s="1282"/>
      <c r="Q121" s="1283"/>
      <c r="R121" s="1283"/>
      <c r="S121" s="1283"/>
      <c r="T121" s="1283"/>
      <c r="U121" s="1283"/>
      <c r="V121" s="1282"/>
      <c r="W121" s="1286"/>
      <c r="X121" s="1283"/>
      <c r="Y121" s="1286"/>
      <c r="Z121" s="1282"/>
      <c r="AA121" s="1277"/>
    </row>
    <row r="122" spans="1:27">
      <c r="A122" s="1281"/>
      <c r="B122" s="1282"/>
      <c r="C122" s="1282"/>
      <c r="D122" s="1282"/>
      <c r="E122" s="1283"/>
      <c r="F122" s="1283"/>
      <c r="G122" s="1283"/>
      <c r="H122" s="1283"/>
      <c r="I122" s="1282"/>
      <c r="J122" s="1282"/>
      <c r="K122" s="1282"/>
      <c r="L122" s="1287"/>
      <c r="M122" s="1282"/>
      <c r="N122" s="1282"/>
      <c r="O122" s="1282"/>
      <c r="P122" s="1282"/>
      <c r="Q122" s="1283"/>
      <c r="R122" s="1283"/>
      <c r="S122" s="1283"/>
      <c r="T122" s="1283"/>
      <c r="U122" s="1283"/>
      <c r="V122" s="1282"/>
      <c r="W122" s="1286"/>
      <c r="X122" s="1283"/>
      <c r="Y122" s="1286"/>
      <c r="Z122" s="1282"/>
      <c r="AA122" s="1277"/>
    </row>
    <row r="123" spans="1:27">
      <c r="A123" s="1281"/>
      <c r="B123" s="1282"/>
      <c r="C123" s="1282"/>
      <c r="D123" s="1282"/>
      <c r="E123" s="1283"/>
      <c r="F123" s="1283"/>
      <c r="G123" s="1283"/>
      <c r="H123" s="1283"/>
      <c r="I123" s="1282"/>
      <c r="J123" s="1282"/>
      <c r="K123" s="1282"/>
      <c r="L123" s="1287"/>
      <c r="M123" s="1282"/>
      <c r="N123" s="1282"/>
      <c r="O123" s="1282"/>
      <c r="P123" s="1282"/>
      <c r="Q123" s="1283"/>
      <c r="R123" s="1283"/>
      <c r="S123" s="1283"/>
      <c r="T123" s="1283"/>
      <c r="U123" s="1283"/>
      <c r="V123" s="1282"/>
      <c r="W123" s="1286"/>
      <c r="X123" s="1283"/>
      <c r="Y123" s="1286"/>
      <c r="Z123" s="1282"/>
      <c r="AA123" s="1277"/>
    </row>
    <row r="124" spans="1:27">
      <c r="A124" s="1281"/>
      <c r="B124" s="1282"/>
      <c r="C124" s="1282"/>
      <c r="D124" s="1282"/>
      <c r="E124" s="1283"/>
      <c r="F124" s="1283"/>
      <c r="G124" s="1283"/>
      <c r="H124" s="1283"/>
      <c r="I124" s="1282"/>
      <c r="J124" s="1282"/>
      <c r="K124" s="1282"/>
      <c r="L124" s="1287"/>
      <c r="M124" s="1282"/>
      <c r="N124" s="1282"/>
      <c r="O124" s="1282"/>
      <c r="P124" s="1282"/>
      <c r="Q124" s="1283"/>
      <c r="R124" s="1283"/>
      <c r="S124" s="1283"/>
      <c r="T124" s="1283"/>
      <c r="U124" s="1283"/>
      <c r="V124" s="1282"/>
      <c r="W124" s="1286"/>
      <c r="X124" s="1283"/>
      <c r="Y124" s="1286"/>
      <c r="Z124" s="1282"/>
      <c r="AA124" s="1277"/>
    </row>
    <row r="125" spans="1:27">
      <c r="A125" s="1281"/>
      <c r="B125" s="1282"/>
      <c r="C125" s="1282"/>
      <c r="D125" s="1282"/>
      <c r="E125" s="1283"/>
      <c r="F125" s="1283"/>
      <c r="G125" s="1283"/>
      <c r="H125" s="1283"/>
      <c r="I125" s="1282"/>
      <c r="J125" s="1282"/>
      <c r="K125" s="1282"/>
      <c r="L125" s="1287"/>
      <c r="M125" s="1282"/>
      <c r="N125" s="1282"/>
      <c r="O125" s="1282"/>
      <c r="P125" s="1282"/>
      <c r="Q125" s="1283"/>
      <c r="R125" s="1283"/>
      <c r="S125" s="1283"/>
      <c r="T125" s="1283"/>
      <c r="U125" s="1283"/>
      <c r="V125" s="1282"/>
      <c r="W125" s="1286"/>
      <c r="X125" s="1283"/>
      <c r="Y125" s="1286"/>
      <c r="Z125" s="1282"/>
      <c r="AA125" s="1277"/>
    </row>
    <row r="126" spans="1:27">
      <c r="A126" s="1281"/>
      <c r="B126" s="1282"/>
      <c r="C126" s="1282"/>
      <c r="D126" s="1282"/>
      <c r="E126" s="1283"/>
      <c r="F126" s="1283"/>
      <c r="G126" s="1283"/>
      <c r="H126" s="1283"/>
      <c r="I126" s="1282"/>
      <c r="J126" s="1282"/>
      <c r="K126" s="1282"/>
      <c r="L126" s="1287"/>
      <c r="M126" s="1282"/>
      <c r="N126" s="1282"/>
      <c r="O126" s="1282"/>
      <c r="P126" s="1282"/>
      <c r="Q126" s="1283"/>
      <c r="R126" s="1283"/>
      <c r="S126" s="1283"/>
      <c r="T126" s="1283"/>
      <c r="U126" s="1283"/>
      <c r="V126" s="1282"/>
      <c r="W126" s="1286"/>
      <c r="X126" s="1283"/>
      <c r="Y126" s="1286"/>
      <c r="Z126" s="1282"/>
      <c r="AA126" s="1277"/>
    </row>
    <row r="127" spans="1:27">
      <c r="A127" s="1281"/>
      <c r="B127" s="1282"/>
      <c r="C127" s="1282"/>
      <c r="D127" s="1282"/>
      <c r="E127" s="1283"/>
      <c r="F127" s="1283"/>
      <c r="G127" s="1283"/>
      <c r="H127" s="1283"/>
      <c r="I127" s="1282"/>
      <c r="J127" s="1282"/>
      <c r="K127" s="1282"/>
      <c r="L127" s="1287"/>
      <c r="M127" s="1282"/>
      <c r="N127" s="1282"/>
      <c r="O127" s="1282"/>
      <c r="P127" s="1282"/>
      <c r="Q127" s="1283"/>
      <c r="R127" s="1283"/>
      <c r="S127" s="1283"/>
      <c r="T127" s="1283"/>
      <c r="U127" s="1283"/>
      <c r="V127" s="1282"/>
      <c r="W127" s="1286"/>
      <c r="X127" s="1283"/>
      <c r="Y127" s="1286"/>
      <c r="Z127" s="1282"/>
      <c r="AA127" s="1277"/>
    </row>
    <row r="128" spans="1:27">
      <c r="A128" s="1281"/>
      <c r="B128" s="1282"/>
      <c r="C128" s="1282"/>
      <c r="D128" s="1282"/>
      <c r="E128" s="1283"/>
      <c r="F128" s="1283"/>
      <c r="G128" s="1283"/>
      <c r="H128" s="1283"/>
      <c r="I128" s="1282"/>
      <c r="J128" s="1282"/>
      <c r="K128" s="1282"/>
      <c r="L128" s="1287"/>
      <c r="M128" s="1282"/>
      <c r="N128" s="1282"/>
      <c r="O128" s="1282"/>
      <c r="P128" s="1282"/>
      <c r="Q128" s="1283"/>
      <c r="R128" s="1283"/>
      <c r="S128" s="1283"/>
      <c r="T128" s="1283"/>
      <c r="U128" s="1283"/>
      <c r="V128" s="1282"/>
      <c r="W128" s="1286"/>
      <c r="X128" s="1283"/>
      <c r="Y128" s="1286"/>
      <c r="Z128" s="1282"/>
      <c r="AA128" s="1277"/>
    </row>
    <row r="129" spans="1:27">
      <c r="A129" s="1281"/>
      <c r="B129" s="1282"/>
      <c r="C129" s="1282"/>
      <c r="D129" s="1282"/>
      <c r="E129" s="1283"/>
      <c r="F129" s="1283"/>
      <c r="G129" s="1283"/>
      <c r="H129" s="1283"/>
      <c r="I129" s="1282"/>
      <c r="J129" s="1282"/>
      <c r="K129" s="1282"/>
      <c r="L129" s="1287"/>
      <c r="M129" s="1282"/>
      <c r="N129" s="1282"/>
      <c r="O129" s="1282"/>
      <c r="P129" s="1282"/>
      <c r="Q129" s="1283"/>
      <c r="R129" s="1283"/>
      <c r="S129" s="1283"/>
      <c r="T129" s="1283"/>
      <c r="U129" s="1283"/>
      <c r="V129" s="1282"/>
      <c r="W129" s="1286"/>
      <c r="X129" s="1283"/>
      <c r="Y129" s="1286"/>
      <c r="Z129" s="1282"/>
      <c r="AA129" s="1277"/>
    </row>
    <row r="130" spans="1:27">
      <c r="A130" s="1281"/>
      <c r="B130" s="1282"/>
      <c r="C130" s="1282"/>
      <c r="D130" s="1282"/>
      <c r="E130" s="1283"/>
      <c r="F130" s="1283"/>
      <c r="G130" s="1283"/>
      <c r="H130" s="1283"/>
      <c r="I130" s="1282"/>
      <c r="J130" s="1282"/>
      <c r="K130" s="1282"/>
      <c r="L130" s="1287"/>
      <c r="M130" s="1282"/>
      <c r="N130" s="1282"/>
      <c r="O130" s="1282"/>
      <c r="P130" s="1282"/>
      <c r="Q130" s="1283"/>
      <c r="R130" s="1283"/>
      <c r="S130" s="1283"/>
      <c r="T130" s="1283"/>
      <c r="U130" s="1283"/>
      <c r="V130" s="1282"/>
      <c r="W130" s="1286"/>
      <c r="X130" s="1283"/>
      <c r="Y130" s="1286"/>
      <c r="Z130" s="1282"/>
      <c r="AA130" s="1277"/>
    </row>
    <row r="131" spans="1:27">
      <c r="A131" s="1281"/>
      <c r="B131" s="1282"/>
      <c r="C131" s="1282"/>
      <c r="D131" s="1282"/>
      <c r="E131" s="1283"/>
      <c r="F131" s="1283"/>
      <c r="G131" s="1283"/>
      <c r="H131" s="1283"/>
      <c r="I131" s="1282"/>
      <c r="J131" s="1282"/>
      <c r="K131" s="1282"/>
      <c r="L131" s="1287"/>
      <c r="M131" s="1282"/>
      <c r="N131" s="1282"/>
      <c r="O131" s="1282"/>
      <c r="P131" s="1282"/>
      <c r="Q131" s="1283"/>
      <c r="R131" s="1283"/>
      <c r="S131" s="1283"/>
      <c r="T131" s="1283"/>
      <c r="U131" s="1283"/>
      <c r="V131" s="1282"/>
      <c r="W131" s="1286"/>
      <c r="X131" s="1283"/>
      <c r="Y131" s="1286"/>
      <c r="Z131" s="1282"/>
      <c r="AA131" s="1277"/>
    </row>
    <row r="132" spans="1:27">
      <c r="A132" s="1281"/>
      <c r="B132" s="1282"/>
      <c r="C132" s="1282"/>
      <c r="D132" s="1282"/>
      <c r="E132" s="1283"/>
      <c r="F132" s="1283"/>
      <c r="G132" s="1283"/>
      <c r="H132" s="1283"/>
      <c r="I132" s="1282"/>
      <c r="J132" s="1282"/>
      <c r="K132" s="1282"/>
      <c r="L132" s="1287"/>
      <c r="M132" s="1282"/>
      <c r="N132" s="1282"/>
      <c r="O132" s="1282"/>
      <c r="P132" s="1282"/>
      <c r="Q132" s="1283"/>
      <c r="R132" s="1283"/>
      <c r="S132" s="1283"/>
      <c r="T132" s="1283"/>
      <c r="U132" s="1283"/>
      <c r="V132" s="1282"/>
      <c r="W132" s="1286"/>
      <c r="X132" s="1283"/>
      <c r="Y132" s="1286"/>
      <c r="Z132" s="1282"/>
      <c r="AA132" s="1277"/>
    </row>
    <row r="133" spans="1:27">
      <c r="A133" s="1281"/>
      <c r="B133" s="1282"/>
      <c r="C133" s="1282"/>
      <c r="D133" s="1282"/>
      <c r="E133" s="1283"/>
      <c r="F133" s="1283"/>
      <c r="G133" s="1283"/>
      <c r="H133" s="1283"/>
      <c r="I133" s="1282"/>
      <c r="J133" s="1282"/>
      <c r="K133" s="1282"/>
      <c r="L133" s="1287"/>
      <c r="M133" s="1282"/>
      <c r="N133" s="1282"/>
      <c r="O133" s="1282"/>
      <c r="P133" s="1282"/>
      <c r="Q133" s="1283"/>
      <c r="R133" s="1283"/>
      <c r="S133" s="1283"/>
      <c r="T133" s="1283"/>
      <c r="U133" s="1283"/>
      <c r="V133" s="1282"/>
      <c r="W133" s="1286"/>
      <c r="X133" s="1283"/>
      <c r="Y133" s="1286"/>
      <c r="Z133" s="1282"/>
      <c r="AA133" s="1277"/>
    </row>
    <row r="134" spans="1:27">
      <c r="A134" s="1281"/>
      <c r="B134" s="1282"/>
      <c r="C134" s="1282"/>
      <c r="D134" s="1282"/>
      <c r="E134" s="1283"/>
      <c r="F134" s="1283"/>
      <c r="G134" s="1283"/>
      <c r="H134" s="1283"/>
      <c r="I134" s="1282"/>
      <c r="J134" s="1282"/>
      <c r="K134" s="1282"/>
      <c r="L134" s="1287"/>
      <c r="M134" s="1282"/>
      <c r="N134" s="1282"/>
      <c r="O134" s="1282"/>
      <c r="P134" s="1282"/>
      <c r="Q134" s="1283"/>
      <c r="R134" s="1283"/>
      <c r="S134" s="1283"/>
      <c r="T134" s="1283"/>
      <c r="U134" s="1283"/>
      <c r="V134" s="1282"/>
      <c r="W134" s="1286"/>
      <c r="X134" s="1283"/>
      <c r="Y134" s="1286"/>
      <c r="Z134" s="1282"/>
      <c r="AA134" s="1277"/>
    </row>
    <row r="135" spans="1:27">
      <c r="A135" s="1281"/>
      <c r="B135" s="1282"/>
      <c r="C135" s="1282"/>
      <c r="D135" s="1282"/>
      <c r="E135" s="1283"/>
      <c r="F135" s="1283"/>
      <c r="G135" s="1283"/>
      <c r="H135" s="1283"/>
      <c r="I135" s="1282"/>
      <c r="J135" s="1282"/>
      <c r="K135" s="1282"/>
      <c r="L135" s="1287"/>
      <c r="M135" s="1282"/>
      <c r="N135" s="1282"/>
      <c r="O135" s="1282"/>
      <c r="P135" s="1282"/>
      <c r="Q135" s="1283"/>
      <c r="R135" s="1283"/>
      <c r="S135" s="1283"/>
      <c r="T135" s="1283"/>
      <c r="U135" s="1283"/>
      <c r="V135" s="1282"/>
      <c r="W135" s="1286"/>
      <c r="X135" s="1283"/>
      <c r="Y135" s="1286"/>
      <c r="Z135" s="1282"/>
      <c r="AA135" s="1277"/>
    </row>
    <row r="136" spans="1:27">
      <c r="A136" s="1281"/>
      <c r="B136" s="1282"/>
      <c r="C136" s="1282"/>
      <c r="D136" s="1282"/>
      <c r="E136" s="1283"/>
      <c r="F136" s="1283"/>
      <c r="G136" s="1283"/>
      <c r="H136" s="1283"/>
      <c r="I136" s="1282"/>
      <c r="J136" s="1282"/>
      <c r="K136" s="1282"/>
      <c r="L136" s="1287"/>
      <c r="M136" s="1282"/>
      <c r="N136" s="1282"/>
      <c r="O136" s="1282"/>
      <c r="P136" s="1282"/>
      <c r="Q136" s="1283"/>
      <c r="R136" s="1283"/>
      <c r="S136" s="1283"/>
      <c r="T136" s="1283"/>
      <c r="U136" s="1283"/>
      <c r="V136" s="1282"/>
      <c r="W136" s="1286"/>
      <c r="X136" s="1283"/>
      <c r="Y136" s="1286"/>
      <c r="Z136" s="1282"/>
      <c r="AA136" s="1277"/>
    </row>
    <row r="137" spans="1:27">
      <c r="A137" s="1281"/>
      <c r="B137" s="1282"/>
      <c r="C137" s="1282"/>
      <c r="D137" s="1282"/>
      <c r="E137" s="1283"/>
      <c r="F137" s="1283"/>
      <c r="G137" s="1283"/>
      <c r="H137" s="1283"/>
      <c r="I137" s="1282"/>
      <c r="J137" s="1282"/>
      <c r="K137" s="1282"/>
      <c r="L137" s="1287"/>
      <c r="M137" s="1282"/>
      <c r="N137" s="1282"/>
      <c r="O137" s="1282"/>
      <c r="P137" s="1282"/>
      <c r="Q137" s="1283"/>
      <c r="R137" s="1283"/>
      <c r="S137" s="1283"/>
      <c r="T137" s="1283"/>
      <c r="U137" s="1283"/>
      <c r="V137" s="1282"/>
      <c r="W137" s="1286"/>
      <c r="X137" s="1283"/>
      <c r="Y137" s="1286"/>
      <c r="Z137" s="1282"/>
      <c r="AA137" s="1277"/>
    </row>
    <row r="138" spans="1:27">
      <c r="A138" s="1281"/>
      <c r="B138" s="1282"/>
      <c r="C138" s="1282"/>
      <c r="D138" s="1282"/>
      <c r="E138" s="1283"/>
      <c r="F138" s="1283"/>
      <c r="G138" s="1283"/>
      <c r="H138" s="1283"/>
      <c r="I138" s="1282"/>
      <c r="J138" s="1282"/>
      <c r="K138" s="1282"/>
      <c r="L138" s="1287"/>
      <c r="M138" s="1282"/>
      <c r="N138" s="1282"/>
      <c r="O138" s="1282"/>
      <c r="P138" s="1282"/>
      <c r="Q138" s="1283"/>
      <c r="R138" s="1283"/>
      <c r="S138" s="1283"/>
      <c r="T138" s="1283"/>
      <c r="U138" s="1283"/>
      <c r="V138" s="1282"/>
      <c r="W138" s="1286"/>
      <c r="X138" s="1283"/>
      <c r="Y138" s="1286"/>
      <c r="Z138" s="1282"/>
      <c r="AA138" s="1277"/>
    </row>
    <row r="139" spans="1:27">
      <c r="A139" s="1281"/>
      <c r="B139" s="1282"/>
      <c r="C139" s="1282"/>
      <c r="D139" s="1282"/>
      <c r="E139" s="1283"/>
      <c r="F139" s="1283"/>
      <c r="G139" s="1283"/>
      <c r="H139" s="1283"/>
      <c r="I139" s="1282"/>
      <c r="J139" s="1282"/>
      <c r="K139" s="1282"/>
      <c r="L139" s="1287"/>
      <c r="M139" s="1282"/>
      <c r="N139" s="1282"/>
      <c r="O139" s="1282"/>
      <c r="P139" s="1282"/>
      <c r="Q139" s="1283"/>
      <c r="R139" s="1283"/>
      <c r="S139" s="1283"/>
      <c r="T139" s="1283"/>
      <c r="U139" s="1283"/>
      <c r="V139" s="1282"/>
      <c r="W139" s="1286"/>
      <c r="X139" s="1283"/>
      <c r="Y139" s="1286"/>
      <c r="Z139" s="1282"/>
      <c r="AA139" s="1277"/>
    </row>
    <row r="140" spans="1:27">
      <c r="A140" s="1281"/>
      <c r="B140" s="1282"/>
      <c r="C140" s="1282"/>
      <c r="D140" s="1282"/>
      <c r="E140" s="1283"/>
      <c r="F140" s="1283"/>
      <c r="G140" s="1283"/>
      <c r="H140" s="1283"/>
      <c r="I140" s="1282"/>
      <c r="J140" s="1282"/>
      <c r="K140" s="1282"/>
      <c r="L140" s="1287"/>
      <c r="M140" s="1282"/>
      <c r="N140" s="1282"/>
      <c r="O140" s="1282"/>
      <c r="P140" s="1282"/>
      <c r="Q140" s="1283"/>
      <c r="R140" s="1283"/>
      <c r="S140" s="1283"/>
      <c r="T140" s="1283"/>
      <c r="U140" s="1283"/>
      <c r="V140" s="1282"/>
      <c r="W140" s="1286"/>
      <c r="X140" s="1283"/>
      <c r="Y140" s="1286"/>
      <c r="Z140" s="1282"/>
      <c r="AA140" s="1277"/>
    </row>
    <row r="141" spans="1:27">
      <c r="A141" s="1281"/>
      <c r="B141" s="1282"/>
      <c r="C141" s="1282"/>
      <c r="D141" s="1282"/>
      <c r="E141" s="1283"/>
      <c r="F141" s="1283"/>
      <c r="G141" s="1283"/>
      <c r="H141" s="1283"/>
      <c r="I141" s="1282"/>
      <c r="J141" s="1282"/>
      <c r="K141" s="1282"/>
      <c r="L141" s="1287"/>
      <c r="M141" s="1282"/>
      <c r="N141" s="1282"/>
      <c r="O141" s="1282"/>
      <c r="P141" s="1282"/>
      <c r="Q141" s="1283"/>
      <c r="R141" s="1283"/>
      <c r="S141" s="1283"/>
      <c r="T141" s="1283"/>
      <c r="U141" s="1283"/>
      <c r="V141" s="1282"/>
      <c r="W141" s="1286"/>
      <c r="X141" s="1283"/>
      <c r="Y141" s="1286"/>
      <c r="Z141" s="1282"/>
      <c r="AA141" s="1277"/>
    </row>
    <row r="142" spans="1:27">
      <c r="A142" s="1281"/>
      <c r="B142" s="1282"/>
      <c r="C142" s="1282"/>
      <c r="D142" s="1282"/>
      <c r="E142" s="1283"/>
      <c r="F142" s="1283"/>
      <c r="G142" s="1283"/>
      <c r="H142" s="1283"/>
      <c r="I142" s="1282"/>
      <c r="J142" s="1282"/>
      <c r="K142" s="1282"/>
      <c r="L142" s="1287"/>
      <c r="M142" s="1282"/>
      <c r="N142" s="1282"/>
      <c r="O142" s="1282"/>
      <c r="P142" s="1282"/>
      <c r="Q142" s="1283"/>
      <c r="R142" s="1283"/>
      <c r="S142" s="1283"/>
      <c r="T142" s="1283"/>
      <c r="U142" s="1283"/>
      <c r="V142" s="1282"/>
      <c r="W142" s="1286"/>
      <c r="X142" s="1283"/>
      <c r="Y142" s="1286"/>
      <c r="Z142" s="1282"/>
      <c r="AA142" s="1277"/>
    </row>
    <row r="143" spans="1:27">
      <c r="A143" s="1281"/>
      <c r="B143" s="1282"/>
      <c r="C143" s="1282"/>
      <c r="D143" s="1282"/>
      <c r="E143" s="1283"/>
      <c r="F143" s="1283"/>
      <c r="G143" s="1283"/>
      <c r="H143" s="1283"/>
      <c r="I143" s="1282"/>
      <c r="J143" s="1282"/>
      <c r="K143" s="1282"/>
      <c r="L143" s="1287"/>
      <c r="M143" s="1282"/>
      <c r="N143" s="1282"/>
      <c r="O143" s="1282"/>
      <c r="P143" s="1282"/>
      <c r="Q143" s="1283"/>
      <c r="R143" s="1283"/>
      <c r="S143" s="1283"/>
      <c r="T143" s="1283"/>
      <c r="U143" s="1283"/>
      <c r="V143" s="1282"/>
      <c r="W143" s="1286"/>
      <c r="X143" s="1283"/>
      <c r="Y143" s="1286"/>
      <c r="Z143" s="1282"/>
      <c r="AA143" s="1277"/>
    </row>
    <row r="144" spans="1:27">
      <c r="A144" s="1281"/>
      <c r="B144" s="1282"/>
      <c r="C144" s="1282"/>
      <c r="D144" s="1282"/>
      <c r="E144" s="1283"/>
      <c r="F144" s="1283"/>
      <c r="G144" s="1283"/>
      <c r="H144" s="1283"/>
      <c r="I144" s="1282"/>
      <c r="J144" s="1282"/>
      <c r="K144" s="1282"/>
      <c r="L144" s="1287"/>
      <c r="M144" s="1282"/>
      <c r="N144" s="1282"/>
      <c r="O144" s="1282"/>
      <c r="P144" s="1282"/>
      <c r="Q144" s="1283"/>
      <c r="R144" s="1283"/>
      <c r="S144" s="1283"/>
      <c r="T144" s="1283"/>
      <c r="U144" s="1283"/>
      <c r="V144" s="1282"/>
      <c r="W144" s="1286"/>
      <c r="X144" s="1283"/>
      <c r="Y144" s="1286"/>
      <c r="Z144" s="1282"/>
      <c r="AA144" s="1277"/>
    </row>
    <row r="145" spans="1:27">
      <c r="A145" s="1281"/>
      <c r="B145" s="1282"/>
      <c r="C145" s="1282"/>
      <c r="D145" s="1282"/>
      <c r="E145" s="1283"/>
      <c r="F145" s="1283"/>
      <c r="G145" s="1283"/>
      <c r="H145" s="1283"/>
      <c r="I145" s="1282"/>
      <c r="J145" s="1282"/>
      <c r="K145" s="1282"/>
      <c r="L145" s="1287"/>
      <c r="M145" s="1282"/>
      <c r="N145" s="1282"/>
      <c r="O145" s="1282"/>
      <c r="P145" s="1282"/>
      <c r="Q145" s="1283"/>
      <c r="R145" s="1283"/>
      <c r="S145" s="1283"/>
      <c r="T145" s="1283"/>
      <c r="U145" s="1283"/>
      <c r="V145" s="1282"/>
      <c r="W145" s="1286"/>
      <c r="X145" s="1283"/>
      <c r="Y145" s="1286"/>
      <c r="Z145" s="1282"/>
      <c r="AA145" s="1277"/>
    </row>
    <row r="146" spans="1:27">
      <c r="A146" s="1281"/>
      <c r="B146" s="1282"/>
      <c r="C146" s="1282"/>
      <c r="D146" s="1282"/>
      <c r="E146" s="1283"/>
      <c r="F146" s="1283"/>
      <c r="G146" s="1283"/>
      <c r="H146" s="1283"/>
      <c r="I146" s="1282"/>
      <c r="J146" s="1282"/>
      <c r="K146" s="1282"/>
      <c r="L146" s="1287"/>
      <c r="M146" s="1282"/>
      <c r="N146" s="1282"/>
      <c r="O146" s="1282"/>
      <c r="P146" s="1282"/>
      <c r="Q146" s="1283"/>
      <c r="R146" s="1283"/>
      <c r="S146" s="1283"/>
      <c r="T146" s="1283"/>
      <c r="U146" s="1283"/>
      <c r="V146" s="1282"/>
      <c r="W146" s="1286"/>
      <c r="X146" s="1283"/>
      <c r="Y146" s="1286"/>
      <c r="Z146" s="1282"/>
      <c r="AA146" s="1277"/>
    </row>
    <row r="147" spans="1:27">
      <c r="A147" s="1281"/>
      <c r="B147" s="1282"/>
      <c r="C147" s="1282"/>
      <c r="D147" s="1282"/>
      <c r="E147" s="1283"/>
      <c r="F147" s="1283"/>
      <c r="G147" s="1283"/>
      <c r="H147" s="1283"/>
      <c r="I147" s="1282"/>
      <c r="J147" s="1282"/>
      <c r="K147" s="1282"/>
      <c r="L147" s="1287"/>
      <c r="M147" s="1282"/>
      <c r="N147" s="1282"/>
      <c r="O147" s="1282"/>
      <c r="P147" s="1282"/>
      <c r="Q147" s="1283"/>
      <c r="R147" s="1283"/>
      <c r="S147" s="1283"/>
      <c r="T147" s="1283"/>
      <c r="U147" s="1283"/>
      <c r="V147" s="1282"/>
      <c r="W147" s="1286"/>
      <c r="X147" s="1283"/>
      <c r="Y147" s="1286"/>
      <c r="Z147" s="1282"/>
      <c r="AA147" s="1277"/>
    </row>
    <row r="148" spans="1:27">
      <c r="A148" s="1281"/>
      <c r="B148" s="1282"/>
      <c r="C148" s="1282"/>
      <c r="D148" s="1282"/>
      <c r="E148" s="1283"/>
      <c r="F148" s="1283"/>
      <c r="G148" s="1283"/>
      <c r="H148" s="1283"/>
      <c r="I148" s="1282"/>
      <c r="J148" s="1282"/>
      <c r="K148" s="1282"/>
      <c r="L148" s="1287"/>
      <c r="M148" s="1282"/>
      <c r="N148" s="1282"/>
      <c r="O148" s="1282"/>
      <c r="P148" s="1282"/>
      <c r="Q148" s="1283"/>
      <c r="R148" s="1283"/>
      <c r="S148" s="1283"/>
      <c r="T148" s="1283"/>
      <c r="U148" s="1283"/>
      <c r="V148" s="1282"/>
      <c r="W148" s="1286"/>
      <c r="X148" s="1283"/>
      <c r="Y148" s="1286"/>
      <c r="Z148" s="1282"/>
      <c r="AA148" s="1277"/>
    </row>
    <row r="149" spans="1:27">
      <c r="A149" s="1281"/>
      <c r="B149" s="1282"/>
      <c r="C149" s="1282"/>
      <c r="D149" s="1282"/>
      <c r="E149" s="1283"/>
      <c r="F149" s="1283"/>
      <c r="G149" s="1283"/>
      <c r="H149" s="1283"/>
      <c r="I149" s="1282"/>
      <c r="J149" s="1282"/>
      <c r="K149" s="1282"/>
      <c r="L149" s="1287"/>
      <c r="M149" s="1282"/>
      <c r="N149" s="1282"/>
      <c r="O149" s="1282"/>
      <c r="P149" s="1282"/>
      <c r="Q149" s="1283"/>
      <c r="R149" s="1283"/>
      <c r="S149" s="1283"/>
      <c r="T149" s="1283"/>
      <c r="U149" s="1283"/>
      <c r="V149" s="1282"/>
      <c r="W149" s="1286"/>
      <c r="X149" s="1283"/>
      <c r="Y149" s="1286"/>
      <c r="Z149" s="1282"/>
      <c r="AA149" s="1277"/>
    </row>
    <row r="150" spans="1:27">
      <c r="A150" s="1281"/>
      <c r="B150" s="1282"/>
      <c r="C150" s="1282"/>
      <c r="D150" s="1282"/>
      <c r="E150" s="1283"/>
      <c r="F150" s="1283"/>
      <c r="G150" s="1283"/>
      <c r="H150" s="1283"/>
      <c r="I150" s="1282"/>
      <c r="J150" s="1282"/>
      <c r="K150" s="1282"/>
      <c r="L150" s="1287"/>
      <c r="M150" s="1282"/>
      <c r="N150" s="1282"/>
      <c r="O150" s="1282"/>
      <c r="P150" s="1282"/>
      <c r="Q150" s="1283"/>
      <c r="R150" s="1283"/>
      <c r="S150" s="1283"/>
      <c r="T150" s="1283"/>
      <c r="U150" s="1283"/>
      <c r="V150" s="1282"/>
      <c r="W150" s="1286"/>
      <c r="X150" s="1283"/>
      <c r="Y150" s="1286"/>
      <c r="Z150" s="1282"/>
      <c r="AA150" s="1277"/>
    </row>
    <row r="151" spans="1:27">
      <c r="A151" s="1281"/>
      <c r="B151" s="1282"/>
      <c r="C151" s="1282"/>
      <c r="D151" s="1282"/>
      <c r="E151" s="1283"/>
      <c r="F151" s="1283"/>
      <c r="G151" s="1283"/>
      <c r="H151" s="1283"/>
      <c r="I151" s="1282"/>
      <c r="J151" s="1282"/>
      <c r="K151" s="1282"/>
      <c r="L151" s="1287"/>
      <c r="M151" s="1282"/>
      <c r="N151" s="1282"/>
      <c r="O151" s="1282"/>
      <c r="P151" s="1282"/>
      <c r="Q151" s="1283"/>
      <c r="R151" s="1283"/>
      <c r="S151" s="1283"/>
      <c r="T151" s="1283"/>
      <c r="U151" s="1283"/>
      <c r="V151" s="1282"/>
      <c r="W151" s="1286"/>
      <c r="X151" s="1283"/>
      <c r="Y151" s="1286"/>
      <c r="Z151" s="1282"/>
      <c r="AA151" s="1277"/>
    </row>
    <row r="152" spans="1:27">
      <c r="A152" s="1281"/>
      <c r="B152" s="1282"/>
      <c r="C152" s="1282"/>
      <c r="D152" s="1282"/>
      <c r="E152" s="1283"/>
      <c r="F152" s="1283"/>
      <c r="G152" s="1283"/>
      <c r="H152" s="1283"/>
      <c r="I152" s="1282"/>
      <c r="J152" s="1282"/>
      <c r="K152" s="1282"/>
      <c r="L152" s="1287"/>
      <c r="M152" s="1282"/>
      <c r="N152" s="1282"/>
      <c r="O152" s="1282"/>
      <c r="P152" s="1282"/>
      <c r="Q152" s="1283"/>
      <c r="R152" s="1283"/>
      <c r="S152" s="1283"/>
      <c r="T152" s="1283"/>
      <c r="U152" s="1283"/>
      <c r="V152" s="1282"/>
      <c r="W152" s="1286"/>
      <c r="X152" s="1283"/>
      <c r="Y152" s="1286"/>
      <c r="Z152" s="1282"/>
      <c r="AA152" s="1277"/>
    </row>
    <row r="153" spans="1:27">
      <c r="A153" s="1281"/>
      <c r="B153" s="1282"/>
      <c r="C153" s="1282"/>
      <c r="D153" s="1282"/>
      <c r="E153" s="1283"/>
      <c r="F153" s="1283"/>
      <c r="G153" s="1283"/>
      <c r="H153" s="1283"/>
      <c r="I153" s="1282"/>
      <c r="J153" s="1282"/>
      <c r="K153" s="1282"/>
      <c r="L153" s="1287"/>
      <c r="M153" s="1282"/>
      <c r="N153" s="1282"/>
      <c r="O153" s="1282"/>
      <c r="P153" s="1282"/>
      <c r="Q153" s="1283"/>
      <c r="R153" s="1283"/>
      <c r="S153" s="1283"/>
      <c r="T153" s="1283"/>
      <c r="U153" s="1283"/>
      <c r="V153" s="1282"/>
      <c r="W153" s="1286"/>
      <c r="X153" s="1283"/>
      <c r="Y153" s="1286"/>
      <c r="Z153" s="1282"/>
      <c r="AA153" s="1277"/>
    </row>
    <row r="154" spans="1:27">
      <c r="A154" s="1281"/>
      <c r="B154" s="1282"/>
      <c r="C154" s="1282"/>
      <c r="D154" s="1282"/>
      <c r="E154" s="1283"/>
      <c r="F154" s="1283"/>
      <c r="G154" s="1283"/>
      <c r="H154" s="1283"/>
      <c r="I154" s="1282"/>
      <c r="J154" s="1282"/>
      <c r="K154" s="1282"/>
      <c r="L154" s="1287"/>
      <c r="M154" s="1282"/>
      <c r="N154" s="1282"/>
      <c r="O154" s="1282"/>
      <c r="P154" s="1282"/>
      <c r="Q154" s="1283"/>
      <c r="R154" s="1283"/>
      <c r="S154" s="1283"/>
      <c r="T154" s="1283"/>
      <c r="U154" s="1283"/>
      <c r="V154" s="1282"/>
      <c r="W154" s="1286"/>
      <c r="X154" s="1283"/>
      <c r="Y154" s="1286"/>
      <c r="Z154" s="1282"/>
      <c r="AA154" s="1277"/>
    </row>
    <row r="155" spans="1:27">
      <c r="A155" s="1281"/>
      <c r="B155" s="1282"/>
      <c r="C155" s="1282"/>
      <c r="D155" s="1282"/>
      <c r="E155" s="1283"/>
      <c r="F155" s="1283"/>
      <c r="G155" s="1283"/>
      <c r="H155" s="1283"/>
      <c r="I155" s="1282"/>
      <c r="J155" s="1282"/>
      <c r="K155" s="1282"/>
      <c r="L155" s="1287"/>
      <c r="M155" s="1282"/>
      <c r="N155" s="1282"/>
      <c r="O155" s="1282"/>
      <c r="P155" s="1282"/>
      <c r="Q155" s="1283"/>
      <c r="R155" s="1283"/>
      <c r="S155" s="1283"/>
      <c r="T155" s="1283"/>
      <c r="U155" s="1283"/>
      <c r="V155" s="1282"/>
      <c r="W155" s="1286"/>
      <c r="X155" s="1283"/>
      <c r="Y155" s="1286"/>
      <c r="Z155" s="1282"/>
      <c r="AA155" s="1277"/>
    </row>
    <row r="156" spans="1:27">
      <c r="A156" s="1281"/>
      <c r="B156" s="1282"/>
      <c r="C156" s="1282"/>
      <c r="D156" s="1282"/>
      <c r="E156" s="1283"/>
      <c r="F156" s="1283"/>
      <c r="G156" s="1283"/>
      <c r="H156" s="1283"/>
      <c r="I156" s="1282"/>
      <c r="J156" s="1282"/>
      <c r="K156" s="1282"/>
      <c r="L156" s="1287"/>
      <c r="M156" s="1282"/>
      <c r="N156" s="1282"/>
      <c r="O156" s="1282"/>
      <c r="P156" s="1282"/>
      <c r="Q156" s="1283"/>
      <c r="R156" s="1283"/>
      <c r="S156" s="1283"/>
      <c r="T156" s="1283"/>
      <c r="U156" s="1283"/>
      <c r="V156" s="1282"/>
      <c r="W156" s="1286"/>
      <c r="X156" s="1283"/>
      <c r="Y156" s="1286"/>
      <c r="Z156" s="1282"/>
      <c r="AA156" s="1277"/>
    </row>
    <row r="157" spans="1:27">
      <c r="A157" s="1281"/>
      <c r="B157" s="1282"/>
      <c r="C157" s="1282"/>
      <c r="D157" s="1282"/>
      <c r="E157" s="1283"/>
      <c r="F157" s="1283"/>
      <c r="G157" s="1283"/>
      <c r="H157" s="1283"/>
      <c r="I157" s="1282"/>
      <c r="J157" s="1282"/>
      <c r="K157" s="1282"/>
      <c r="L157" s="1287"/>
      <c r="M157" s="1282"/>
      <c r="N157" s="1282"/>
      <c r="O157" s="1282"/>
      <c r="P157" s="1282"/>
      <c r="Q157" s="1283"/>
      <c r="R157" s="1283"/>
      <c r="S157" s="1283"/>
      <c r="T157" s="1283"/>
      <c r="U157" s="1283"/>
      <c r="V157" s="1282"/>
      <c r="W157" s="1286"/>
      <c r="X157" s="1283"/>
      <c r="Y157" s="1286"/>
      <c r="Z157" s="1282"/>
      <c r="AA157" s="1277"/>
    </row>
    <row r="158" spans="1:27">
      <c r="A158" s="1281"/>
      <c r="B158" s="1282"/>
      <c r="C158" s="1282"/>
      <c r="D158" s="1282"/>
      <c r="E158" s="1283"/>
      <c r="F158" s="1283"/>
      <c r="G158" s="1283"/>
      <c r="H158" s="1283"/>
      <c r="I158" s="1282"/>
      <c r="J158" s="1282"/>
      <c r="K158" s="1282"/>
      <c r="L158" s="1287"/>
      <c r="M158" s="1282"/>
      <c r="N158" s="1282"/>
      <c r="O158" s="1282"/>
      <c r="P158" s="1282"/>
      <c r="Q158" s="1283"/>
      <c r="R158" s="1283"/>
      <c r="S158" s="1283"/>
      <c r="T158" s="1283"/>
      <c r="U158" s="1283"/>
      <c r="V158" s="1282"/>
      <c r="W158" s="1286"/>
      <c r="X158" s="1283"/>
      <c r="Y158" s="1286"/>
      <c r="Z158" s="1282"/>
      <c r="AA158" s="1277"/>
    </row>
    <row r="159" spans="1:27">
      <c r="A159" s="1281"/>
      <c r="B159" s="1282"/>
      <c r="C159" s="1282"/>
      <c r="D159" s="1282"/>
      <c r="E159" s="1283"/>
      <c r="F159" s="1283"/>
      <c r="G159" s="1283"/>
      <c r="H159" s="1283"/>
      <c r="I159" s="1282"/>
      <c r="J159" s="1282"/>
      <c r="K159" s="1282"/>
      <c r="L159" s="1287"/>
      <c r="M159" s="1282"/>
      <c r="N159" s="1282"/>
      <c r="O159" s="1282"/>
      <c r="P159" s="1282"/>
      <c r="Q159" s="1283"/>
      <c r="R159" s="1283"/>
      <c r="S159" s="1283"/>
      <c r="T159" s="1283"/>
      <c r="U159" s="1283"/>
      <c r="V159" s="1282"/>
      <c r="W159" s="1286"/>
      <c r="X159" s="1283"/>
      <c r="Y159" s="1286"/>
      <c r="Z159" s="1282"/>
      <c r="AA159" s="1277"/>
    </row>
    <row r="160" spans="1:27">
      <c r="A160" s="1281"/>
      <c r="B160" s="1282"/>
      <c r="C160" s="1282"/>
      <c r="D160" s="1282"/>
      <c r="E160" s="1283"/>
      <c r="F160" s="1283"/>
      <c r="G160" s="1283"/>
      <c r="H160" s="1283"/>
      <c r="I160" s="1282"/>
      <c r="J160" s="1282"/>
      <c r="K160" s="1282"/>
      <c r="L160" s="1287"/>
      <c r="M160" s="1282"/>
      <c r="N160" s="1282"/>
      <c r="O160" s="1282"/>
      <c r="P160" s="1282"/>
      <c r="Q160" s="1283"/>
      <c r="R160" s="1283"/>
      <c r="S160" s="1283"/>
      <c r="T160" s="1283"/>
      <c r="U160" s="1283"/>
      <c r="V160" s="1282"/>
      <c r="W160" s="1286"/>
      <c r="X160" s="1283"/>
      <c r="Y160" s="1286"/>
      <c r="Z160" s="1282"/>
      <c r="AA160" s="1277"/>
    </row>
    <row r="161" spans="1:27">
      <c r="A161" s="1281"/>
      <c r="B161" s="1282"/>
      <c r="C161" s="1282"/>
      <c r="D161" s="1282"/>
      <c r="E161" s="1283"/>
      <c r="F161" s="1283"/>
      <c r="G161" s="1283"/>
      <c r="H161" s="1283"/>
      <c r="I161" s="1282"/>
      <c r="J161" s="1282"/>
      <c r="K161" s="1282"/>
      <c r="L161" s="1287"/>
      <c r="M161" s="1282"/>
      <c r="N161" s="1282"/>
      <c r="O161" s="1282"/>
      <c r="P161" s="1282"/>
      <c r="Q161" s="1283"/>
      <c r="R161" s="1283"/>
      <c r="S161" s="1283"/>
      <c r="T161" s="1283"/>
      <c r="U161" s="1283"/>
      <c r="V161" s="1282"/>
      <c r="W161" s="1286"/>
      <c r="X161" s="1283"/>
      <c r="Y161" s="1286"/>
      <c r="Z161" s="1282"/>
      <c r="AA161" s="1277"/>
    </row>
    <row r="162" spans="1:27">
      <c r="A162" s="1281"/>
      <c r="B162" s="1282"/>
      <c r="C162" s="1282"/>
      <c r="D162" s="1282"/>
      <c r="E162" s="1283"/>
      <c r="F162" s="1283"/>
      <c r="G162" s="1283"/>
      <c r="H162" s="1283"/>
      <c r="I162" s="1282"/>
      <c r="J162" s="1282"/>
      <c r="K162" s="1282"/>
      <c r="L162" s="1287"/>
      <c r="M162" s="1282"/>
      <c r="N162" s="1282"/>
      <c r="O162" s="1282"/>
      <c r="P162" s="1282"/>
      <c r="Q162" s="1283"/>
      <c r="R162" s="1283"/>
      <c r="S162" s="1283"/>
      <c r="T162" s="1283"/>
      <c r="U162" s="1283"/>
      <c r="V162" s="1282"/>
      <c r="W162" s="1286"/>
      <c r="X162" s="1283"/>
      <c r="Y162" s="1286"/>
      <c r="Z162" s="1282"/>
      <c r="AA162" s="1277"/>
    </row>
    <row r="163" spans="1:27">
      <c r="A163" s="1281"/>
      <c r="B163" s="1282"/>
      <c r="C163" s="1282"/>
      <c r="D163" s="1282"/>
      <c r="E163" s="1283"/>
      <c r="F163" s="1283"/>
      <c r="G163" s="1283"/>
      <c r="H163" s="1283"/>
      <c r="I163" s="1282"/>
      <c r="J163" s="1282"/>
      <c r="K163" s="1282"/>
      <c r="L163" s="1287"/>
      <c r="M163" s="1282"/>
      <c r="N163" s="1282"/>
      <c r="O163" s="1282"/>
      <c r="P163" s="1282"/>
      <c r="Q163" s="1283"/>
      <c r="R163" s="1283"/>
      <c r="S163" s="1283"/>
      <c r="T163" s="1283"/>
      <c r="U163" s="1283"/>
      <c r="V163" s="1282"/>
      <c r="W163" s="1286"/>
      <c r="X163" s="1283"/>
      <c r="Y163" s="1286"/>
      <c r="Z163" s="1282"/>
      <c r="AA163" s="1277"/>
    </row>
    <row r="164" spans="1:27">
      <c r="A164" s="1281"/>
      <c r="B164" s="1282"/>
      <c r="C164" s="1282"/>
      <c r="D164" s="1282"/>
      <c r="E164" s="1283"/>
      <c r="F164" s="1283"/>
      <c r="G164" s="1283"/>
      <c r="H164" s="1283"/>
      <c r="I164" s="1282"/>
      <c r="J164" s="1282"/>
      <c r="K164" s="1282"/>
      <c r="L164" s="1287"/>
      <c r="M164" s="1282"/>
      <c r="N164" s="1282"/>
      <c r="O164" s="1282"/>
      <c r="P164" s="1282"/>
      <c r="Q164" s="1283"/>
      <c r="R164" s="1283"/>
      <c r="S164" s="1283"/>
      <c r="T164" s="1283"/>
      <c r="U164" s="1283"/>
      <c r="V164" s="1282"/>
      <c r="W164" s="1286"/>
      <c r="X164" s="1283"/>
      <c r="Y164" s="1286"/>
      <c r="Z164" s="1282"/>
      <c r="AA164" s="1277"/>
    </row>
    <row r="165" spans="1:27">
      <c r="A165" s="1281"/>
      <c r="B165" s="1282"/>
      <c r="C165" s="1282"/>
      <c r="D165" s="1282"/>
      <c r="E165" s="1283"/>
      <c r="F165" s="1283"/>
      <c r="G165" s="1283"/>
      <c r="H165" s="1283"/>
      <c r="I165" s="1282"/>
      <c r="J165" s="1282"/>
      <c r="K165" s="1282"/>
      <c r="L165" s="1287"/>
      <c r="M165" s="1282"/>
      <c r="N165" s="1282"/>
      <c r="O165" s="1282"/>
      <c r="P165" s="1282"/>
      <c r="Q165" s="1283"/>
      <c r="R165" s="1283"/>
      <c r="S165" s="1283"/>
      <c r="T165" s="1283"/>
      <c r="U165" s="1283"/>
      <c r="V165" s="1282"/>
      <c r="W165" s="1286"/>
      <c r="X165" s="1283"/>
      <c r="Y165" s="1286"/>
      <c r="Z165" s="1282"/>
      <c r="AA165" s="1277"/>
    </row>
    <row r="166" spans="1:27">
      <c r="A166" s="1281"/>
      <c r="B166" s="1282"/>
      <c r="C166" s="1282"/>
      <c r="D166" s="1282"/>
      <c r="E166" s="1283"/>
      <c r="F166" s="1283"/>
      <c r="G166" s="1283"/>
      <c r="H166" s="1283"/>
      <c r="I166" s="1282"/>
      <c r="J166" s="1282"/>
      <c r="K166" s="1282"/>
      <c r="L166" s="1287"/>
      <c r="M166" s="1282"/>
      <c r="N166" s="1282"/>
      <c r="O166" s="1282"/>
      <c r="P166" s="1282"/>
      <c r="Q166" s="1283"/>
      <c r="R166" s="1283"/>
      <c r="S166" s="1283"/>
      <c r="T166" s="1283"/>
      <c r="U166" s="1283"/>
      <c r="V166" s="1282"/>
      <c r="W166" s="1286"/>
      <c r="X166" s="1283"/>
      <c r="Y166" s="1286"/>
      <c r="Z166" s="1282"/>
      <c r="AA166" s="1277"/>
    </row>
    <row r="167" spans="1:27">
      <c r="A167" s="1281"/>
      <c r="B167" s="1282"/>
      <c r="C167" s="1282"/>
      <c r="D167" s="1282"/>
      <c r="E167" s="1283"/>
      <c r="F167" s="1283"/>
      <c r="G167" s="1283"/>
      <c r="H167" s="1283"/>
      <c r="I167" s="1282"/>
      <c r="J167" s="1282"/>
      <c r="K167" s="1282"/>
      <c r="L167" s="1287"/>
      <c r="M167" s="1282"/>
      <c r="N167" s="1282"/>
      <c r="O167" s="1282"/>
      <c r="P167" s="1282"/>
      <c r="Q167" s="1283"/>
      <c r="R167" s="1283"/>
      <c r="S167" s="1283"/>
      <c r="T167" s="1283"/>
      <c r="U167" s="1283"/>
      <c r="V167" s="1282"/>
      <c r="W167" s="1286"/>
      <c r="X167" s="1283"/>
      <c r="Y167" s="1286"/>
      <c r="Z167" s="1282"/>
      <c r="AA167" s="1277"/>
    </row>
    <row r="168" spans="1:27">
      <c r="A168" s="1281"/>
      <c r="B168" s="1282"/>
      <c r="C168" s="1282"/>
      <c r="D168" s="1282"/>
      <c r="E168" s="1283"/>
      <c r="F168" s="1283"/>
      <c r="G168" s="1283"/>
      <c r="H168" s="1283"/>
      <c r="I168" s="1282"/>
      <c r="J168" s="1282"/>
      <c r="K168" s="1282"/>
      <c r="L168" s="1287"/>
      <c r="M168" s="1282"/>
      <c r="N168" s="1282"/>
      <c r="O168" s="1282"/>
      <c r="P168" s="1282"/>
      <c r="Q168" s="1283"/>
      <c r="R168" s="1283"/>
      <c r="S168" s="1283"/>
      <c r="T168" s="1283"/>
      <c r="U168" s="1283"/>
      <c r="V168" s="1282"/>
      <c r="W168" s="1286"/>
      <c r="X168" s="1283"/>
      <c r="Y168" s="1286"/>
      <c r="Z168" s="1282"/>
      <c r="AA168" s="1277"/>
    </row>
    <row r="169" spans="1:27">
      <c r="A169" s="1281"/>
      <c r="B169" s="1282"/>
      <c r="C169" s="1282"/>
      <c r="D169" s="1282"/>
      <c r="E169" s="1283"/>
      <c r="F169" s="1283"/>
      <c r="G169" s="1283"/>
      <c r="H169" s="1283"/>
      <c r="I169" s="1282"/>
      <c r="J169" s="1282"/>
      <c r="K169" s="1282"/>
      <c r="L169" s="1287"/>
      <c r="M169" s="1282"/>
      <c r="N169" s="1282"/>
      <c r="O169" s="1282"/>
      <c r="P169" s="1282"/>
      <c r="Q169" s="1283"/>
      <c r="R169" s="1283"/>
      <c r="S169" s="1283"/>
      <c r="T169" s="1283"/>
      <c r="U169" s="1283"/>
      <c r="V169" s="1282"/>
      <c r="W169" s="1286"/>
      <c r="X169" s="1283"/>
      <c r="Y169" s="1286"/>
      <c r="Z169" s="1282"/>
      <c r="AA169" s="1277"/>
    </row>
    <row r="170" spans="1:27">
      <c r="A170" s="1281"/>
      <c r="B170" s="1282"/>
      <c r="C170" s="1282"/>
      <c r="D170" s="1282"/>
      <c r="E170" s="1283"/>
      <c r="F170" s="1283"/>
      <c r="G170" s="1283"/>
      <c r="H170" s="1283"/>
      <c r="I170" s="1282"/>
      <c r="J170" s="1282"/>
      <c r="K170" s="1282"/>
      <c r="L170" s="1287"/>
      <c r="M170" s="1282"/>
      <c r="N170" s="1282"/>
      <c r="O170" s="1282"/>
      <c r="P170" s="1282"/>
      <c r="Q170" s="1283"/>
      <c r="R170" s="1283"/>
      <c r="S170" s="1283"/>
      <c r="T170" s="1283"/>
      <c r="U170" s="1283"/>
      <c r="V170" s="1282"/>
      <c r="W170" s="1286"/>
      <c r="X170" s="1283"/>
      <c r="Y170" s="1286"/>
      <c r="Z170" s="1282"/>
      <c r="AA170" s="1277"/>
    </row>
    <row r="171" spans="1:27">
      <c r="A171" s="1281"/>
      <c r="B171" s="1282"/>
      <c r="C171" s="1282"/>
      <c r="D171" s="1282"/>
      <c r="E171" s="1283"/>
      <c r="F171" s="1283"/>
      <c r="G171" s="1283"/>
      <c r="H171" s="1283"/>
      <c r="I171" s="1282"/>
      <c r="J171" s="1282"/>
      <c r="K171" s="1282"/>
      <c r="L171" s="1287"/>
      <c r="M171" s="1282"/>
      <c r="N171" s="1282"/>
      <c r="O171" s="1282"/>
      <c r="P171" s="1282"/>
      <c r="Q171" s="1283"/>
      <c r="R171" s="1283"/>
      <c r="S171" s="1283"/>
      <c r="T171" s="1283"/>
      <c r="U171" s="1283"/>
      <c r="V171" s="1282"/>
      <c r="W171" s="1286"/>
      <c r="X171" s="1283"/>
      <c r="Y171" s="1286"/>
      <c r="Z171" s="1282"/>
      <c r="AA171" s="1277"/>
    </row>
    <row r="172" spans="1:27">
      <c r="A172" s="1281"/>
      <c r="B172" s="1282"/>
      <c r="C172" s="1282"/>
      <c r="D172" s="1282"/>
      <c r="E172" s="1283"/>
      <c r="F172" s="1283"/>
      <c r="G172" s="1283"/>
      <c r="H172" s="1283"/>
      <c r="I172" s="1282"/>
      <c r="J172" s="1282"/>
      <c r="K172" s="1282"/>
      <c r="L172" s="1287"/>
      <c r="M172" s="1282"/>
      <c r="N172" s="1282"/>
      <c r="O172" s="1282"/>
      <c r="P172" s="1282"/>
      <c r="Q172" s="1283"/>
      <c r="R172" s="1283"/>
      <c r="S172" s="1283"/>
      <c r="T172" s="1283"/>
      <c r="U172" s="1283"/>
      <c r="V172" s="1282"/>
      <c r="W172" s="1286"/>
      <c r="X172" s="1283"/>
      <c r="Y172" s="1286"/>
      <c r="Z172" s="1282"/>
      <c r="AA172" s="1277"/>
    </row>
    <row r="173" spans="1:27">
      <c r="A173" s="1281"/>
      <c r="B173" s="1282"/>
      <c r="C173" s="1282"/>
      <c r="D173" s="1282"/>
      <c r="E173" s="1283"/>
      <c r="F173" s="1283"/>
      <c r="G173" s="1283"/>
      <c r="H173" s="1283"/>
      <c r="I173" s="1282"/>
      <c r="J173" s="1282"/>
      <c r="K173" s="1282"/>
      <c r="L173" s="1287"/>
      <c r="M173" s="1282"/>
      <c r="N173" s="1282"/>
      <c r="O173" s="1282"/>
      <c r="P173" s="1282"/>
      <c r="Q173" s="1283"/>
      <c r="R173" s="1283"/>
      <c r="S173" s="1283"/>
      <c r="T173" s="1283"/>
      <c r="U173" s="1283"/>
      <c r="V173" s="1282"/>
      <c r="W173" s="1286"/>
      <c r="X173" s="1283"/>
      <c r="Y173" s="1286"/>
      <c r="Z173" s="1282"/>
      <c r="AA173" s="1277"/>
    </row>
    <row r="174" spans="1:27">
      <c r="A174" s="1281"/>
      <c r="B174" s="1282"/>
      <c r="C174" s="1282"/>
      <c r="D174" s="1282"/>
      <c r="E174" s="1283"/>
      <c r="F174" s="1283"/>
      <c r="G174" s="1283"/>
      <c r="H174" s="1283"/>
      <c r="I174" s="1282"/>
      <c r="J174" s="1282"/>
      <c r="K174" s="1282"/>
      <c r="L174" s="1287"/>
      <c r="M174" s="1282"/>
      <c r="N174" s="1282"/>
      <c r="O174" s="1282"/>
      <c r="P174" s="1282"/>
      <c r="Q174" s="1283"/>
      <c r="R174" s="1283"/>
      <c r="S174" s="1283"/>
      <c r="T174" s="1283"/>
      <c r="U174" s="1283"/>
      <c r="V174" s="1282"/>
      <c r="W174" s="1286"/>
      <c r="X174" s="1283"/>
      <c r="Y174" s="1286"/>
      <c r="Z174" s="1282"/>
      <c r="AA174" s="1277"/>
    </row>
    <row r="175" spans="1:27">
      <c r="A175" s="1281"/>
      <c r="B175" s="1282"/>
      <c r="C175" s="1282"/>
      <c r="D175" s="1282"/>
      <c r="E175" s="1283"/>
      <c r="F175" s="1283"/>
      <c r="G175" s="1283"/>
      <c r="H175" s="1283"/>
      <c r="I175" s="1282"/>
      <c r="J175" s="1282"/>
      <c r="K175" s="1282"/>
      <c r="L175" s="1287"/>
      <c r="M175" s="1282"/>
      <c r="N175" s="1282"/>
      <c r="O175" s="1282"/>
      <c r="P175" s="1282"/>
      <c r="Q175" s="1283"/>
      <c r="R175" s="1283"/>
      <c r="S175" s="1283"/>
      <c r="T175" s="1283"/>
      <c r="U175" s="1283"/>
      <c r="V175" s="1282"/>
      <c r="W175" s="1286"/>
      <c r="X175" s="1283"/>
      <c r="Y175" s="1286"/>
      <c r="Z175" s="1282"/>
      <c r="AA175" s="1277"/>
    </row>
    <row r="176" spans="1:27">
      <c r="A176" s="1281"/>
      <c r="B176" s="1282"/>
      <c r="C176" s="1282"/>
      <c r="D176" s="1282"/>
      <c r="E176" s="1283"/>
      <c r="F176" s="1283"/>
      <c r="G176" s="1283"/>
      <c r="H176" s="1283"/>
      <c r="I176" s="1282"/>
      <c r="J176" s="1282"/>
      <c r="K176" s="1282"/>
      <c r="L176" s="1287"/>
      <c r="M176" s="1282"/>
      <c r="N176" s="1282"/>
      <c r="O176" s="1282"/>
      <c r="P176" s="1282"/>
      <c r="Q176" s="1283"/>
      <c r="R176" s="1283"/>
      <c r="S176" s="1283"/>
      <c r="T176" s="1283"/>
      <c r="U176" s="1283"/>
      <c r="V176" s="1282"/>
      <c r="W176" s="1286"/>
      <c r="X176" s="1283"/>
      <c r="Y176" s="1286"/>
      <c r="Z176" s="1282"/>
      <c r="AA176" s="1277"/>
    </row>
    <row r="177" spans="1:27">
      <c r="A177" s="1281"/>
      <c r="B177" s="1282"/>
      <c r="C177" s="1282"/>
      <c r="D177" s="1282"/>
      <c r="E177" s="1283"/>
      <c r="F177" s="1283"/>
      <c r="G177" s="1283"/>
      <c r="H177" s="1283"/>
      <c r="I177" s="1282"/>
      <c r="J177" s="1282"/>
      <c r="K177" s="1282"/>
      <c r="L177" s="1287"/>
      <c r="M177" s="1282"/>
      <c r="N177" s="1282"/>
      <c r="O177" s="1282"/>
      <c r="P177" s="1282"/>
      <c r="Q177" s="1283"/>
      <c r="R177" s="1283"/>
      <c r="S177" s="1283"/>
      <c r="T177" s="1283"/>
      <c r="U177" s="1283"/>
      <c r="V177" s="1282"/>
      <c r="W177" s="1286"/>
      <c r="X177" s="1283"/>
      <c r="Y177" s="1286"/>
      <c r="Z177" s="1282"/>
      <c r="AA177" s="1277"/>
    </row>
    <row r="178" spans="1:27">
      <c r="A178" s="1281"/>
      <c r="B178" s="1282"/>
      <c r="C178" s="1282"/>
      <c r="D178" s="1282"/>
      <c r="E178" s="1283"/>
      <c r="F178" s="1283"/>
      <c r="G178" s="1283"/>
      <c r="H178" s="1283"/>
      <c r="I178" s="1282"/>
      <c r="J178" s="1282"/>
      <c r="K178" s="1282"/>
      <c r="L178" s="1287"/>
      <c r="M178" s="1282"/>
      <c r="N178" s="1282"/>
      <c r="O178" s="1282"/>
      <c r="P178" s="1282"/>
      <c r="Q178" s="1283"/>
      <c r="R178" s="1283"/>
      <c r="S178" s="1283"/>
      <c r="T178" s="1283"/>
      <c r="U178" s="1283"/>
      <c r="V178" s="1282"/>
      <c r="W178" s="1286"/>
      <c r="X178" s="1283"/>
      <c r="Y178" s="1286"/>
      <c r="Z178" s="1282"/>
      <c r="AA178" s="1277"/>
    </row>
    <row r="179" spans="1:27">
      <c r="A179" s="1281"/>
      <c r="B179" s="1282"/>
      <c r="C179" s="1282"/>
      <c r="D179" s="1282"/>
      <c r="E179" s="1283"/>
      <c r="F179" s="1283"/>
      <c r="G179" s="1283"/>
      <c r="H179" s="1283"/>
      <c r="I179" s="1282"/>
      <c r="J179" s="1282"/>
      <c r="K179" s="1282"/>
      <c r="L179" s="1287"/>
      <c r="M179" s="1282"/>
      <c r="N179" s="1282"/>
      <c r="O179" s="1282"/>
      <c r="P179" s="1282"/>
      <c r="Q179" s="1283"/>
      <c r="R179" s="1283"/>
      <c r="S179" s="1283"/>
      <c r="T179" s="1283"/>
      <c r="U179" s="1283"/>
      <c r="V179" s="1282"/>
      <c r="W179" s="1286"/>
      <c r="X179" s="1283"/>
      <c r="Y179" s="1286"/>
      <c r="Z179" s="1282"/>
      <c r="AA179" s="1277"/>
    </row>
    <row r="180" spans="1:27">
      <c r="A180" s="1281"/>
      <c r="B180" s="1282"/>
      <c r="C180" s="1282"/>
      <c r="D180" s="1282"/>
      <c r="E180" s="1283"/>
      <c r="F180" s="1283"/>
      <c r="G180" s="1283"/>
      <c r="H180" s="1283"/>
      <c r="I180" s="1282"/>
      <c r="J180" s="1282"/>
      <c r="K180" s="1282"/>
      <c r="L180" s="1287"/>
      <c r="M180" s="1282"/>
      <c r="N180" s="1282"/>
      <c r="O180" s="1282"/>
      <c r="P180" s="1282"/>
      <c r="Q180" s="1283"/>
      <c r="R180" s="1283"/>
      <c r="S180" s="1283"/>
      <c r="T180" s="1283"/>
      <c r="U180" s="1283"/>
      <c r="V180" s="1282"/>
      <c r="W180" s="1286"/>
      <c r="X180" s="1283"/>
      <c r="Y180" s="1286"/>
      <c r="Z180" s="1282"/>
      <c r="AA180" s="1277"/>
    </row>
    <row r="181" spans="1:27">
      <c r="A181" s="1281"/>
      <c r="B181" s="1282"/>
      <c r="C181" s="1282"/>
      <c r="D181" s="1282"/>
      <c r="E181" s="1283"/>
      <c r="F181" s="1283"/>
      <c r="G181" s="1283"/>
      <c r="H181" s="1283"/>
      <c r="I181" s="1282"/>
      <c r="J181" s="1282"/>
      <c r="K181" s="1282"/>
      <c r="L181" s="1287"/>
      <c r="M181" s="1282"/>
      <c r="N181" s="1282"/>
      <c r="O181" s="1282"/>
      <c r="P181" s="1282"/>
      <c r="Q181" s="1283"/>
      <c r="R181" s="1283"/>
      <c r="S181" s="1283"/>
      <c r="T181" s="1283"/>
      <c r="U181" s="1283"/>
      <c r="V181" s="1282"/>
      <c r="W181" s="1286"/>
      <c r="X181" s="1283"/>
      <c r="Y181" s="1286"/>
      <c r="Z181" s="1282"/>
      <c r="AA181" s="1277"/>
    </row>
    <row r="182" spans="1:27">
      <c r="A182" s="1281"/>
      <c r="B182" s="1282"/>
      <c r="C182" s="1282"/>
      <c r="D182" s="1282"/>
      <c r="E182" s="1283"/>
      <c r="F182" s="1283"/>
      <c r="G182" s="1283"/>
      <c r="H182" s="1283"/>
      <c r="I182" s="1282"/>
      <c r="J182" s="1282"/>
      <c r="K182" s="1282"/>
      <c r="L182" s="1287"/>
      <c r="M182" s="1282"/>
      <c r="N182" s="1282"/>
      <c r="O182" s="1282"/>
      <c r="P182" s="1282"/>
      <c r="Q182" s="1283"/>
      <c r="R182" s="1283"/>
      <c r="S182" s="1283"/>
      <c r="T182" s="1283"/>
      <c r="U182" s="1283"/>
      <c r="V182" s="1282"/>
      <c r="W182" s="1286"/>
      <c r="X182" s="1283"/>
      <c r="Y182" s="1286"/>
      <c r="Z182" s="1282"/>
      <c r="AA182" s="1277"/>
    </row>
    <row r="183" spans="1:27">
      <c r="A183" s="1281"/>
      <c r="B183" s="1282"/>
      <c r="C183" s="1282"/>
      <c r="D183" s="1282"/>
      <c r="E183" s="1283"/>
      <c r="F183" s="1283"/>
      <c r="G183" s="1283"/>
      <c r="H183" s="1283"/>
      <c r="I183" s="1282"/>
      <c r="J183" s="1282"/>
      <c r="K183" s="1282"/>
      <c r="L183" s="1287"/>
      <c r="M183" s="1282"/>
      <c r="N183" s="1282"/>
      <c r="O183" s="1282"/>
      <c r="P183" s="1282"/>
      <c r="Q183" s="1283"/>
      <c r="R183" s="1283"/>
      <c r="S183" s="1283"/>
      <c r="T183" s="1283"/>
      <c r="U183" s="1283"/>
      <c r="V183" s="1282"/>
      <c r="W183" s="1286"/>
      <c r="X183" s="1283"/>
      <c r="Y183" s="1286"/>
      <c r="Z183" s="1282"/>
      <c r="AA183" s="1277"/>
    </row>
    <row r="184" spans="1:27">
      <c r="A184" s="1281"/>
      <c r="B184" s="1282"/>
      <c r="C184" s="1282"/>
      <c r="D184" s="1282"/>
      <c r="E184" s="1283"/>
      <c r="F184" s="1283"/>
      <c r="G184" s="1283"/>
      <c r="H184" s="1283"/>
      <c r="I184" s="1282"/>
      <c r="J184" s="1282"/>
      <c r="K184" s="1282"/>
      <c r="L184" s="1287"/>
      <c r="M184" s="1282"/>
      <c r="N184" s="1282"/>
      <c r="O184" s="1282"/>
      <c r="P184" s="1282"/>
      <c r="Q184" s="1283"/>
      <c r="R184" s="1283"/>
      <c r="S184" s="1283"/>
      <c r="T184" s="1283"/>
      <c r="U184" s="1283"/>
      <c r="V184" s="1282"/>
      <c r="W184" s="1286"/>
      <c r="X184" s="1283"/>
      <c r="Y184" s="1286"/>
      <c r="Z184" s="1282"/>
      <c r="AA184" s="1277"/>
    </row>
    <row r="185" spans="1:27">
      <c r="A185" s="1281"/>
      <c r="B185" s="1282"/>
      <c r="C185" s="1282"/>
      <c r="D185" s="1282"/>
      <c r="E185" s="1283"/>
      <c r="F185" s="1283"/>
      <c r="G185" s="1283"/>
      <c r="H185" s="1283"/>
      <c r="I185" s="1282"/>
      <c r="J185" s="1282"/>
      <c r="K185" s="1282"/>
      <c r="L185" s="1287"/>
      <c r="M185" s="1282"/>
      <c r="N185" s="1282"/>
      <c r="O185" s="1282"/>
      <c r="P185" s="1282"/>
      <c r="Q185" s="1283"/>
      <c r="R185" s="1283"/>
      <c r="S185" s="1283"/>
      <c r="T185" s="1283"/>
      <c r="U185" s="1283"/>
      <c r="V185" s="1282"/>
      <c r="W185" s="1286"/>
      <c r="X185" s="1283"/>
      <c r="Y185" s="1286"/>
      <c r="Z185" s="1282"/>
      <c r="AA185" s="1277"/>
    </row>
    <row r="186" spans="1:27">
      <c r="A186" s="1281"/>
      <c r="B186" s="1282"/>
      <c r="C186" s="1282"/>
      <c r="D186" s="1282"/>
      <c r="E186" s="1283"/>
      <c r="F186" s="1283"/>
      <c r="G186" s="1283"/>
      <c r="H186" s="1283"/>
      <c r="I186" s="1282"/>
      <c r="J186" s="1282"/>
      <c r="K186" s="1282"/>
      <c r="L186" s="1287"/>
      <c r="M186" s="1282"/>
      <c r="N186" s="1282"/>
      <c r="O186" s="1282"/>
      <c r="P186" s="1282"/>
      <c r="Q186" s="1283"/>
      <c r="R186" s="1283"/>
      <c r="S186" s="1283"/>
      <c r="T186" s="1283"/>
      <c r="U186" s="1283"/>
      <c r="V186" s="1282"/>
      <c r="W186" s="1286"/>
      <c r="X186" s="1283"/>
      <c r="Y186" s="1286"/>
      <c r="Z186" s="1282"/>
      <c r="AA186" s="1277"/>
    </row>
    <row r="187" spans="1:27">
      <c r="A187" s="1281"/>
      <c r="B187" s="1282"/>
      <c r="C187" s="1282"/>
      <c r="D187" s="1282"/>
      <c r="E187" s="1283"/>
      <c r="F187" s="1283"/>
      <c r="G187" s="1283"/>
      <c r="H187" s="1283"/>
      <c r="I187" s="1282"/>
      <c r="J187" s="1282"/>
      <c r="K187" s="1282"/>
      <c r="L187" s="1287"/>
      <c r="M187" s="1282"/>
      <c r="N187" s="1282"/>
      <c r="O187" s="1282"/>
      <c r="P187" s="1282"/>
      <c r="Q187" s="1283"/>
      <c r="R187" s="1283"/>
      <c r="S187" s="1283"/>
      <c r="T187" s="1283"/>
      <c r="U187" s="1283"/>
      <c r="V187" s="1282"/>
      <c r="W187" s="1286"/>
      <c r="X187" s="1283"/>
      <c r="Y187" s="1286"/>
      <c r="Z187" s="1282"/>
      <c r="AA187" s="1277"/>
    </row>
    <row r="188" spans="1:27">
      <c r="A188" s="1281"/>
      <c r="B188" s="1282"/>
      <c r="C188" s="1282"/>
      <c r="D188" s="1282"/>
      <c r="E188" s="1283"/>
      <c r="F188" s="1283"/>
      <c r="G188" s="1283"/>
      <c r="H188" s="1283"/>
      <c r="I188" s="1282"/>
      <c r="J188" s="1282"/>
      <c r="K188" s="1282"/>
      <c r="L188" s="1287"/>
      <c r="M188" s="1282"/>
      <c r="N188" s="1282"/>
      <c r="O188" s="1282"/>
      <c r="P188" s="1282"/>
      <c r="Q188" s="1283"/>
      <c r="R188" s="1283"/>
      <c r="S188" s="1283"/>
      <c r="T188" s="1283"/>
      <c r="U188" s="1283"/>
      <c r="V188" s="1282"/>
      <c r="W188" s="1286"/>
      <c r="X188" s="1283"/>
      <c r="Y188" s="1286"/>
      <c r="Z188" s="1282"/>
      <c r="AA188" s="1277"/>
    </row>
    <row r="189" spans="1:27">
      <c r="A189" s="1281"/>
      <c r="B189" s="1282"/>
      <c r="C189" s="1282"/>
      <c r="D189" s="1282"/>
      <c r="E189" s="1283"/>
      <c r="F189" s="1283"/>
      <c r="G189" s="1283"/>
      <c r="H189" s="1283"/>
      <c r="I189" s="1282"/>
      <c r="J189" s="1282"/>
      <c r="K189" s="1282"/>
      <c r="L189" s="1287"/>
      <c r="M189" s="1282"/>
      <c r="N189" s="1282"/>
      <c r="O189" s="1282"/>
      <c r="P189" s="1282"/>
      <c r="Q189" s="1283"/>
      <c r="R189" s="1283"/>
      <c r="S189" s="1283"/>
      <c r="T189" s="1283"/>
      <c r="U189" s="1283"/>
      <c r="V189" s="1282"/>
      <c r="W189" s="1286"/>
      <c r="X189" s="1283"/>
      <c r="Y189" s="1286"/>
      <c r="Z189" s="1282"/>
      <c r="AA189" s="1277"/>
    </row>
    <row r="190" spans="1:27">
      <c r="A190" s="1281"/>
      <c r="B190" s="1282"/>
      <c r="C190" s="1282"/>
      <c r="D190" s="1282"/>
      <c r="E190" s="1283"/>
      <c r="F190" s="1283"/>
      <c r="G190" s="1283"/>
      <c r="H190" s="1283"/>
      <c r="I190" s="1282"/>
      <c r="J190" s="1282"/>
      <c r="K190" s="1282"/>
      <c r="L190" s="1287"/>
      <c r="M190" s="1282"/>
      <c r="N190" s="1282"/>
      <c r="O190" s="1282"/>
      <c r="P190" s="1282"/>
      <c r="Q190" s="1283"/>
      <c r="R190" s="1283"/>
      <c r="S190" s="1283"/>
      <c r="T190" s="1283"/>
      <c r="U190" s="1283"/>
      <c r="V190" s="1282"/>
      <c r="W190" s="1286"/>
      <c r="X190" s="1283"/>
      <c r="Y190" s="1286"/>
      <c r="Z190" s="1282"/>
      <c r="AA190" s="1277"/>
    </row>
    <row r="191" spans="1:27">
      <c r="A191" s="1281"/>
      <c r="B191" s="1282"/>
      <c r="C191" s="1282"/>
      <c r="D191" s="1282"/>
      <c r="E191" s="1283"/>
      <c r="F191" s="1283"/>
      <c r="G191" s="1283"/>
      <c r="H191" s="1283"/>
      <c r="I191" s="1282"/>
      <c r="J191" s="1282"/>
      <c r="K191" s="1282"/>
      <c r="L191" s="1287"/>
      <c r="M191" s="1282"/>
      <c r="N191" s="1282"/>
      <c r="O191" s="1282"/>
      <c r="P191" s="1282"/>
      <c r="Q191" s="1283"/>
      <c r="R191" s="1283"/>
      <c r="S191" s="1283"/>
      <c r="T191" s="1283"/>
      <c r="U191" s="1283"/>
      <c r="V191" s="1282"/>
      <c r="W191" s="1286"/>
      <c r="X191" s="1283"/>
      <c r="Y191" s="1286"/>
      <c r="Z191" s="1282"/>
      <c r="AA191" s="1277"/>
    </row>
    <row r="192" spans="1:27">
      <c r="A192" s="1281"/>
      <c r="B192" s="1282"/>
      <c r="C192" s="1282"/>
      <c r="D192" s="1282"/>
      <c r="E192" s="1283"/>
      <c r="F192" s="1283"/>
      <c r="G192" s="1283"/>
      <c r="H192" s="1283"/>
      <c r="I192" s="1282"/>
      <c r="J192" s="1282"/>
      <c r="K192" s="1282"/>
      <c r="L192" s="1287"/>
      <c r="M192" s="1282"/>
      <c r="N192" s="1282"/>
      <c r="O192" s="1282"/>
      <c r="P192" s="1282"/>
      <c r="Q192" s="1283"/>
      <c r="R192" s="1283"/>
      <c r="S192" s="1283"/>
      <c r="T192" s="1283"/>
      <c r="U192" s="1283"/>
      <c r="V192" s="1282"/>
      <c r="W192" s="1286"/>
      <c r="X192" s="1283"/>
      <c r="Y192" s="1286"/>
      <c r="Z192" s="1282"/>
      <c r="AA192" s="1277"/>
    </row>
    <row r="193" spans="1:27">
      <c r="A193" s="1281"/>
      <c r="B193" s="1282"/>
      <c r="C193" s="1282"/>
      <c r="D193" s="1282"/>
      <c r="E193" s="1283"/>
      <c r="F193" s="1283"/>
      <c r="G193" s="1283"/>
      <c r="H193" s="1283"/>
      <c r="I193" s="1282"/>
      <c r="J193" s="1282"/>
      <c r="K193" s="1282"/>
      <c r="L193" s="1287"/>
      <c r="M193" s="1282"/>
      <c r="N193" s="1282"/>
      <c r="O193" s="1282"/>
      <c r="P193" s="1282"/>
      <c r="Q193" s="1283"/>
      <c r="R193" s="1283"/>
      <c r="S193" s="1283"/>
      <c r="T193" s="1283"/>
      <c r="U193" s="1283"/>
      <c r="V193" s="1282"/>
      <c r="W193" s="1286"/>
      <c r="X193" s="1283"/>
      <c r="Y193" s="1286"/>
      <c r="Z193" s="1282"/>
      <c r="AA193" s="1277"/>
    </row>
    <row r="194" spans="1:27">
      <c r="A194" s="1281"/>
      <c r="B194" s="1282"/>
      <c r="C194" s="1282"/>
      <c r="D194" s="1282"/>
      <c r="E194" s="1283"/>
      <c r="F194" s="1283"/>
      <c r="G194" s="1283"/>
      <c r="H194" s="1283"/>
      <c r="I194" s="1282"/>
      <c r="J194" s="1282"/>
      <c r="K194" s="1282"/>
      <c r="L194" s="1287"/>
      <c r="M194" s="1282"/>
      <c r="N194" s="1282"/>
      <c r="O194" s="1282"/>
      <c r="P194" s="1282"/>
      <c r="Q194" s="1283"/>
      <c r="R194" s="1283"/>
      <c r="S194" s="1283"/>
      <c r="T194" s="1283"/>
      <c r="U194" s="1283"/>
      <c r="V194" s="1282"/>
      <c r="W194" s="1286"/>
      <c r="X194" s="1283"/>
      <c r="Y194" s="1286"/>
      <c r="Z194" s="1282"/>
      <c r="AA194" s="1277"/>
    </row>
    <row r="195" spans="1:27">
      <c r="A195" s="1281"/>
      <c r="B195" s="1282"/>
      <c r="C195" s="1282"/>
      <c r="D195" s="1282"/>
      <c r="E195" s="1283"/>
      <c r="F195" s="1283"/>
      <c r="G195" s="1283"/>
      <c r="H195" s="1283"/>
      <c r="I195" s="1282"/>
      <c r="J195" s="1282"/>
      <c r="K195" s="1282"/>
      <c r="L195" s="1287"/>
      <c r="M195" s="1282"/>
      <c r="N195" s="1282"/>
      <c r="O195" s="1282"/>
      <c r="P195" s="1282"/>
      <c r="Q195" s="1283"/>
      <c r="R195" s="1283"/>
      <c r="S195" s="1283"/>
      <c r="T195" s="1283"/>
      <c r="U195" s="1283"/>
      <c r="V195" s="1282"/>
      <c r="W195" s="1286"/>
      <c r="X195" s="1283"/>
      <c r="Y195" s="1286"/>
      <c r="Z195" s="1282"/>
      <c r="AA195" s="1277"/>
    </row>
    <row r="196" spans="1:27">
      <c r="A196" s="1281"/>
      <c r="B196" s="1282"/>
      <c r="C196" s="1282"/>
      <c r="D196" s="1282"/>
      <c r="E196" s="1283"/>
      <c r="F196" s="1283"/>
      <c r="G196" s="1283"/>
      <c r="H196" s="1283"/>
      <c r="I196" s="1282"/>
      <c r="J196" s="1282"/>
      <c r="K196" s="1282"/>
      <c r="L196" s="1287"/>
      <c r="M196" s="1282"/>
      <c r="N196" s="1282"/>
      <c r="O196" s="1282"/>
      <c r="P196" s="1282"/>
      <c r="Q196" s="1283"/>
      <c r="R196" s="1283"/>
      <c r="S196" s="1283"/>
      <c r="T196" s="1283"/>
      <c r="U196" s="1283"/>
      <c r="V196" s="1282"/>
      <c r="W196" s="1286"/>
      <c r="X196" s="1283"/>
      <c r="Y196" s="1286"/>
      <c r="Z196" s="1282"/>
      <c r="AA196" s="1277"/>
    </row>
    <row r="197" spans="1:27">
      <c r="A197" s="1281"/>
      <c r="B197" s="1282"/>
      <c r="C197" s="1282"/>
      <c r="D197" s="1282"/>
      <c r="E197" s="1283"/>
      <c r="F197" s="1283"/>
      <c r="G197" s="1283"/>
      <c r="H197" s="1283"/>
      <c r="I197" s="1282"/>
      <c r="J197" s="1282"/>
      <c r="K197" s="1282"/>
      <c r="L197" s="1287"/>
      <c r="M197" s="1282"/>
      <c r="N197" s="1282"/>
      <c r="O197" s="1282"/>
      <c r="P197" s="1282"/>
      <c r="Q197" s="1283"/>
      <c r="R197" s="1283"/>
      <c r="S197" s="1283"/>
      <c r="T197" s="1283"/>
      <c r="U197" s="1283"/>
      <c r="V197" s="1282"/>
      <c r="W197" s="1286"/>
      <c r="X197" s="1283"/>
      <c r="Y197" s="1286"/>
      <c r="Z197" s="1282"/>
      <c r="AA197" s="1277"/>
    </row>
    <row r="198" spans="1:27">
      <c r="A198" s="1281"/>
      <c r="B198" s="1282"/>
      <c r="C198" s="1282"/>
      <c r="D198" s="1282"/>
      <c r="E198" s="1283"/>
      <c r="F198" s="1283"/>
      <c r="G198" s="1283"/>
      <c r="H198" s="1283"/>
      <c r="I198" s="1282"/>
      <c r="J198" s="1282"/>
      <c r="K198" s="1282"/>
      <c r="L198" s="1287"/>
      <c r="M198" s="1282"/>
      <c r="N198" s="1282"/>
      <c r="O198" s="1282"/>
      <c r="P198" s="1282"/>
      <c r="Q198" s="1283"/>
      <c r="R198" s="1283"/>
      <c r="S198" s="1283"/>
      <c r="T198" s="1283"/>
      <c r="U198" s="1283"/>
      <c r="V198" s="1282"/>
      <c r="W198" s="1286"/>
      <c r="X198" s="1283"/>
      <c r="Y198" s="1286"/>
      <c r="Z198" s="1282"/>
      <c r="AA198" s="1277"/>
    </row>
    <row r="199" spans="1:27">
      <c r="A199" s="1281"/>
      <c r="B199" s="1282"/>
      <c r="C199" s="1282"/>
      <c r="D199" s="1282"/>
      <c r="E199" s="1283"/>
      <c r="F199" s="1283"/>
      <c r="G199" s="1283"/>
      <c r="H199" s="1283"/>
      <c r="I199" s="1282"/>
      <c r="J199" s="1282"/>
      <c r="K199" s="1282"/>
      <c r="L199" s="1287"/>
      <c r="M199" s="1282"/>
      <c r="N199" s="1282"/>
      <c r="O199" s="1282"/>
      <c r="P199" s="1282"/>
      <c r="Q199" s="1283"/>
      <c r="R199" s="1283"/>
      <c r="S199" s="1283"/>
      <c r="T199" s="1283"/>
      <c r="U199" s="1283"/>
      <c r="V199" s="1282"/>
      <c r="W199" s="1286"/>
      <c r="X199" s="1283"/>
      <c r="Y199" s="1286"/>
      <c r="Z199" s="1282"/>
      <c r="AA199" s="1277"/>
    </row>
    <row r="200" spans="1:27">
      <c r="A200" s="1281"/>
      <c r="B200" s="1282"/>
      <c r="C200" s="1282"/>
      <c r="D200" s="1282"/>
      <c r="E200" s="1283"/>
      <c r="F200" s="1283"/>
      <c r="G200" s="1283"/>
      <c r="H200" s="1283"/>
      <c r="I200" s="1282"/>
      <c r="J200" s="1282"/>
      <c r="K200" s="1282"/>
      <c r="L200" s="1287"/>
      <c r="M200" s="1282"/>
      <c r="N200" s="1282"/>
      <c r="O200" s="1282"/>
      <c r="P200" s="1282"/>
      <c r="Q200" s="1283"/>
      <c r="R200" s="1283"/>
      <c r="S200" s="1283"/>
      <c r="T200" s="1283"/>
      <c r="U200" s="1283"/>
      <c r="V200" s="1282"/>
      <c r="W200" s="1286"/>
      <c r="X200" s="1283"/>
      <c r="Y200" s="1286"/>
      <c r="Z200" s="1282"/>
      <c r="AA200" s="1277"/>
    </row>
    <row r="201" spans="1:27">
      <c r="A201" s="1281"/>
      <c r="B201" s="1282"/>
      <c r="C201" s="1282"/>
      <c r="D201" s="1282"/>
      <c r="E201" s="1283"/>
      <c r="F201" s="1283"/>
      <c r="G201" s="1283"/>
      <c r="H201" s="1283"/>
      <c r="I201" s="1282"/>
      <c r="J201" s="1282"/>
      <c r="K201" s="1282"/>
      <c r="L201" s="1287"/>
      <c r="M201" s="1282"/>
      <c r="N201" s="1282"/>
      <c r="O201" s="1282"/>
      <c r="P201" s="1282"/>
      <c r="Q201" s="1283"/>
      <c r="R201" s="1283"/>
      <c r="S201" s="1283"/>
      <c r="T201" s="1283"/>
      <c r="U201" s="1283"/>
      <c r="V201" s="1282"/>
      <c r="W201" s="1286"/>
      <c r="X201" s="1283"/>
      <c r="Y201" s="1286"/>
      <c r="Z201" s="1282"/>
      <c r="AA201" s="1277"/>
    </row>
    <row r="202" spans="1:27">
      <c r="A202" s="1281"/>
      <c r="B202" s="1282"/>
      <c r="C202" s="1282"/>
      <c r="D202" s="1282"/>
      <c r="E202" s="1283"/>
      <c r="F202" s="1283"/>
      <c r="G202" s="1283"/>
      <c r="H202" s="1283"/>
      <c r="I202" s="1282"/>
      <c r="J202" s="1282"/>
      <c r="K202" s="1282"/>
      <c r="L202" s="1287"/>
      <c r="M202" s="1282"/>
      <c r="N202" s="1282"/>
      <c r="O202" s="1282"/>
      <c r="P202" s="1282"/>
      <c r="Q202" s="1283"/>
      <c r="R202" s="1283"/>
      <c r="S202" s="1283"/>
      <c r="T202" s="1283"/>
      <c r="U202" s="1283"/>
      <c r="V202" s="1282"/>
      <c r="W202" s="1286"/>
      <c r="X202" s="1283"/>
      <c r="Y202" s="1286"/>
      <c r="Z202" s="1282"/>
      <c r="AA202" s="1277"/>
    </row>
    <row r="203" spans="1:27">
      <c r="A203" s="1281"/>
      <c r="B203" s="1282"/>
      <c r="C203" s="1282"/>
      <c r="D203" s="1282"/>
      <c r="E203" s="1283"/>
      <c r="F203" s="1283"/>
      <c r="G203" s="1283"/>
      <c r="H203" s="1283"/>
      <c r="I203" s="1282"/>
      <c r="J203" s="1282"/>
      <c r="K203" s="1282"/>
      <c r="L203" s="1287"/>
      <c r="M203" s="1282"/>
      <c r="N203" s="1282"/>
      <c r="O203" s="1282"/>
      <c r="P203" s="1282"/>
      <c r="Q203" s="1283"/>
      <c r="R203" s="1283"/>
      <c r="S203" s="1283"/>
      <c r="T203" s="1283"/>
      <c r="U203" s="1283"/>
      <c r="V203" s="1282"/>
      <c r="W203" s="1286"/>
      <c r="X203" s="1283"/>
      <c r="Y203" s="1286"/>
      <c r="Z203" s="1282"/>
      <c r="AA203" s="1277"/>
    </row>
    <row r="204" spans="1:27">
      <c r="A204" s="1281"/>
      <c r="B204" s="1282"/>
      <c r="C204" s="1282"/>
      <c r="D204" s="1282"/>
      <c r="E204" s="1283"/>
      <c r="F204" s="1283"/>
      <c r="G204" s="1283"/>
      <c r="H204" s="1283"/>
      <c r="I204" s="1282"/>
      <c r="J204" s="1282"/>
      <c r="K204" s="1282"/>
      <c r="L204" s="1287"/>
      <c r="M204" s="1282"/>
      <c r="N204" s="1282"/>
      <c r="O204" s="1282"/>
      <c r="P204" s="1282"/>
      <c r="Q204" s="1283"/>
      <c r="R204" s="1283"/>
      <c r="S204" s="1283"/>
      <c r="T204" s="1283"/>
      <c r="U204" s="1283"/>
      <c r="V204" s="1282"/>
      <c r="W204" s="1286"/>
      <c r="X204" s="1283"/>
      <c r="Y204" s="1286"/>
      <c r="Z204" s="1282"/>
      <c r="AA204" s="1277"/>
    </row>
    <row r="205" spans="1:27">
      <c r="A205" s="1281"/>
      <c r="B205" s="1282"/>
      <c r="C205" s="1282"/>
      <c r="D205" s="1282"/>
      <c r="E205" s="1283"/>
      <c r="F205" s="1283"/>
      <c r="G205" s="1283"/>
      <c r="H205" s="1283"/>
      <c r="I205" s="1282"/>
      <c r="J205" s="1282"/>
      <c r="K205" s="1282"/>
      <c r="L205" s="1287"/>
      <c r="M205" s="1282"/>
      <c r="N205" s="1282"/>
      <c r="O205" s="1282"/>
      <c r="P205" s="1282"/>
      <c r="Q205" s="1283"/>
      <c r="R205" s="1283"/>
      <c r="S205" s="1283"/>
      <c r="T205" s="1283"/>
      <c r="U205" s="1283"/>
      <c r="V205" s="1282"/>
      <c r="W205" s="1286"/>
      <c r="X205" s="1283"/>
      <c r="Y205" s="1286"/>
      <c r="Z205" s="1282"/>
      <c r="AA205" s="1277"/>
    </row>
    <row r="206" spans="1:27">
      <c r="A206" s="1281"/>
      <c r="B206" s="1282"/>
      <c r="C206" s="1282"/>
      <c r="D206" s="1282"/>
      <c r="E206" s="1283"/>
      <c r="F206" s="1283"/>
      <c r="G206" s="1283"/>
      <c r="H206" s="1283"/>
      <c r="I206" s="1282"/>
      <c r="J206" s="1282"/>
      <c r="K206" s="1282"/>
      <c r="L206" s="1287"/>
      <c r="M206" s="1282"/>
      <c r="N206" s="1282"/>
      <c r="O206" s="1282"/>
      <c r="P206" s="1282"/>
      <c r="Q206" s="1283"/>
      <c r="R206" s="1283"/>
      <c r="S206" s="1283"/>
      <c r="T206" s="1283"/>
      <c r="U206" s="1283"/>
      <c r="V206" s="1282"/>
      <c r="W206" s="1286"/>
      <c r="X206" s="1283"/>
      <c r="Y206" s="1286"/>
      <c r="Z206" s="1282"/>
      <c r="AA206" s="1277"/>
    </row>
    <row r="207" spans="1:27">
      <c r="A207" s="1281"/>
      <c r="B207" s="1282"/>
      <c r="C207" s="1282"/>
      <c r="D207" s="1282"/>
      <c r="E207" s="1283"/>
      <c r="F207" s="1283"/>
      <c r="G207" s="1283"/>
      <c r="H207" s="1283"/>
      <c r="I207" s="1282"/>
      <c r="J207" s="1282"/>
      <c r="K207" s="1282"/>
      <c r="L207" s="1287"/>
      <c r="M207" s="1282"/>
      <c r="N207" s="1282"/>
      <c r="O207" s="1282"/>
      <c r="P207" s="1282"/>
      <c r="Q207" s="1283"/>
      <c r="R207" s="1283"/>
      <c r="S207" s="1283"/>
      <c r="T207" s="1283"/>
      <c r="U207" s="1283"/>
      <c r="V207" s="1282"/>
      <c r="W207" s="1286"/>
      <c r="X207" s="1283"/>
      <c r="Y207" s="1286"/>
      <c r="Z207" s="1282"/>
      <c r="AA207" s="1277"/>
    </row>
    <row r="208" spans="1:27">
      <c r="A208" s="1281"/>
      <c r="B208" s="1282"/>
      <c r="C208" s="1282"/>
      <c r="D208" s="1282"/>
      <c r="E208" s="1283"/>
      <c r="F208" s="1283"/>
      <c r="G208" s="1283"/>
      <c r="H208" s="1283"/>
      <c r="I208" s="1282"/>
      <c r="J208" s="1282"/>
      <c r="K208" s="1282"/>
      <c r="L208" s="1287"/>
      <c r="M208" s="1282"/>
      <c r="N208" s="1282"/>
      <c r="O208" s="1282"/>
      <c r="P208" s="1282"/>
      <c r="Q208" s="1283"/>
      <c r="R208" s="1283"/>
      <c r="S208" s="1283"/>
      <c r="T208" s="1283"/>
      <c r="U208" s="1283"/>
      <c r="V208" s="1282"/>
      <c r="W208" s="1286"/>
      <c r="X208" s="1283"/>
      <c r="Y208" s="1286"/>
      <c r="Z208" s="1282"/>
      <c r="AA208" s="1277"/>
    </row>
    <row r="209" spans="1:27">
      <c r="A209" s="1281"/>
      <c r="B209" s="1282"/>
      <c r="C209" s="1282"/>
      <c r="D209" s="1282"/>
      <c r="E209" s="1283"/>
      <c r="F209" s="1283"/>
      <c r="G209" s="1283"/>
      <c r="H209" s="1283"/>
      <c r="I209" s="1282"/>
      <c r="J209" s="1282"/>
      <c r="K209" s="1282"/>
      <c r="L209" s="1287"/>
      <c r="M209" s="1282"/>
      <c r="N209" s="1282"/>
      <c r="O209" s="1282"/>
      <c r="P209" s="1282"/>
      <c r="Q209" s="1283"/>
      <c r="R209" s="1283"/>
      <c r="S209" s="1283"/>
      <c r="T209" s="1283"/>
      <c r="U209" s="1283"/>
      <c r="V209" s="1282"/>
      <c r="W209" s="1286"/>
      <c r="X209" s="1283"/>
      <c r="Y209" s="1286"/>
      <c r="Z209" s="1282"/>
      <c r="AA209" s="1277"/>
    </row>
    <row r="210" spans="1:27">
      <c r="A210" s="1281"/>
      <c r="B210" s="1282"/>
      <c r="C210" s="1282"/>
      <c r="D210" s="1282"/>
      <c r="E210" s="1283"/>
      <c r="F210" s="1283"/>
      <c r="G210" s="1283"/>
      <c r="H210" s="1283"/>
      <c r="I210" s="1282"/>
      <c r="J210" s="1282"/>
      <c r="K210" s="1282"/>
      <c r="L210" s="1287"/>
      <c r="M210" s="1282"/>
      <c r="N210" s="1282"/>
      <c r="O210" s="1282"/>
      <c r="P210" s="1282"/>
      <c r="Q210" s="1283"/>
      <c r="R210" s="1283"/>
      <c r="S210" s="1283"/>
      <c r="T210" s="1283"/>
      <c r="U210" s="1283"/>
      <c r="V210" s="1282"/>
      <c r="W210" s="1286"/>
      <c r="X210" s="1283"/>
      <c r="Y210" s="1286"/>
      <c r="Z210" s="1282"/>
      <c r="AA210" s="1277"/>
    </row>
    <row r="211" spans="1:27">
      <c r="A211" s="1281"/>
      <c r="B211" s="1282"/>
      <c r="C211" s="1282"/>
      <c r="D211" s="1282"/>
      <c r="E211" s="1283"/>
      <c r="F211" s="1283"/>
      <c r="G211" s="1283"/>
      <c r="H211" s="1283"/>
      <c r="I211" s="1282"/>
      <c r="J211" s="1282"/>
      <c r="K211" s="1282"/>
      <c r="L211" s="1287"/>
      <c r="M211" s="1282"/>
      <c r="N211" s="1282"/>
      <c r="O211" s="1282"/>
      <c r="P211" s="1282"/>
      <c r="Q211" s="1283"/>
      <c r="R211" s="1283"/>
      <c r="S211" s="1283"/>
      <c r="T211" s="1283"/>
      <c r="U211" s="1283"/>
      <c r="V211" s="1282"/>
      <c r="W211" s="1286"/>
      <c r="X211" s="1283"/>
      <c r="Y211" s="1286"/>
      <c r="Z211" s="1282"/>
      <c r="AA211" s="1277"/>
    </row>
    <row r="212" spans="1:27">
      <c r="A212" s="1281"/>
      <c r="B212" s="1282"/>
      <c r="C212" s="1282"/>
      <c r="D212" s="1282"/>
      <c r="E212" s="1283"/>
      <c r="F212" s="1283"/>
      <c r="G212" s="1283"/>
      <c r="H212" s="1283"/>
      <c r="I212" s="1282"/>
      <c r="J212" s="1282"/>
      <c r="K212" s="1282"/>
      <c r="L212" s="1287"/>
      <c r="M212" s="1282"/>
      <c r="N212" s="1282"/>
      <c r="O212" s="1282"/>
      <c r="P212" s="1282"/>
      <c r="Q212" s="1283"/>
      <c r="R212" s="1283"/>
      <c r="S212" s="1283"/>
      <c r="T212" s="1283"/>
      <c r="U212" s="1283"/>
      <c r="V212" s="1282"/>
      <c r="W212" s="1286"/>
      <c r="X212" s="1283"/>
      <c r="Y212" s="1286"/>
      <c r="Z212" s="1282"/>
      <c r="AA212" s="1277"/>
    </row>
    <row r="213" spans="1:27">
      <c r="A213" s="1281"/>
      <c r="B213" s="1282"/>
      <c r="C213" s="1282"/>
      <c r="D213" s="1282"/>
      <c r="E213" s="1283"/>
      <c r="F213" s="1283"/>
      <c r="G213" s="1283"/>
      <c r="H213" s="1283"/>
      <c r="I213" s="1282"/>
      <c r="J213" s="1282"/>
      <c r="K213" s="1282"/>
      <c r="L213" s="1287"/>
      <c r="M213" s="1282"/>
      <c r="N213" s="1282"/>
      <c r="O213" s="1282"/>
      <c r="P213" s="1282"/>
      <c r="Q213" s="1283"/>
      <c r="R213" s="1283"/>
      <c r="S213" s="1283"/>
      <c r="T213" s="1283"/>
      <c r="U213" s="1283"/>
      <c r="V213" s="1282"/>
      <c r="W213" s="1286"/>
      <c r="X213" s="1283"/>
      <c r="Y213" s="1286"/>
      <c r="Z213" s="1282"/>
      <c r="AA213" s="1277"/>
    </row>
    <row r="214" spans="1:27">
      <c r="A214" s="1281"/>
      <c r="B214" s="1282"/>
      <c r="C214" s="1282"/>
      <c r="D214" s="1282"/>
      <c r="E214" s="1283"/>
      <c r="F214" s="1283"/>
      <c r="G214" s="1283"/>
      <c r="H214" s="1283"/>
      <c r="I214" s="1282"/>
      <c r="J214" s="1282"/>
      <c r="K214" s="1282"/>
      <c r="L214" s="1287"/>
      <c r="M214" s="1282"/>
      <c r="N214" s="1282"/>
      <c r="O214" s="1282"/>
      <c r="P214" s="1282"/>
      <c r="Q214" s="1283"/>
      <c r="R214" s="1283"/>
      <c r="S214" s="1283"/>
      <c r="T214" s="1283"/>
      <c r="U214" s="1283"/>
      <c r="V214" s="1282"/>
      <c r="W214" s="1286"/>
      <c r="X214" s="1283"/>
      <c r="Y214" s="1286"/>
      <c r="Z214" s="1282"/>
      <c r="AA214" s="1277"/>
    </row>
    <row r="215" spans="1:27">
      <c r="A215" s="1281"/>
      <c r="B215" s="1282"/>
      <c r="C215" s="1282"/>
      <c r="D215" s="1282"/>
      <c r="E215" s="1283"/>
      <c r="F215" s="1283"/>
      <c r="G215" s="1283"/>
      <c r="H215" s="1283"/>
      <c r="I215" s="1282"/>
      <c r="J215" s="1282"/>
      <c r="K215" s="1282"/>
      <c r="L215" s="1287"/>
      <c r="M215" s="1282"/>
      <c r="N215" s="1282"/>
      <c r="O215" s="1282"/>
      <c r="P215" s="1282"/>
      <c r="Q215" s="1283"/>
      <c r="R215" s="1283"/>
      <c r="S215" s="1283"/>
      <c r="T215" s="1283"/>
      <c r="U215" s="1283"/>
      <c r="V215" s="1282"/>
      <c r="W215" s="1286"/>
      <c r="X215" s="1283"/>
      <c r="Y215" s="1286"/>
      <c r="Z215" s="1282"/>
      <c r="AA215" s="1277"/>
    </row>
    <row r="216" spans="1:27">
      <c r="A216" s="1281"/>
      <c r="B216" s="1282"/>
      <c r="C216" s="1282"/>
      <c r="D216" s="1282"/>
      <c r="E216" s="1283"/>
      <c r="F216" s="1283"/>
      <c r="G216" s="1283"/>
      <c r="H216" s="1283"/>
      <c r="I216" s="1282"/>
      <c r="J216" s="1282"/>
      <c r="K216" s="1282"/>
      <c r="L216" s="1287"/>
      <c r="M216" s="1282"/>
      <c r="N216" s="1282"/>
      <c r="O216" s="1282"/>
      <c r="P216" s="1282"/>
      <c r="Q216" s="1283"/>
      <c r="R216" s="1283"/>
      <c r="S216" s="1283"/>
      <c r="T216" s="1283"/>
      <c r="U216" s="1283"/>
      <c r="V216" s="1282"/>
      <c r="W216" s="1286"/>
      <c r="X216" s="1283"/>
      <c r="Y216" s="1286"/>
      <c r="Z216" s="1282"/>
      <c r="AA216" s="1277"/>
    </row>
    <row r="217" spans="1:27">
      <c r="A217" s="1281"/>
      <c r="B217" s="1282"/>
      <c r="C217" s="1282"/>
      <c r="D217" s="1282"/>
      <c r="E217" s="1283"/>
      <c r="F217" s="1283"/>
      <c r="G217" s="1283"/>
      <c r="H217" s="1283"/>
      <c r="I217" s="1282"/>
      <c r="J217" s="1282"/>
      <c r="K217" s="1282"/>
      <c r="L217" s="1287"/>
      <c r="M217" s="1282"/>
      <c r="N217" s="1282"/>
      <c r="O217" s="1282"/>
      <c r="P217" s="1282"/>
      <c r="Q217" s="1283"/>
      <c r="R217" s="1283"/>
      <c r="S217" s="1283"/>
      <c r="T217" s="1283"/>
      <c r="U217" s="1283"/>
      <c r="V217" s="1282"/>
      <c r="W217" s="1286"/>
      <c r="X217" s="1283"/>
      <c r="Y217" s="1286"/>
      <c r="Z217" s="1282"/>
      <c r="AA217" s="1277"/>
    </row>
    <row r="218" spans="1:27">
      <c r="A218" s="1281"/>
      <c r="B218" s="1282"/>
      <c r="C218" s="1282"/>
      <c r="D218" s="1282"/>
      <c r="E218" s="1283"/>
      <c r="F218" s="1283"/>
      <c r="G218" s="1283"/>
      <c r="H218" s="1283"/>
      <c r="I218" s="1282"/>
      <c r="J218" s="1282"/>
      <c r="K218" s="1282"/>
      <c r="L218" s="1287"/>
      <c r="M218" s="1282"/>
      <c r="N218" s="1282"/>
      <c r="O218" s="1282"/>
      <c r="P218" s="1282"/>
      <c r="Q218" s="1283"/>
      <c r="R218" s="1283"/>
      <c r="S218" s="1283"/>
      <c r="T218" s="1283"/>
      <c r="U218" s="1283"/>
      <c r="V218" s="1282"/>
      <c r="W218" s="1286"/>
      <c r="X218" s="1283"/>
      <c r="Y218" s="1286"/>
      <c r="Z218" s="1282"/>
      <c r="AA218" s="1277"/>
    </row>
    <row r="219" spans="1:27">
      <c r="A219" s="1281"/>
      <c r="B219" s="1282"/>
      <c r="C219" s="1282"/>
      <c r="D219" s="1282"/>
      <c r="E219" s="1283"/>
      <c r="F219" s="1283"/>
      <c r="G219" s="1283"/>
      <c r="H219" s="1283"/>
      <c r="I219" s="1282"/>
      <c r="J219" s="1282"/>
      <c r="K219" s="1282"/>
      <c r="L219" s="1287"/>
      <c r="M219" s="1282"/>
      <c r="N219" s="1282"/>
      <c r="O219" s="1282"/>
      <c r="P219" s="1282"/>
      <c r="Q219" s="1283"/>
      <c r="R219" s="1283"/>
      <c r="S219" s="1283"/>
      <c r="T219" s="1283"/>
      <c r="U219" s="1283"/>
      <c r="V219" s="1282"/>
      <c r="W219" s="1286"/>
      <c r="X219" s="1283"/>
      <c r="Y219" s="1286"/>
      <c r="Z219" s="1282"/>
      <c r="AA219" s="1277"/>
    </row>
    <row r="220" spans="1:27">
      <c r="A220" s="1281"/>
      <c r="B220" s="1282"/>
      <c r="C220" s="1282"/>
      <c r="D220" s="1282"/>
      <c r="E220" s="1283"/>
      <c r="F220" s="1283"/>
      <c r="G220" s="1283"/>
      <c r="H220" s="1283"/>
      <c r="I220" s="1282"/>
      <c r="J220" s="1282"/>
      <c r="K220" s="1282"/>
      <c r="L220" s="1287"/>
      <c r="M220" s="1282"/>
      <c r="N220" s="1282"/>
      <c r="O220" s="1282"/>
      <c r="P220" s="1282"/>
      <c r="Q220" s="1283"/>
      <c r="R220" s="1283"/>
      <c r="S220" s="1283"/>
      <c r="T220" s="1283"/>
      <c r="U220" s="1283"/>
      <c r="V220" s="1282"/>
      <c r="W220" s="1286"/>
      <c r="X220" s="1283"/>
      <c r="Y220" s="1286"/>
      <c r="Z220" s="1282"/>
      <c r="AA220" s="1277"/>
    </row>
    <row r="221" spans="1:27">
      <c r="A221" s="1281"/>
      <c r="B221" s="1282"/>
      <c r="C221" s="1282"/>
      <c r="D221" s="1282"/>
      <c r="E221" s="1283"/>
      <c r="F221" s="1283"/>
      <c r="G221" s="1283"/>
      <c r="H221" s="1283"/>
      <c r="I221" s="1282"/>
      <c r="J221" s="1282"/>
      <c r="K221" s="1282"/>
      <c r="L221" s="1287"/>
      <c r="M221" s="1282"/>
      <c r="N221" s="1282"/>
      <c r="O221" s="1282"/>
      <c r="P221" s="1282"/>
      <c r="Q221" s="1283"/>
      <c r="R221" s="1283"/>
      <c r="S221" s="1283"/>
      <c r="T221" s="1283"/>
      <c r="U221" s="1283"/>
      <c r="V221" s="1282"/>
      <c r="W221" s="1286"/>
      <c r="X221" s="1283"/>
      <c r="Y221" s="1286"/>
      <c r="Z221" s="1282"/>
      <c r="AA221" s="1277"/>
    </row>
    <row r="222" spans="1:27">
      <c r="A222" s="1281"/>
      <c r="B222" s="1282"/>
      <c r="C222" s="1282"/>
      <c r="D222" s="1282"/>
      <c r="E222" s="1283"/>
      <c r="F222" s="1283"/>
      <c r="G222" s="1283"/>
      <c r="H222" s="1283"/>
      <c r="I222" s="1282"/>
      <c r="J222" s="1282"/>
      <c r="K222" s="1282"/>
      <c r="L222" s="1287"/>
      <c r="M222" s="1282"/>
      <c r="N222" s="1282"/>
      <c r="O222" s="1282"/>
      <c r="P222" s="1282"/>
      <c r="Q222" s="1283"/>
      <c r="R222" s="1283"/>
      <c r="S222" s="1283"/>
      <c r="T222" s="1283"/>
      <c r="U222" s="1283"/>
      <c r="V222" s="1282"/>
      <c r="W222" s="1286"/>
      <c r="X222" s="1283"/>
      <c r="Y222" s="1286"/>
      <c r="Z222" s="1282"/>
      <c r="AA222" s="1277"/>
    </row>
    <row r="223" spans="1:27">
      <c r="A223" s="1281"/>
      <c r="B223" s="1282"/>
      <c r="C223" s="1282"/>
      <c r="D223" s="1282"/>
      <c r="E223" s="1283"/>
      <c r="F223" s="1283"/>
      <c r="G223" s="1283"/>
      <c r="H223" s="1283"/>
      <c r="I223" s="1282"/>
      <c r="J223" s="1282"/>
      <c r="K223" s="1282"/>
      <c r="L223" s="1287"/>
      <c r="M223" s="1282"/>
      <c r="N223" s="1282"/>
      <c r="O223" s="1282"/>
      <c r="P223" s="1282"/>
      <c r="Q223" s="1283"/>
      <c r="R223" s="1283"/>
      <c r="S223" s="1283"/>
      <c r="T223" s="1283"/>
      <c r="U223" s="1283"/>
      <c r="V223" s="1282"/>
      <c r="W223" s="1286"/>
      <c r="X223" s="1283"/>
      <c r="Y223" s="1286"/>
      <c r="Z223" s="1282"/>
      <c r="AA223" s="1277"/>
    </row>
    <row r="224" spans="1:27">
      <c r="A224" s="1281"/>
      <c r="B224" s="1282"/>
      <c r="C224" s="1282"/>
      <c r="D224" s="1282"/>
      <c r="E224" s="1283"/>
      <c r="F224" s="1283"/>
      <c r="G224" s="1283"/>
      <c r="H224" s="1283"/>
      <c r="I224" s="1282"/>
      <c r="J224" s="1282"/>
      <c r="K224" s="1282"/>
      <c r="L224" s="1287"/>
      <c r="M224" s="1282"/>
      <c r="N224" s="1282"/>
      <c r="O224" s="1282"/>
      <c r="P224" s="1282"/>
      <c r="Q224" s="1283"/>
      <c r="R224" s="1283"/>
      <c r="S224" s="1283"/>
      <c r="T224" s="1283"/>
      <c r="U224" s="1283"/>
      <c r="V224" s="1282"/>
      <c r="W224" s="1286"/>
      <c r="X224" s="1283"/>
      <c r="Y224" s="1286"/>
      <c r="Z224" s="1282"/>
      <c r="AA224" s="1277"/>
    </row>
    <row r="225" spans="1:27">
      <c r="A225" s="1281"/>
      <c r="B225" s="1282"/>
      <c r="C225" s="1282"/>
      <c r="D225" s="1282"/>
      <c r="E225" s="1283"/>
      <c r="F225" s="1283"/>
      <c r="G225" s="1283"/>
      <c r="H225" s="1283"/>
      <c r="I225" s="1282"/>
      <c r="J225" s="1282"/>
      <c r="K225" s="1282"/>
      <c r="L225" s="1287"/>
      <c r="M225" s="1282"/>
      <c r="N225" s="1282"/>
      <c r="O225" s="1282"/>
      <c r="P225" s="1282"/>
      <c r="Q225" s="1283"/>
      <c r="R225" s="1283"/>
      <c r="S225" s="1283"/>
      <c r="T225" s="1283"/>
      <c r="U225" s="1283"/>
      <c r="V225" s="1282"/>
      <c r="W225" s="1286"/>
      <c r="X225" s="1283"/>
      <c r="Y225" s="1286"/>
      <c r="Z225" s="1282"/>
      <c r="AA225" s="1277"/>
    </row>
    <row r="226" spans="1:27">
      <c r="A226" s="1281"/>
      <c r="B226" s="1282"/>
      <c r="C226" s="1282"/>
      <c r="D226" s="1282"/>
      <c r="E226" s="1283"/>
      <c r="F226" s="1283"/>
      <c r="G226" s="1283"/>
      <c r="H226" s="1283"/>
      <c r="I226" s="1282"/>
      <c r="J226" s="1282"/>
      <c r="K226" s="1282"/>
      <c r="L226" s="1287"/>
      <c r="M226" s="1282"/>
      <c r="N226" s="1282"/>
      <c r="O226" s="1282"/>
      <c r="P226" s="1282"/>
      <c r="Q226" s="1283"/>
      <c r="R226" s="1283"/>
      <c r="S226" s="1283"/>
      <c r="T226" s="1283"/>
      <c r="U226" s="1283"/>
      <c r="V226" s="1282"/>
      <c r="W226" s="1286"/>
      <c r="X226" s="1283"/>
      <c r="Y226" s="1286"/>
      <c r="Z226" s="1282"/>
      <c r="AA226" s="1277"/>
    </row>
    <row r="227" spans="1:27">
      <c r="A227" s="1281"/>
      <c r="B227" s="1282"/>
      <c r="C227" s="1282"/>
      <c r="D227" s="1282"/>
      <c r="E227" s="1283"/>
      <c r="F227" s="1283"/>
      <c r="G227" s="1283"/>
      <c r="H227" s="1283"/>
      <c r="I227" s="1282"/>
      <c r="J227" s="1282"/>
      <c r="K227" s="1282"/>
      <c r="L227" s="1287"/>
      <c r="M227" s="1282"/>
      <c r="N227" s="1282"/>
      <c r="O227" s="1282"/>
      <c r="P227" s="1282"/>
      <c r="Q227" s="1283"/>
      <c r="R227" s="1283"/>
      <c r="S227" s="1283"/>
      <c r="T227" s="1283"/>
      <c r="U227" s="1283"/>
      <c r="V227" s="1282"/>
      <c r="W227" s="1286"/>
      <c r="X227" s="1283"/>
      <c r="Y227" s="1286"/>
      <c r="Z227" s="1282"/>
      <c r="AA227" s="1277"/>
    </row>
    <row r="228" spans="1:27">
      <c r="A228" s="1281"/>
      <c r="B228" s="1282"/>
      <c r="C228" s="1282"/>
      <c r="D228" s="1282"/>
      <c r="E228" s="1283"/>
      <c r="F228" s="1283"/>
      <c r="G228" s="1283"/>
      <c r="H228" s="1283"/>
      <c r="I228" s="1282"/>
      <c r="J228" s="1282"/>
      <c r="K228" s="1282"/>
      <c r="L228" s="1287"/>
      <c r="M228" s="1282"/>
      <c r="N228" s="1282"/>
      <c r="O228" s="1282"/>
      <c r="P228" s="1282"/>
      <c r="Q228" s="1283"/>
      <c r="R228" s="1283"/>
      <c r="S228" s="1283"/>
      <c r="T228" s="1283"/>
      <c r="U228" s="1283"/>
      <c r="V228" s="1282"/>
      <c r="W228" s="1286"/>
      <c r="X228" s="1283"/>
      <c r="Y228" s="1286"/>
      <c r="Z228" s="1282"/>
      <c r="AA228" s="1277"/>
    </row>
    <row r="229" spans="1:27">
      <c r="A229" s="1281"/>
      <c r="B229" s="1282"/>
      <c r="C229" s="1282"/>
      <c r="D229" s="1282"/>
      <c r="E229" s="1283"/>
      <c r="F229" s="1283"/>
      <c r="G229" s="1283"/>
      <c r="H229" s="1283"/>
      <c r="I229" s="1282"/>
      <c r="J229" s="1282"/>
      <c r="K229" s="1282"/>
      <c r="L229" s="1287"/>
      <c r="M229" s="1282"/>
      <c r="N229" s="1282"/>
      <c r="O229" s="1282"/>
      <c r="P229" s="1282"/>
      <c r="Q229" s="1283"/>
      <c r="R229" s="1283"/>
      <c r="S229" s="1283"/>
      <c r="T229" s="1283"/>
      <c r="U229" s="1283"/>
      <c r="V229" s="1282"/>
      <c r="W229" s="1286"/>
      <c r="X229" s="1283"/>
      <c r="Y229" s="1286"/>
      <c r="Z229" s="1282"/>
      <c r="AA229" s="1277"/>
    </row>
    <row r="230" spans="1:27">
      <c r="A230" s="1281"/>
      <c r="B230" s="1282"/>
      <c r="C230" s="1282"/>
      <c r="D230" s="1282"/>
      <c r="E230" s="1283"/>
      <c r="F230" s="1283"/>
      <c r="G230" s="1283"/>
      <c r="H230" s="1283"/>
      <c r="I230" s="1282"/>
      <c r="J230" s="1282"/>
      <c r="K230" s="1282"/>
      <c r="L230" s="1287"/>
      <c r="M230" s="1282"/>
      <c r="N230" s="1282"/>
      <c r="O230" s="1282"/>
      <c r="P230" s="1282"/>
      <c r="Q230" s="1283"/>
      <c r="R230" s="1283"/>
      <c r="S230" s="1283"/>
      <c r="T230" s="1283"/>
      <c r="U230" s="1283"/>
      <c r="V230" s="1282"/>
      <c r="W230" s="1286"/>
      <c r="X230" s="1283"/>
      <c r="Y230" s="1286"/>
      <c r="Z230" s="1282"/>
      <c r="AA230" s="1277"/>
    </row>
    <row r="231" spans="1:27">
      <c r="A231" s="1281"/>
      <c r="B231" s="1282"/>
      <c r="C231" s="1282"/>
      <c r="D231" s="1282"/>
      <c r="E231" s="1283"/>
      <c r="F231" s="1283"/>
      <c r="G231" s="1283"/>
      <c r="H231" s="1283"/>
      <c r="I231" s="1282"/>
      <c r="J231" s="1282"/>
      <c r="K231" s="1282"/>
      <c r="L231" s="1287"/>
      <c r="M231" s="1282"/>
      <c r="N231" s="1282"/>
      <c r="O231" s="1282"/>
      <c r="P231" s="1282"/>
      <c r="Q231" s="1283"/>
      <c r="R231" s="1283"/>
      <c r="S231" s="1283"/>
      <c r="T231" s="1283"/>
      <c r="U231" s="1283"/>
      <c r="V231" s="1282"/>
      <c r="W231" s="1286"/>
      <c r="X231" s="1283"/>
      <c r="Y231" s="1286"/>
      <c r="Z231" s="1282"/>
      <c r="AA231" s="1277"/>
    </row>
    <row r="232" spans="1:27">
      <c r="A232" s="1281"/>
      <c r="B232" s="1282"/>
      <c r="C232" s="1282"/>
      <c r="D232" s="1282"/>
      <c r="E232" s="1283"/>
      <c r="F232" s="1283"/>
      <c r="G232" s="1283"/>
      <c r="H232" s="1283"/>
      <c r="I232" s="1282"/>
      <c r="J232" s="1282"/>
      <c r="K232" s="1282"/>
      <c r="L232" s="1287"/>
      <c r="M232" s="1282"/>
      <c r="N232" s="1282"/>
      <c r="O232" s="1282"/>
      <c r="P232" s="1282"/>
      <c r="Q232" s="1283"/>
      <c r="R232" s="1283"/>
      <c r="S232" s="1283"/>
      <c r="T232" s="1283"/>
      <c r="U232" s="1283"/>
      <c r="V232" s="1282"/>
      <c r="W232" s="1286"/>
      <c r="X232" s="1283"/>
      <c r="Y232" s="1286"/>
      <c r="Z232" s="1282"/>
      <c r="AA232" s="1277"/>
    </row>
    <row r="233" spans="1:27">
      <c r="A233" s="1281"/>
      <c r="B233" s="1282"/>
      <c r="C233" s="1282"/>
      <c r="D233" s="1282"/>
      <c r="E233" s="1283"/>
      <c r="F233" s="1283"/>
      <c r="G233" s="1283"/>
      <c r="H233" s="1283"/>
      <c r="I233" s="1282"/>
      <c r="J233" s="1282"/>
      <c r="K233" s="1282"/>
      <c r="L233" s="1287"/>
      <c r="M233" s="1282"/>
      <c r="N233" s="1282"/>
      <c r="O233" s="1282"/>
      <c r="P233" s="1282"/>
      <c r="Q233" s="1283"/>
      <c r="R233" s="1283"/>
      <c r="S233" s="1283"/>
      <c r="T233" s="1283"/>
      <c r="U233" s="1283"/>
      <c r="V233" s="1282"/>
      <c r="W233" s="1286"/>
      <c r="X233" s="1283"/>
      <c r="Y233" s="1286"/>
      <c r="Z233" s="1282"/>
      <c r="AA233" s="1277"/>
    </row>
    <row r="234" spans="1:27">
      <c r="A234" s="1281"/>
      <c r="B234" s="1282"/>
      <c r="C234" s="1282"/>
      <c r="D234" s="1282"/>
      <c r="E234" s="1283"/>
      <c r="F234" s="1283"/>
      <c r="G234" s="1283"/>
      <c r="H234" s="1283"/>
      <c r="I234" s="1282"/>
      <c r="J234" s="1282"/>
      <c r="K234" s="1282"/>
      <c r="L234" s="1287"/>
      <c r="M234" s="1282"/>
      <c r="N234" s="1282"/>
      <c r="O234" s="1282"/>
      <c r="P234" s="1282"/>
      <c r="Q234" s="1283"/>
      <c r="R234" s="1283"/>
      <c r="S234" s="1283"/>
      <c r="T234" s="1283"/>
      <c r="U234" s="1283"/>
      <c r="V234" s="1282"/>
      <c r="W234" s="1286"/>
      <c r="X234" s="1283"/>
      <c r="Y234" s="1286"/>
      <c r="Z234" s="1282"/>
      <c r="AA234" s="1277"/>
    </row>
    <row r="235" spans="1:27">
      <c r="A235" s="1281"/>
      <c r="B235" s="1282"/>
      <c r="C235" s="1282"/>
      <c r="D235" s="1282"/>
      <c r="E235" s="1283"/>
      <c r="F235" s="1283"/>
      <c r="G235" s="1283"/>
      <c r="H235" s="1283"/>
      <c r="I235" s="1282"/>
      <c r="J235" s="1282"/>
      <c r="K235" s="1282"/>
      <c r="L235" s="1287"/>
      <c r="M235" s="1282"/>
      <c r="N235" s="1282"/>
      <c r="O235" s="1282"/>
      <c r="P235" s="1282"/>
      <c r="Q235" s="1283"/>
      <c r="R235" s="1283"/>
      <c r="S235" s="1283"/>
      <c r="T235" s="1283"/>
      <c r="U235" s="1283"/>
      <c r="V235" s="1282"/>
      <c r="W235" s="1286"/>
      <c r="X235" s="1283"/>
      <c r="Y235" s="1286"/>
      <c r="Z235" s="1282"/>
      <c r="AA235" s="1277"/>
    </row>
    <row r="236" spans="1:27">
      <c r="A236" s="1281"/>
      <c r="B236" s="1282"/>
      <c r="C236" s="1282"/>
      <c r="D236" s="1282"/>
      <c r="E236" s="1283"/>
      <c r="F236" s="1283"/>
      <c r="G236" s="1283"/>
      <c r="H236" s="1283"/>
      <c r="I236" s="1282"/>
      <c r="J236" s="1282"/>
      <c r="K236" s="1282"/>
      <c r="L236" s="1287"/>
      <c r="M236" s="1282"/>
      <c r="N236" s="1282"/>
      <c r="O236" s="1282"/>
      <c r="P236" s="1282"/>
      <c r="Q236" s="1283"/>
      <c r="R236" s="1283"/>
      <c r="S236" s="1283"/>
      <c r="T236" s="1283"/>
      <c r="U236" s="1283"/>
      <c r="V236" s="1282"/>
      <c r="W236" s="1286"/>
      <c r="X236" s="1283"/>
      <c r="Y236" s="1286"/>
      <c r="Z236" s="1282"/>
      <c r="AA236" s="1277"/>
    </row>
    <row r="237" spans="1:27">
      <c r="A237" s="1281"/>
      <c r="B237" s="1282"/>
      <c r="C237" s="1282"/>
      <c r="D237" s="1282"/>
      <c r="E237" s="1283"/>
      <c r="F237" s="1283"/>
      <c r="G237" s="1283"/>
      <c r="H237" s="1283"/>
      <c r="I237" s="1282"/>
      <c r="J237" s="1282"/>
      <c r="K237" s="1282"/>
      <c r="L237" s="1287"/>
      <c r="M237" s="1282"/>
      <c r="N237" s="1282"/>
      <c r="O237" s="1282"/>
      <c r="P237" s="1282"/>
      <c r="Q237" s="1283"/>
      <c r="R237" s="1283"/>
      <c r="S237" s="1283"/>
      <c r="T237" s="1283"/>
      <c r="U237" s="1283"/>
      <c r="V237" s="1282"/>
      <c r="W237" s="1286"/>
      <c r="X237" s="1283"/>
      <c r="Y237" s="1286"/>
      <c r="Z237" s="1282"/>
      <c r="AA237" s="1277"/>
    </row>
    <row r="238" spans="1:27">
      <c r="A238" s="1281"/>
      <c r="B238" s="1282"/>
      <c r="C238" s="1282"/>
      <c r="D238" s="1282"/>
      <c r="E238" s="1283"/>
      <c r="F238" s="1283"/>
      <c r="G238" s="1283"/>
      <c r="H238" s="1283"/>
      <c r="I238" s="1282"/>
      <c r="J238" s="1282"/>
      <c r="K238" s="1282"/>
      <c r="L238" s="1287"/>
      <c r="M238" s="1282"/>
      <c r="N238" s="1282"/>
      <c r="O238" s="1282"/>
      <c r="P238" s="1282"/>
      <c r="Q238" s="1283"/>
      <c r="R238" s="1283"/>
      <c r="S238" s="1283"/>
      <c r="T238" s="1283"/>
      <c r="U238" s="1283"/>
      <c r="V238" s="1282"/>
      <c r="W238" s="1286"/>
      <c r="X238" s="1283"/>
      <c r="Y238" s="1286"/>
      <c r="Z238" s="1282"/>
      <c r="AA238" s="1277"/>
    </row>
    <row r="239" spans="1:27">
      <c r="A239" s="1281"/>
      <c r="B239" s="1282"/>
      <c r="C239" s="1282"/>
      <c r="D239" s="1282"/>
      <c r="E239" s="1283"/>
      <c r="F239" s="1283"/>
      <c r="G239" s="1283"/>
      <c r="H239" s="1283"/>
      <c r="I239" s="1282"/>
      <c r="J239" s="1282"/>
      <c r="K239" s="1282"/>
      <c r="L239" s="1287"/>
      <c r="M239" s="1282"/>
      <c r="N239" s="1282"/>
      <c r="O239" s="1282"/>
      <c r="P239" s="1282"/>
      <c r="Q239" s="1283"/>
      <c r="R239" s="1283"/>
      <c r="S239" s="1283"/>
      <c r="T239" s="1283"/>
      <c r="U239" s="1283"/>
      <c r="V239" s="1282"/>
      <c r="W239" s="1286"/>
      <c r="X239" s="1283"/>
      <c r="Y239" s="1286"/>
      <c r="Z239" s="1282"/>
      <c r="AA239" s="1277"/>
    </row>
    <row r="240" spans="1:27">
      <c r="A240" s="1281"/>
      <c r="B240" s="1282"/>
      <c r="C240" s="1282"/>
      <c r="D240" s="1282"/>
      <c r="E240" s="1283"/>
      <c r="F240" s="1283"/>
      <c r="G240" s="1283"/>
      <c r="H240" s="1283"/>
      <c r="I240" s="1282"/>
      <c r="J240" s="1282"/>
      <c r="K240" s="1282"/>
      <c r="L240" s="1287"/>
      <c r="M240" s="1282"/>
      <c r="N240" s="1282"/>
      <c r="O240" s="1282"/>
      <c r="P240" s="1282"/>
      <c r="Q240" s="1283"/>
      <c r="R240" s="1283"/>
      <c r="S240" s="1283"/>
      <c r="T240" s="1283"/>
      <c r="U240" s="1283"/>
      <c r="V240" s="1282"/>
      <c r="W240" s="1286"/>
      <c r="X240" s="1283"/>
      <c r="Y240" s="1286"/>
      <c r="Z240" s="1282"/>
      <c r="AA240" s="1277"/>
    </row>
    <row r="241" spans="1:27">
      <c r="A241" s="1281"/>
      <c r="B241" s="1282"/>
      <c r="C241" s="1282"/>
      <c r="D241" s="1282"/>
      <c r="E241" s="1283"/>
      <c r="F241" s="1283"/>
      <c r="G241" s="1283"/>
      <c r="H241" s="1283"/>
      <c r="I241" s="1282"/>
      <c r="J241" s="1282"/>
      <c r="K241" s="1282"/>
      <c r="L241" s="1287"/>
      <c r="M241" s="1282"/>
      <c r="N241" s="1282"/>
      <c r="O241" s="1282"/>
      <c r="P241" s="1282"/>
      <c r="Q241" s="1283"/>
      <c r="R241" s="1283"/>
      <c r="S241" s="1283"/>
      <c r="T241" s="1283"/>
      <c r="U241" s="1283"/>
      <c r="V241" s="1282"/>
      <c r="W241" s="1286"/>
      <c r="X241" s="1283"/>
      <c r="Y241" s="1286"/>
      <c r="Z241" s="1282"/>
      <c r="AA241" s="1277"/>
    </row>
    <row r="242" spans="1:27">
      <c r="A242" s="1281"/>
      <c r="B242" s="1282"/>
      <c r="C242" s="1282"/>
      <c r="D242" s="1282"/>
      <c r="E242" s="1283"/>
      <c r="F242" s="1283"/>
      <c r="G242" s="1283"/>
      <c r="H242" s="1283"/>
      <c r="I242" s="1282"/>
      <c r="J242" s="1282"/>
      <c r="K242" s="1282"/>
      <c r="L242" s="1287"/>
      <c r="M242" s="1282"/>
      <c r="N242" s="1282"/>
      <c r="O242" s="1282"/>
      <c r="P242" s="1282"/>
      <c r="Q242" s="1283"/>
      <c r="R242" s="1283"/>
      <c r="S242" s="1283"/>
      <c r="T242" s="1283"/>
      <c r="U242" s="1283"/>
      <c r="V242" s="1282"/>
      <c r="W242" s="1286"/>
      <c r="X242" s="1283"/>
      <c r="Y242" s="1286"/>
      <c r="Z242" s="1282"/>
      <c r="AA242" s="1277"/>
    </row>
    <row r="243" spans="1:27">
      <c r="A243" s="1281"/>
      <c r="B243" s="1282"/>
      <c r="C243" s="1282"/>
      <c r="D243" s="1282"/>
      <c r="E243" s="1283"/>
      <c r="F243" s="1283"/>
      <c r="G243" s="1283"/>
      <c r="H243" s="1283"/>
      <c r="I243" s="1282"/>
      <c r="J243" s="1282"/>
      <c r="K243" s="1282"/>
      <c r="L243" s="1287"/>
      <c r="M243" s="1282"/>
      <c r="N243" s="1282"/>
      <c r="O243" s="1282"/>
      <c r="P243" s="1282"/>
      <c r="Q243" s="1283"/>
      <c r="R243" s="1283"/>
      <c r="S243" s="1283"/>
      <c r="T243" s="1283"/>
      <c r="U243" s="1283"/>
      <c r="V243" s="1282"/>
      <c r="W243" s="1286"/>
      <c r="X243" s="1283"/>
      <c r="Y243" s="1286"/>
      <c r="Z243" s="1282"/>
      <c r="AA243" s="1277"/>
    </row>
    <row r="244" spans="1:27">
      <c r="A244" s="1281"/>
      <c r="B244" s="1282"/>
      <c r="C244" s="1282"/>
      <c r="D244" s="1282"/>
      <c r="E244" s="1283"/>
      <c r="F244" s="1283"/>
      <c r="G244" s="1283"/>
      <c r="H244" s="1283"/>
      <c r="I244" s="1282"/>
      <c r="J244" s="1282"/>
      <c r="K244" s="1282"/>
      <c r="L244" s="1287"/>
      <c r="M244" s="1282"/>
      <c r="N244" s="1282"/>
      <c r="O244" s="1282"/>
      <c r="P244" s="1282"/>
      <c r="Q244" s="1283"/>
      <c r="R244" s="1283"/>
      <c r="S244" s="1283"/>
      <c r="T244" s="1283"/>
      <c r="U244" s="1283"/>
      <c r="V244" s="1282"/>
      <c r="W244" s="1286"/>
      <c r="X244" s="1283"/>
      <c r="Y244" s="1286"/>
      <c r="Z244" s="1282"/>
      <c r="AA244" s="1277"/>
    </row>
    <row r="245" spans="1:27">
      <c r="A245" s="1281"/>
      <c r="B245" s="1282"/>
      <c r="C245" s="1282"/>
      <c r="D245" s="1282"/>
      <c r="E245" s="1283"/>
      <c r="F245" s="1283"/>
      <c r="G245" s="1283"/>
      <c r="H245" s="1283"/>
      <c r="I245" s="1282"/>
      <c r="J245" s="1282"/>
      <c r="K245" s="1282"/>
      <c r="L245" s="1287"/>
      <c r="M245" s="1282"/>
      <c r="N245" s="1282"/>
      <c r="O245" s="1282"/>
      <c r="P245" s="1282"/>
      <c r="Q245" s="1283"/>
      <c r="R245" s="1283"/>
      <c r="S245" s="1283"/>
      <c r="T245" s="1283"/>
      <c r="U245" s="1283"/>
      <c r="V245" s="1282"/>
      <c r="W245" s="1286"/>
      <c r="X245" s="1283"/>
      <c r="Y245" s="1286"/>
      <c r="Z245" s="1282"/>
      <c r="AA245" s="1277"/>
    </row>
    <row r="246" spans="1:27">
      <c r="A246" s="1281"/>
      <c r="B246" s="1282"/>
      <c r="C246" s="1282"/>
      <c r="D246" s="1282"/>
      <c r="E246" s="1283"/>
      <c r="F246" s="1283"/>
      <c r="G246" s="1283"/>
      <c r="H246" s="1283"/>
      <c r="I246" s="1282"/>
      <c r="J246" s="1282"/>
      <c r="K246" s="1282"/>
      <c r="L246" s="1287"/>
      <c r="M246" s="1282"/>
      <c r="N246" s="1282"/>
      <c r="O246" s="1282"/>
      <c r="P246" s="1282"/>
      <c r="Q246" s="1283"/>
      <c r="R246" s="1283"/>
      <c r="S246" s="1283"/>
      <c r="T246" s="1283"/>
      <c r="U246" s="1283"/>
      <c r="V246" s="1282"/>
      <c r="W246" s="1286"/>
      <c r="X246" s="1283"/>
      <c r="Y246" s="1286"/>
      <c r="Z246" s="1282"/>
      <c r="AA246" s="1277"/>
    </row>
    <row r="247" spans="1:27">
      <c r="A247" s="1281"/>
      <c r="B247" s="1282"/>
      <c r="C247" s="1282"/>
      <c r="D247" s="1282"/>
      <c r="E247" s="1283"/>
      <c r="F247" s="1283"/>
      <c r="G247" s="1283"/>
      <c r="H247" s="1283"/>
      <c r="I247" s="1282"/>
      <c r="J247" s="1282"/>
      <c r="K247" s="1282"/>
      <c r="L247" s="1287"/>
      <c r="M247" s="1282"/>
      <c r="N247" s="1282"/>
      <c r="O247" s="1282"/>
      <c r="P247" s="1282"/>
      <c r="Q247" s="1283"/>
      <c r="R247" s="1283"/>
      <c r="S247" s="1283"/>
      <c r="T247" s="1283"/>
      <c r="U247" s="1283"/>
      <c r="V247" s="1282"/>
      <c r="W247" s="1286"/>
      <c r="X247" s="1283"/>
      <c r="Y247" s="1286"/>
      <c r="Z247" s="1282"/>
      <c r="AA247" s="1277"/>
    </row>
    <row r="248" spans="1:27">
      <c r="A248" s="1281"/>
      <c r="B248" s="1282"/>
      <c r="C248" s="1282"/>
      <c r="D248" s="1282"/>
      <c r="E248" s="1283"/>
      <c r="F248" s="1283"/>
      <c r="G248" s="1283"/>
      <c r="H248" s="1283"/>
      <c r="I248" s="1282"/>
      <c r="J248" s="1282"/>
      <c r="K248" s="1282"/>
      <c r="L248" s="1287"/>
      <c r="M248" s="1282"/>
      <c r="N248" s="1282"/>
      <c r="O248" s="1282"/>
      <c r="P248" s="1282"/>
      <c r="Q248" s="1283"/>
      <c r="R248" s="1283"/>
      <c r="S248" s="1283"/>
      <c r="T248" s="1283"/>
      <c r="U248" s="1283"/>
      <c r="V248" s="1282"/>
      <c r="W248" s="1286"/>
      <c r="X248" s="1283"/>
      <c r="Y248" s="1286"/>
      <c r="Z248" s="1282"/>
      <c r="AA248" s="1277"/>
    </row>
    <row r="249" spans="1:27">
      <c r="A249" s="1281"/>
      <c r="B249" s="1282"/>
      <c r="C249" s="1282"/>
      <c r="D249" s="1282"/>
      <c r="E249" s="1283"/>
      <c r="F249" s="1283"/>
      <c r="G249" s="1283"/>
      <c r="H249" s="1283"/>
      <c r="I249" s="1282"/>
      <c r="J249" s="1282"/>
      <c r="K249" s="1282"/>
      <c r="L249" s="1287"/>
      <c r="M249" s="1282"/>
      <c r="N249" s="1282"/>
      <c r="O249" s="1282"/>
      <c r="P249" s="1282"/>
      <c r="Q249" s="1283"/>
      <c r="R249" s="1283"/>
      <c r="S249" s="1283"/>
      <c r="T249" s="1283"/>
      <c r="U249" s="1283"/>
      <c r="V249" s="1282"/>
      <c r="W249" s="1286"/>
      <c r="X249" s="1283"/>
      <c r="Y249" s="1286"/>
      <c r="Z249" s="1282"/>
      <c r="AA249" s="1277"/>
    </row>
    <row r="250" spans="1:27">
      <c r="A250" s="1288"/>
      <c r="B250" s="1289"/>
      <c r="C250" s="1289"/>
      <c r="D250" s="1289"/>
      <c r="E250" s="1290"/>
      <c r="F250" s="1290"/>
      <c r="G250" s="1290"/>
      <c r="H250" s="1290"/>
      <c r="I250" s="1289"/>
      <c r="J250" s="1289"/>
      <c r="K250" s="1289"/>
      <c r="L250" s="1291"/>
      <c r="M250" s="1289"/>
      <c r="N250" s="1289"/>
      <c r="O250" s="1289"/>
      <c r="P250" s="1289"/>
      <c r="Q250" s="1290"/>
      <c r="R250" s="1290"/>
      <c r="S250" s="1290"/>
      <c r="T250" s="1290"/>
      <c r="U250" s="1290"/>
      <c r="V250" s="1289"/>
      <c r="W250" s="1292"/>
      <c r="X250" s="1290"/>
      <c r="Y250" s="1292"/>
      <c r="Z250" s="1289"/>
      <c r="AA250" s="1293"/>
    </row>
  </sheetData>
  <mergeCells count="2">
    <mergeCell ref="A1:H1"/>
    <mergeCell ref="A2:H2"/>
  </mergeCells>
  <conditionalFormatting sqref="T5:T11">
    <cfRule type="cellIs" dxfId="95" priority="1" operator="equal">
      <formula>"Critical"</formula>
    </cfRule>
    <cfRule type="cellIs" dxfId="94" priority="2" operator="equal">
      <formula>"High"</formula>
    </cfRule>
    <cfRule type="cellIs" dxfId="93" priority="3" operator="equal">
      <formula>"Normal"</formula>
    </cfRule>
  </conditionalFormatting>
  <conditionalFormatting sqref="T12:T250">
    <cfRule type="cellIs" dxfId="92" priority="4" operator="equal">
      <formula>"High"</formula>
    </cfRule>
    <cfRule type="cellIs" dxfId="91" priority="5" operator="equal">
      <formula>"Medium"</formula>
    </cfRule>
    <cfRule type="cellIs" dxfId="90" priority="6" operator="equal">
      <formula>"Low"</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41"/>
  <sheetViews>
    <sheetView zoomScale="70" zoomScaleNormal="70" workbookViewId="0">
      <pane xSplit="4" ySplit="1" topLeftCell="E2" activePane="bottomRight" state="frozen"/>
      <selection pane="topRight" activeCell="E1" sqref="E1"/>
      <selection pane="bottomLeft" activeCell="A2" sqref="A2"/>
      <selection pane="bottomRight" activeCell="K43" sqref="K43"/>
    </sheetView>
  </sheetViews>
  <sheetFormatPr defaultRowHeight="14.4"/>
  <cols>
    <col min="1" max="1" width="8.33203125" customWidth="1"/>
    <col min="2" max="2" width="15.5546875" customWidth="1"/>
    <col min="3" max="3" width="23.88671875" customWidth="1"/>
    <col min="4" max="4" width="45.44140625" customWidth="1"/>
    <col min="5" max="5" width="32.5546875" customWidth="1"/>
    <col min="6" max="6" width="28.44140625" customWidth="1"/>
    <col min="7" max="7" width="24.44140625" customWidth="1"/>
    <col min="8" max="10" width="18.109375" customWidth="1"/>
    <col min="11" max="13" width="28.44140625" customWidth="1"/>
    <col min="14" max="14" width="36.44140625" customWidth="1"/>
    <col min="15" max="24" width="28.44140625" customWidth="1"/>
  </cols>
  <sheetData>
    <row r="1" spans="1:24" s="45" customFormat="1" ht="42">
      <c r="A1" s="997" t="s">
        <v>642</v>
      </c>
      <c r="B1" s="997" t="s">
        <v>40</v>
      </c>
      <c r="C1" s="1003" t="s">
        <v>643</v>
      </c>
      <c r="D1" s="997" t="s">
        <v>644</v>
      </c>
      <c r="E1" s="997" t="s">
        <v>1018</v>
      </c>
      <c r="F1" s="997" t="s">
        <v>1017</v>
      </c>
      <c r="G1" s="1002" t="s">
        <v>645</v>
      </c>
      <c r="H1" s="1002" t="s">
        <v>233</v>
      </c>
      <c r="I1" s="1001" t="s">
        <v>646</v>
      </c>
      <c r="J1" s="1001" t="s">
        <v>647</v>
      </c>
      <c r="K1" s="1000" t="s">
        <v>648</v>
      </c>
      <c r="L1" s="1000" t="s">
        <v>649</v>
      </c>
      <c r="M1" s="998" t="s">
        <v>650</v>
      </c>
      <c r="N1" s="998" t="s">
        <v>651</v>
      </c>
      <c r="O1" s="998" t="s">
        <v>1016</v>
      </c>
      <c r="P1" s="998" t="s">
        <v>652</v>
      </c>
      <c r="Q1" s="1000" t="s">
        <v>653</v>
      </c>
      <c r="R1" s="1000" t="s">
        <v>654</v>
      </c>
      <c r="S1" s="1000" t="s">
        <v>655</v>
      </c>
      <c r="T1" s="999" t="s">
        <v>656</v>
      </c>
      <c r="U1" s="998" t="s">
        <v>657</v>
      </c>
      <c r="V1" s="998" t="s">
        <v>1015</v>
      </c>
      <c r="W1" s="998" t="s">
        <v>1014</v>
      </c>
      <c r="X1" s="997" t="s">
        <v>614</v>
      </c>
    </row>
    <row r="2" spans="1:24" s="579" customFormat="1" ht="24.9" customHeight="1">
      <c r="A2" s="991">
        <v>1</v>
      </c>
      <c r="B2" s="996" t="s">
        <v>821</v>
      </c>
      <c r="C2" s="996" t="s">
        <v>855</v>
      </c>
      <c r="D2" s="991" t="s">
        <v>854</v>
      </c>
      <c r="E2" s="991" t="s">
        <v>1013</v>
      </c>
      <c r="F2" s="991" t="s">
        <v>1011</v>
      </c>
      <c r="G2" s="1068" t="s">
        <v>919</v>
      </c>
      <c r="H2" s="991" t="s">
        <v>240</v>
      </c>
      <c r="I2" s="991">
        <v>32</v>
      </c>
      <c r="J2" s="991">
        <v>32</v>
      </c>
      <c r="K2" s="993">
        <v>46021</v>
      </c>
      <c r="L2" s="993">
        <v>46043</v>
      </c>
      <c r="M2" s="991" t="s">
        <v>1148</v>
      </c>
      <c r="N2" s="991" t="s">
        <v>1110</v>
      </c>
      <c r="O2" s="994" t="s">
        <v>1111</v>
      </c>
      <c r="P2" s="993" t="s">
        <v>658</v>
      </c>
      <c r="Q2" s="993">
        <v>46103</v>
      </c>
      <c r="R2" s="993">
        <v>46103</v>
      </c>
      <c r="S2" s="993">
        <v>46047</v>
      </c>
      <c r="T2" s="992">
        <f t="shared" ref="T2:T34" si="0">+IF(ISBLANK(S2),"",(S2-L2))</f>
        <v>4</v>
      </c>
      <c r="U2" s="991" t="s">
        <v>659</v>
      </c>
      <c r="V2" s="991">
        <v>367153.80254429794</v>
      </c>
      <c r="W2" s="1086">
        <f t="shared" ref="W2:W37" si="1">+J2/I2</f>
        <v>1</v>
      </c>
      <c r="X2" s="991" t="s">
        <v>751</v>
      </c>
    </row>
    <row r="3" spans="1:24" s="579" customFormat="1" ht="24.9" customHeight="1">
      <c r="A3" s="991">
        <v>2</v>
      </c>
      <c r="B3" s="996" t="s">
        <v>821</v>
      </c>
      <c r="C3" s="996" t="s">
        <v>857</v>
      </c>
      <c r="D3" s="991" t="s">
        <v>856</v>
      </c>
      <c r="E3" s="991" t="s">
        <v>1013</v>
      </c>
      <c r="F3" s="991" t="s">
        <v>1011</v>
      </c>
      <c r="G3" s="1068" t="s">
        <v>1090</v>
      </c>
      <c r="H3" s="991" t="s">
        <v>239</v>
      </c>
      <c r="I3" s="991">
        <v>5420</v>
      </c>
      <c r="J3" s="991">
        <v>5420</v>
      </c>
      <c r="K3" s="993">
        <v>46020</v>
      </c>
      <c r="L3" s="993">
        <v>46019</v>
      </c>
      <c r="M3" s="991" t="s">
        <v>1123</v>
      </c>
      <c r="N3" s="991" t="s">
        <v>1110</v>
      </c>
      <c r="O3" s="994" t="s">
        <v>1111</v>
      </c>
      <c r="P3" s="993" t="s">
        <v>658</v>
      </c>
      <c r="Q3" s="993">
        <v>46060</v>
      </c>
      <c r="R3" s="993">
        <v>46060</v>
      </c>
      <c r="S3" s="993">
        <v>46019</v>
      </c>
      <c r="T3" s="992">
        <f>+IF(ISBLANK(S3),"",(S3-L3))</f>
        <v>0</v>
      </c>
      <c r="U3" s="991" t="s">
        <v>659</v>
      </c>
      <c r="V3" s="991">
        <v>5596610.1399833197</v>
      </c>
      <c r="W3" s="1086">
        <f t="shared" si="1"/>
        <v>1</v>
      </c>
      <c r="X3" s="991" t="s">
        <v>751</v>
      </c>
    </row>
    <row r="4" spans="1:24" s="579" customFormat="1" ht="24.9" customHeight="1">
      <c r="A4" s="991">
        <v>3</v>
      </c>
      <c r="B4" s="996" t="s">
        <v>821</v>
      </c>
      <c r="C4" s="996" t="s">
        <v>859</v>
      </c>
      <c r="D4" s="991" t="s">
        <v>858</v>
      </c>
      <c r="E4" s="991" t="s">
        <v>1013</v>
      </c>
      <c r="F4" s="991" t="s">
        <v>1011</v>
      </c>
      <c r="G4" s="991" t="s">
        <v>1091</v>
      </c>
      <c r="H4" s="991" t="s">
        <v>240</v>
      </c>
      <c r="I4" s="991">
        <v>87</v>
      </c>
      <c r="J4" s="991">
        <v>87</v>
      </c>
      <c r="K4" s="993">
        <v>343</v>
      </c>
      <c r="L4" s="993">
        <v>46023</v>
      </c>
      <c r="M4" s="991" t="s">
        <v>1125</v>
      </c>
      <c r="N4" s="991" t="s">
        <v>1110</v>
      </c>
      <c r="O4" s="994" t="s">
        <v>1111</v>
      </c>
      <c r="P4" s="993" t="s">
        <v>658</v>
      </c>
      <c r="Q4" s="993">
        <v>46067</v>
      </c>
      <c r="R4" s="993">
        <v>46067</v>
      </c>
      <c r="S4" s="993">
        <v>46032</v>
      </c>
      <c r="T4" s="992">
        <f t="shared" si="0"/>
        <v>9</v>
      </c>
      <c r="U4" s="991" t="s">
        <v>659</v>
      </c>
      <c r="V4" s="991">
        <v>2882628.0627595847</v>
      </c>
      <c r="W4" s="1086">
        <f t="shared" si="1"/>
        <v>1</v>
      </c>
      <c r="X4" s="991" t="s">
        <v>751</v>
      </c>
    </row>
    <row r="5" spans="1:24" s="579" customFormat="1" ht="24.9" customHeight="1">
      <c r="A5" s="991">
        <v>4</v>
      </c>
      <c r="B5" s="996" t="s">
        <v>821</v>
      </c>
      <c r="C5" s="996" t="s">
        <v>860</v>
      </c>
      <c r="D5" s="991" t="s">
        <v>863</v>
      </c>
      <c r="E5" s="991" t="s">
        <v>1013</v>
      </c>
      <c r="F5" s="991" t="s">
        <v>1011</v>
      </c>
      <c r="G5" s="1069" t="s">
        <v>1092</v>
      </c>
      <c r="H5" s="991" t="s">
        <v>239</v>
      </c>
      <c r="I5" s="991">
        <v>8969</v>
      </c>
      <c r="J5" s="991">
        <v>8969</v>
      </c>
      <c r="K5" s="993">
        <v>46020</v>
      </c>
      <c r="L5" s="993">
        <v>46021</v>
      </c>
      <c r="M5" s="991" t="s">
        <v>1124</v>
      </c>
      <c r="N5" s="991" t="s">
        <v>1121</v>
      </c>
      <c r="O5" s="994" t="s">
        <v>1122</v>
      </c>
      <c r="P5" s="993" t="s">
        <v>658</v>
      </c>
      <c r="Q5" s="993">
        <v>46055</v>
      </c>
      <c r="R5" s="993">
        <v>46055</v>
      </c>
      <c r="S5" s="993">
        <v>46022</v>
      </c>
      <c r="T5" s="992">
        <f t="shared" si="0"/>
        <v>1</v>
      </c>
      <c r="U5" s="991" t="s">
        <v>659</v>
      </c>
      <c r="V5" s="991">
        <v>2950231.4306444777</v>
      </c>
      <c r="W5" s="1086">
        <f>+J5/I5</f>
        <v>1</v>
      </c>
      <c r="X5" s="991" t="s">
        <v>751</v>
      </c>
    </row>
    <row r="6" spans="1:24" s="579" customFormat="1" ht="24.9" customHeight="1">
      <c r="A6" s="991">
        <v>5</v>
      </c>
      <c r="B6" s="996" t="s">
        <v>821</v>
      </c>
      <c r="C6" s="996" t="s">
        <v>862</v>
      </c>
      <c r="D6" s="991" t="s">
        <v>861</v>
      </c>
      <c r="E6" s="991" t="s">
        <v>1013</v>
      </c>
      <c r="F6" s="991" t="s">
        <v>1011</v>
      </c>
      <c r="G6" s="991" t="s">
        <v>1094</v>
      </c>
      <c r="H6" s="991">
        <v>3</v>
      </c>
      <c r="I6" s="991">
        <v>361</v>
      </c>
      <c r="J6" s="991">
        <v>361</v>
      </c>
      <c r="K6" s="993">
        <v>46026</v>
      </c>
      <c r="L6" s="993"/>
      <c r="M6" s="991"/>
      <c r="N6" s="991" t="s">
        <v>1129</v>
      </c>
      <c r="O6" s="994" t="s">
        <v>1130</v>
      </c>
      <c r="P6" s="993" t="s">
        <v>658</v>
      </c>
      <c r="Q6" s="993">
        <v>46068</v>
      </c>
      <c r="R6" s="993">
        <v>46068</v>
      </c>
      <c r="S6" s="993"/>
      <c r="T6" s="992" t="str">
        <f t="shared" si="0"/>
        <v/>
      </c>
      <c r="U6" s="991" t="s">
        <v>659</v>
      </c>
      <c r="V6" s="991">
        <v>301442.68608893384</v>
      </c>
      <c r="W6" s="1086">
        <f t="shared" si="1"/>
        <v>1</v>
      </c>
      <c r="X6" s="991" t="s">
        <v>751</v>
      </c>
    </row>
    <row r="7" spans="1:24" s="579" customFormat="1" ht="24.9" customHeight="1">
      <c r="A7" s="991">
        <v>6</v>
      </c>
      <c r="B7" s="996" t="s">
        <v>821</v>
      </c>
      <c r="C7" s="996" t="s">
        <v>865</v>
      </c>
      <c r="D7" s="991" t="s">
        <v>864</v>
      </c>
      <c r="E7" s="991" t="s">
        <v>1012</v>
      </c>
      <c r="F7" s="991" t="s">
        <v>1011</v>
      </c>
      <c r="G7" s="991" t="s">
        <v>1093</v>
      </c>
      <c r="H7" s="991" t="s">
        <v>239</v>
      </c>
      <c r="I7" s="991">
        <v>45580</v>
      </c>
      <c r="J7" s="991">
        <v>45580</v>
      </c>
      <c r="K7" s="993">
        <v>46044</v>
      </c>
      <c r="L7" s="993"/>
      <c r="M7" s="991"/>
      <c r="N7" s="991"/>
      <c r="O7" s="994"/>
      <c r="P7" s="993" t="s">
        <v>658</v>
      </c>
      <c r="Q7" s="993">
        <v>46089</v>
      </c>
      <c r="R7" s="993">
        <v>46089</v>
      </c>
      <c r="S7" s="993"/>
      <c r="T7" s="992" t="str">
        <f t="shared" si="0"/>
        <v/>
      </c>
      <c r="U7" s="991" t="s">
        <v>659</v>
      </c>
      <c r="V7" s="991">
        <v>2151144.7149069766</v>
      </c>
      <c r="W7" s="1086">
        <f t="shared" si="1"/>
        <v>1</v>
      </c>
      <c r="X7" s="991" t="s">
        <v>751</v>
      </c>
    </row>
    <row r="8" spans="1:24" s="579" customFormat="1" ht="24.9" customHeight="1">
      <c r="A8" s="991">
        <v>7</v>
      </c>
      <c r="B8" s="996" t="s">
        <v>821</v>
      </c>
      <c r="C8" s="996" t="s">
        <v>867</v>
      </c>
      <c r="D8" s="991" t="s">
        <v>866</v>
      </c>
      <c r="E8" s="991" t="s">
        <v>1013</v>
      </c>
      <c r="F8" s="991" t="s">
        <v>1011</v>
      </c>
      <c r="G8" s="991" t="s">
        <v>974</v>
      </c>
      <c r="H8" s="991" t="s">
        <v>1000</v>
      </c>
      <c r="I8" s="991">
        <v>1</v>
      </c>
      <c r="J8" s="991">
        <v>1</v>
      </c>
      <c r="K8" s="993">
        <v>46040</v>
      </c>
      <c r="L8" s="993"/>
      <c r="M8" s="991"/>
      <c r="N8" s="991"/>
      <c r="O8" s="994"/>
      <c r="P8" s="993" t="s">
        <v>658</v>
      </c>
      <c r="Q8" s="993">
        <v>46086</v>
      </c>
      <c r="R8" s="993">
        <v>46086</v>
      </c>
      <c r="S8" s="993"/>
      <c r="T8" s="992" t="str">
        <f t="shared" si="0"/>
        <v/>
      </c>
      <c r="U8" s="991" t="s">
        <v>659</v>
      </c>
      <c r="V8" s="991">
        <v>70606.500489288068</v>
      </c>
      <c r="W8" s="1086">
        <f t="shared" si="1"/>
        <v>1</v>
      </c>
      <c r="X8" s="991" t="s">
        <v>751</v>
      </c>
    </row>
    <row r="9" spans="1:24" s="579" customFormat="1" ht="24.9" customHeight="1">
      <c r="A9" s="991">
        <v>8</v>
      </c>
      <c r="B9" s="996" t="s">
        <v>821</v>
      </c>
      <c r="C9" s="996" t="s">
        <v>869</v>
      </c>
      <c r="D9" s="991" t="s">
        <v>868</v>
      </c>
      <c r="E9" s="991" t="s">
        <v>1012</v>
      </c>
      <c r="F9" s="991" t="s">
        <v>1011</v>
      </c>
      <c r="G9" s="991" t="s">
        <v>996</v>
      </c>
      <c r="H9" s="991" t="s">
        <v>240</v>
      </c>
      <c r="I9" s="991">
        <v>7</v>
      </c>
      <c r="J9" s="991">
        <v>7</v>
      </c>
      <c r="K9" s="993">
        <v>46044</v>
      </c>
      <c r="L9" s="993"/>
      <c r="M9" s="991"/>
      <c r="N9" s="991"/>
      <c r="O9" s="994"/>
      <c r="P9" s="993" t="s">
        <v>658</v>
      </c>
      <c r="Q9" s="993">
        <v>46085</v>
      </c>
      <c r="R9" s="993">
        <v>46085</v>
      </c>
      <c r="S9" s="993"/>
      <c r="T9" s="992" t="str">
        <f t="shared" si="0"/>
        <v/>
      </c>
      <c r="U9" s="991" t="s">
        <v>659</v>
      </c>
      <c r="V9" s="991">
        <v>296547.30205500987</v>
      </c>
      <c r="W9" s="1086">
        <f t="shared" si="1"/>
        <v>1</v>
      </c>
      <c r="X9" s="991" t="s">
        <v>751</v>
      </c>
    </row>
    <row r="10" spans="1:24" s="579" customFormat="1" ht="24.9" customHeight="1">
      <c r="A10" s="991">
        <v>9</v>
      </c>
      <c r="B10" s="996" t="s">
        <v>821</v>
      </c>
      <c r="C10" s="996" t="s">
        <v>871</v>
      </c>
      <c r="D10" s="991" t="s">
        <v>870</v>
      </c>
      <c r="E10" s="991" t="s">
        <v>1013</v>
      </c>
      <c r="F10" s="991" t="s">
        <v>1011</v>
      </c>
      <c r="G10" s="991" t="s">
        <v>1095</v>
      </c>
      <c r="H10" s="991" t="s">
        <v>240</v>
      </c>
      <c r="I10" s="991">
        <v>68</v>
      </c>
      <c r="J10" s="991">
        <v>68</v>
      </c>
      <c r="K10" s="993">
        <v>46023</v>
      </c>
      <c r="L10" s="993">
        <v>46063</v>
      </c>
      <c r="M10" s="991" t="s">
        <v>1155</v>
      </c>
      <c r="N10" s="991" t="s">
        <v>1156</v>
      </c>
      <c r="O10" s="994" t="s">
        <v>1111</v>
      </c>
      <c r="P10" s="993" t="s">
        <v>658</v>
      </c>
      <c r="Q10" s="993">
        <v>46148</v>
      </c>
      <c r="R10" s="993">
        <v>46148</v>
      </c>
      <c r="S10" s="993"/>
      <c r="T10" s="992" t="str">
        <f t="shared" si="0"/>
        <v/>
      </c>
      <c r="U10" s="991" t="s">
        <v>659</v>
      </c>
      <c r="V10" s="991">
        <v>626985.72434487788</v>
      </c>
      <c r="W10" s="1086">
        <f t="shared" si="1"/>
        <v>1</v>
      </c>
      <c r="X10" s="991" t="s">
        <v>751</v>
      </c>
    </row>
    <row r="11" spans="1:24" s="579" customFormat="1" ht="24.9" customHeight="1">
      <c r="A11" s="991">
        <v>10</v>
      </c>
      <c r="B11" s="996" t="s">
        <v>821</v>
      </c>
      <c r="C11" s="996" t="s">
        <v>873</v>
      </c>
      <c r="D11" s="991" t="s">
        <v>872</v>
      </c>
      <c r="E11" s="991" t="s">
        <v>1013</v>
      </c>
      <c r="F11" s="991" t="s">
        <v>1011</v>
      </c>
      <c r="G11" s="991" t="s">
        <v>958</v>
      </c>
      <c r="H11" s="991" t="s">
        <v>240</v>
      </c>
      <c r="I11" s="991">
        <v>30</v>
      </c>
      <c r="J11" s="991">
        <v>30</v>
      </c>
      <c r="K11" s="993">
        <v>46020</v>
      </c>
      <c r="L11" s="993"/>
      <c r="M11" s="991"/>
      <c r="N11" s="991"/>
      <c r="O11" s="994"/>
      <c r="P11" s="993" t="s">
        <v>658</v>
      </c>
      <c r="Q11" s="993">
        <v>46141</v>
      </c>
      <c r="R11" s="993">
        <v>46141</v>
      </c>
      <c r="S11" s="993"/>
      <c r="T11" s="992" t="str">
        <f t="shared" si="0"/>
        <v/>
      </c>
      <c r="U11" s="991" t="s">
        <v>659</v>
      </c>
      <c r="V11" s="991">
        <v>423639.00293572841</v>
      </c>
      <c r="W11" s="1086">
        <f t="shared" si="1"/>
        <v>1</v>
      </c>
      <c r="X11" s="991" t="s">
        <v>751</v>
      </c>
    </row>
    <row r="12" spans="1:24" s="579" customFormat="1" ht="24.9" customHeight="1">
      <c r="A12" s="991">
        <v>11</v>
      </c>
      <c r="B12" s="996" t="s">
        <v>821</v>
      </c>
      <c r="C12" s="996" t="s">
        <v>875</v>
      </c>
      <c r="D12" s="991" t="s">
        <v>874</v>
      </c>
      <c r="E12" s="991" t="s">
        <v>1013</v>
      </c>
      <c r="F12" s="991" t="s">
        <v>1011</v>
      </c>
      <c r="G12" s="991" t="s">
        <v>938</v>
      </c>
      <c r="H12" s="991" t="s">
        <v>239</v>
      </c>
      <c r="I12" s="991">
        <v>13117</v>
      </c>
      <c r="J12" s="991">
        <v>13117</v>
      </c>
      <c r="K12" s="993">
        <v>46044</v>
      </c>
      <c r="L12" s="993"/>
      <c r="M12" s="991"/>
      <c r="N12" s="991"/>
      <c r="O12" s="994"/>
      <c r="P12" s="993" t="s">
        <v>658</v>
      </c>
      <c r="Q12" s="993">
        <v>46127</v>
      </c>
      <c r="R12" s="993">
        <v>46127</v>
      </c>
      <c r="S12" s="993"/>
      <c r="T12" s="992" t="str">
        <f t="shared" si="0"/>
        <v/>
      </c>
      <c r="U12" s="991" t="s">
        <v>659</v>
      </c>
      <c r="V12" s="991">
        <v>1166457.0448832999</v>
      </c>
      <c r="W12" s="1086">
        <f t="shared" si="1"/>
        <v>1</v>
      </c>
      <c r="X12" s="991" t="s">
        <v>751</v>
      </c>
    </row>
    <row r="13" spans="1:24" s="579" customFormat="1" ht="24.9" customHeight="1">
      <c r="A13" s="991">
        <v>12</v>
      </c>
      <c r="B13" s="996" t="s">
        <v>821</v>
      </c>
      <c r="C13" s="996" t="s">
        <v>880</v>
      </c>
      <c r="D13" s="991" t="s">
        <v>879</v>
      </c>
      <c r="E13" s="991" t="s">
        <v>1012</v>
      </c>
      <c r="F13" s="991" t="s">
        <v>1011</v>
      </c>
      <c r="G13" s="991" t="s">
        <v>943</v>
      </c>
      <c r="H13" s="991" t="s">
        <v>233</v>
      </c>
      <c r="I13" s="991">
        <v>1</v>
      </c>
      <c r="J13" s="991">
        <v>1</v>
      </c>
      <c r="K13" s="993">
        <v>46044</v>
      </c>
      <c r="L13" s="993"/>
      <c r="M13" s="991"/>
      <c r="N13" s="991"/>
      <c r="O13" s="994"/>
      <c r="P13" s="993" t="s">
        <v>1131</v>
      </c>
      <c r="Q13" s="993">
        <v>46186</v>
      </c>
      <c r="R13" s="993">
        <v>46186</v>
      </c>
      <c r="S13" s="993"/>
      <c r="T13" s="992" t="str">
        <f t="shared" si="0"/>
        <v/>
      </c>
      <c r="U13" s="991" t="s">
        <v>659</v>
      </c>
      <c r="V13" s="991">
        <v>112970.40078286092</v>
      </c>
      <c r="W13" s="1086">
        <f t="shared" si="1"/>
        <v>1</v>
      </c>
      <c r="X13" s="991" t="s">
        <v>751</v>
      </c>
    </row>
    <row r="14" spans="1:24" s="579" customFormat="1" ht="24.9" customHeight="1">
      <c r="A14" s="991">
        <v>13</v>
      </c>
      <c r="B14" s="996" t="s">
        <v>821</v>
      </c>
      <c r="C14" s="996" t="s">
        <v>882</v>
      </c>
      <c r="D14" s="991" t="s">
        <v>881</v>
      </c>
      <c r="E14" s="991" t="s">
        <v>1012</v>
      </c>
      <c r="F14" s="991" t="s">
        <v>1011</v>
      </c>
      <c r="G14" s="991" t="s">
        <v>1096</v>
      </c>
      <c r="H14" s="991" t="s">
        <v>239</v>
      </c>
      <c r="I14" s="991">
        <v>13117</v>
      </c>
      <c r="J14" s="991">
        <v>13117</v>
      </c>
      <c r="K14" s="993">
        <v>46030</v>
      </c>
      <c r="L14" s="993"/>
      <c r="M14" s="991"/>
      <c r="N14" s="991"/>
      <c r="O14" s="994"/>
      <c r="P14" s="993" t="s">
        <v>658</v>
      </c>
      <c r="Q14" s="993">
        <v>46114</v>
      </c>
      <c r="R14" s="993">
        <v>46114</v>
      </c>
      <c r="S14" s="993"/>
      <c r="T14" s="992" t="str">
        <f t="shared" si="0"/>
        <v/>
      </c>
      <c r="U14" s="991" t="s">
        <v>659</v>
      </c>
      <c r="V14" s="991">
        <v>690832.82918732497</v>
      </c>
      <c r="W14" s="1086">
        <f t="shared" si="1"/>
        <v>1</v>
      </c>
      <c r="X14" s="991" t="s">
        <v>751</v>
      </c>
    </row>
    <row r="15" spans="1:24" s="579" customFormat="1" ht="24.9" customHeight="1">
      <c r="A15" s="991">
        <v>14</v>
      </c>
      <c r="B15" s="996" t="s">
        <v>821</v>
      </c>
      <c r="C15" s="996" t="s">
        <v>884</v>
      </c>
      <c r="D15" s="991" t="s">
        <v>883</v>
      </c>
      <c r="E15" s="991" t="s">
        <v>1012</v>
      </c>
      <c r="F15" s="991" t="s">
        <v>1011</v>
      </c>
      <c r="G15" s="991" t="s">
        <v>945</v>
      </c>
      <c r="H15" s="991" t="s">
        <v>233</v>
      </c>
      <c r="I15" s="991">
        <v>3</v>
      </c>
      <c r="J15" s="991">
        <v>3</v>
      </c>
      <c r="K15" s="993">
        <v>46044</v>
      </c>
      <c r="L15" s="993"/>
      <c r="M15" s="991"/>
      <c r="N15" s="991"/>
      <c r="O15" s="994"/>
      <c r="P15" s="993" t="s">
        <v>1131</v>
      </c>
      <c r="Q15" s="993">
        <v>46141</v>
      </c>
      <c r="R15" s="993">
        <v>46141</v>
      </c>
      <c r="S15" s="993"/>
      <c r="T15" s="992" t="str">
        <f t="shared" si="0"/>
        <v/>
      </c>
      <c r="U15" s="991" t="s">
        <v>659</v>
      </c>
      <c r="V15" s="991">
        <v>94142.0006523841</v>
      </c>
      <c r="W15" s="1086">
        <f t="shared" si="1"/>
        <v>1</v>
      </c>
      <c r="X15" s="991" t="s">
        <v>751</v>
      </c>
    </row>
    <row r="16" spans="1:24" s="579" customFormat="1" ht="24.9" customHeight="1">
      <c r="A16" s="991">
        <v>15</v>
      </c>
      <c r="B16" s="996" t="s">
        <v>821</v>
      </c>
      <c r="C16" s="996" t="s">
        <v>886</v>
      </c>
      <c r="D16" s="991" t="s">
        <v>885</v>
      </c>
      <c r="E16" s="991" t="s">
        <v>1012</v>
      </c>
      <c r="F16" s="991" t="s">
        <v>1011</v>
      </c>
      <c r="G16" s="991" t="s">
        <v>1097</v>
      </c>
      <c r="H16" s="991" t="s">
        <v>233</v>
      </c>
      <c r="I16" s="991">
        <v>258</v>
      </c>
      <c r="J16" s="991">
        <v>258</v>
      </c>
      <c r="K16" s="993">
        <v>46044</v>
      </c>
      <c r="L16" s="993"/>
      <c r="M16" s="991"/>
      <c r="N16" s="991"/>
      <c r="O16" s="994"/>
      <c r="P16" s="993" t="s">
        <v>658</v>
      </c>
      <c r="Q16" s="993">
        <v>46125</v>
      </c>
      <c r="R16" s="993">
        <v>46125</v>
      </c>
      <c r="S16" s="993"/>
      <c r="T16" s="992" t="str">
        <f t="shared" si="0"/>
        <v/>
      </c>
      <c r="U16" s="991" t="s">
        <v>659</v>
      </c>
      <c r="V16" s="991">
        <v>527101.06165269844</v>
      </c>
      <c r="W16" s="1086">
        <f t="shared" si="1"/>
        <v>1</v>
      </c>
      <c r="X16" s="991" t="s">
        <v>751</v>
      </c>
    </row>
    <row r="17" spans="1:24" s="579" customFormat="1" ht="24.9" customHeight="1">
      <c r="A17" s="991">
        <v>16</v>
      </c>
      <c r="B17" s="996" t="s">
        <v>821</v>
      </c>
      <c r="C17" s="996" t="s">
        <v>887</v>
      </c>
      <c r="D17" s="991" t="s">
        <v>889</v>
      </c>
      <c r="E17" s="991" t="s">
        <v>1012</v>
      </c>
      <c r="F17" s="991" t="s">
        <v>1011</v>
      </c>
      <c r="G17" s="991" t="s">
        <v>1098</v>
      </c>
      <c r="H17" s="991" t="s">
        <v>233</v>
      </c>
      <c r="I17" s="991">
        <v>258</v>
      </c>
      <c r="J17" s="991">
        <v>258</v>
      </c>
      <c r="K17" s="993">
        <v>46044</v>
      </c>
      <c r="L17" s="993"/>
      <c r="M17" s="991"/>
      <c r="N17" s="991"/>
      <c r="O17" s="994"/>
      <c r="P17" s="993" t="s">
        <v>658</v>
      </c>
      <c r="Q17" s="993">
        <v>46145</v>
      </c>
      <c r="R17" s="993">
        <v>46145</v>
      </c>
      <c r="S17" s="993"/>
      <c r="T17" s="992" t="str">
        <f t="shared" si="0"/>
        <v/>
      </c>
      <c r="U17" s="991" t="s">
        <v>659</v>
      </c>
      <c r="V17" s="991">
        <v>124173.29886049461</v>
      </c>
      <c r="W17" s="1086">
        <f t="shared" si="1"/>
        <v>1</v>
      </c>
      <c r="X17" s="991" t="s">
        <v>751</v>
      </c>
    </row>
    <row r="18" spans="1:24" s="579" customFormat="1" ht="24.9" customHeight="1">
      <c r="A18" s="991">
        <v>17</v>
      </c>
      <c r="B18" s="996" t="s">
        <v>821</v>
      </c>
      <c r="C18" s="996" t="s">
        <v>888</v>
      </c>
      <c r="D18" s="991" t="s">
        <v>890</v>
      </c>
      <c r="E18" s="991" t="s">
        <v>1012</v>
      </c>
      <c r="F18" s="991" t="s">
        <v>1011</v>
      </c>
      <c r="G18" s="991" t="s">
        <v>952</v>
      </c>
      <c r="H18" s="991" t="s">
        <v>233</v>
      </c>
      <c r="I18" s="991">
        <v>1</v>
      </c>
      <c r="J18" s="991">
        <v>1</v>
      </c>
      <c r="K18" s="993">
        <v>46040</v>
      </c>
      <c r="L18" s="993"/>
      <c r="M18" s="991"/>
      <c r="N18" s="991"/>
      <c r="O18" s="994"/>
      <c r="P18" s="993" t="s">
        <v>1131</v>
      </c>
      <c r="Q18" s="993">
        <v>46137</v>
      </c>
      <c r="R18" s="993">
        <v>46137</v>
      </c>
      <c r="S18" s="993"/>
      <c r="T18" s="992" t="str">
        <f t="shared" si="0"/>
        <v/>
      </c>
      <c r="U18" s="991" t="s">
        <v>659</v>
      </c>
      <c r="V18" s="991">
        <v>32949.700228334434</v>
      </c>
      <c r="W18" s="1086">
        <v>1</v>
      </c>
      <c r="X18" s="991" t="s">
        <v>751</v>
      </c>
    </row>
    <row r="19" spans="1:24" s="579" customFormat="1" ht="24.9" customHeight="1">
      <c r="A19" s="991">
        <v>18</v>
      </c>
      <c r="B19" s="996" t="s">
        <v>821</v>
      </c>
      <c r="C19" s="996" t="s">
        <v>892</v>
      </c>
      <c r="D19" s="991" t="s">
        <v>891</v>
      </c>
      <c r="E19" s="991" t="s">
        <v>1012</v>
      </c>
      <c r="F19" s="991" t="s">
        <v>1011</v>
      </c>
      <c r="G19" s="991" t="s">
        <v>978</v>
      </c>
      <c r="H19" s="991" t="s">
        <v>242</v>
      </c>
      <c r="I19" s="991">
        <v>1</v>
      </c>
      <c r="J19" s="991">
        <v>1</v>
      </c>
      <c r="K19" s="993">
        <v>46044</v>
      </c>
      <c r="L19" s="993"/>
      <c r="M19" s="991"/>
      <c r="N19" s="991"/>
      <c r="O19" s="994"/>
      <c r="P19" s="993" t="s">
        <v>1131</v>
      </c>
      <c r="Q19" s="993">
        <v>46128</v>
      </c>
      <c r="R19" s="993">
        <v>46128</v>
      </c>
      <c r="S19" s="993"/>
      <c r="T19" s="992" t="str">
        <f t="shared" si="0"/>
        <v/>
      </c>
      <c r="U19" s="991" t="s">
        <v>659</v>
      </c>
      <c r="V19" s="991">
        <v>42363.900293572842</v>
      </c>
      <c r="W19" s="1086">
        <v>1</v>
      </c>
      <c r="X19" s="991" t="s">
        <v>751</v>
      </c>
    </row>
    <row r="20" spans="1:24" s="579" customFormat="1" ht="24.9" customHeight="1">
      <c r="A20" s="991">
        <v>19</v>
      </c>
      <c r="B20" s="996" t="s">
        <v>821</v>
      </c>
      <c r="C20" s="996" t="s">
        <v>893</v>
      </c>
      <c r="D20" s="991" t="s">
        <v>894</v>
      </c>
      <c r="E20" s="991" t="s">
        <v>1013</v>
      </c>
      <c r="F20" s="991" t="s">
        <v>1011</v>
      </c>
      <c r="G20" s="991" t="s">
        <v>965</v>
      </c>
      <c r="H20" s="991" t="s">
        <v>243</v>
      </c>
      <c r="I20" s="991">
        <v>1</v>
      </c>
      <c r="J20" s="991">
        <v>1</v>
      </c>
      <c r="K20" s="993">
        <v>46030</v>
      </c>
      <c r="L20" s="993"/>
      <c r="M20" s="991"/>
      <c r="N20" s="991"/>
      <c r="O20" s="994"/>
      <c r="P20" s="993" t="s">
        <v>1131</v>
      </c>
      <c r="Q20" s="993">
        <v>46166</v>
      </c>
      <c r="R20" s="993">
        <v>46166</v>
      </c>
      <c r="S20" s="993"/>
      <c r="T20" s="992" t="str">
        <f t="shared" si="0"/>
        <v/>
      </c>
      <c r="U20" s="991" t="s">
        <v>659</v>
      </c>
      <c r="V20" s="991">
        <v>235355.00163096024</v>
      </c>
      <c r="W20" s="1086">
        <f t="shared" si="1"/>
        <v>1</v>
      </c>
      <c r="X20" s="991" t="s">
        <v>751</v>
      </c>
    </row>
    <row r="21" spans="1:24" s="579" customFormat="1" ht="24.9" customHeight="1">
      <c r="A21" s="991">
        <v>20</v>
      </c>
      <c r="B21" s="996" t="s">
        <v>821</v>
      </c>
      <c r="C21" s="996" t="s">
        <v>895</v>
      </c>
      <c r="D21" s="991" t="s">
        <v>721</v>
      </c>
      <c r="E21" s="991" t="s">
        <v>1013</v>
      </c>
      <c r="F21" s="991" t="s">
        <v>1011</v>
      </c>
      <c r="G21" s="991" t="s">
        <v>967</v>
      </c>
      <c r="H21" s="991" t="s">
        <v>240</v>
      </c>
      <c r="I21" s="991">
        <v>1</v>
      </c>
      <c r="J21" s="991">
        <v>1</v>
      </c>
      <c r="K21" s="993">
        <v>46046</v>
      </c>
      <c r="L21" s="993"/>
      <c r="M21" s="991"/>
      <c r="N21" s="991"/>
      <c r="O21" s="994"/>
      <c r="P21" s="993" t="s">
        <v>1131</v>
      </c>
      <c r="Q21" s="993">
        <v>46177</v>
      </c>
      <c r="R21" s="993">
        <v>46177</v>
      </c>
      <c r="S21" s="993"/>
      <c r="T21" s="992" t="str">
        <f t="shared" si="0"/>
        <v/>
      </c>
      <c r="U21" s="991" t="s">
        <v>659</v>
      </c>
      <c r="V21" s="991">
        <v>141213.00097857614</v>
      </c>
      <c r="W21" s="1086">
        <f t="shared" si="1"/>
        <v>1</v>
      </c>
      <c r="X21" s="991" t="s">
        <v>751</v>
      </c>
    </row>
    <row r="22" spans="1:24" s="579" customFormat="1" ht="24.9" customHeight="1">
      <c r="A22" s="991">
        <v>21</v>
      </c>
      <c r="B22" s="996" t="s">
        <v>821</v>
      </c>
      <c r="C22" s="996" t="s">
        <v>898</v>
      </c>
      <c r="D22" s="991" t="s">
        <v>897</v>
      </c>
      <c r="E22" s="991" t="s">
        <v>1013</v>
      </c>
      <c r="F22" s="991" t="s">
        <v>1011</v>
      </c>
      <c r="G22" s="991" t="s">
        <v>969</v>
      </c>
      <c r="H22" s="991" t="s">
        <v>1000</v>
      </c>
      <c r="I22" s="991">
        <v>1</v>
      </c>
      <c r="J22" s="991">
        <v>1</v>
      </c>
      <c r="K22" s="993">
        <v>46040</v>
      </c>
      <c r="L22" s="993"/>
      <c r="M22" s="991"/>
      <c r="N22" s="991"/>
      <c r="O22" s="994"/>
      <c r="P22" s="993" t="s">
        <v>658</v>
      </c>
      <c r="Q22" s="993">
        <v>46236</v>
      </c>
      <c r="R22" s="993">
        <v>46236</v>
      </c>
      <c r="S22" s="993"/>
      <c r="T22" s="992" t="str">
        <f t="shared" si="0"/>
        <v/>
      </c>
      <c r="U22" s="991" t="s">
        <v>659</v>
      </c>
      <c r="V22" s="991">
        <v>2353.5500163096021</v>
      </c>
      <c r="W22" s="1086">
        <f t="shared" si="1"/>
        <v>1</v>
      </c>
      <c r="X22" s="991" t="s">
        <v>751</v>
      </c>
    </row>
    <row r="23" spans="1:24" s="579" customFormat="1" ht="24.9" customHeight="1">
      <c r="A23" s="991">
        <v>22</v>
      </c>
      <c r="B23" s="996" t="s">
        <v>821</v>
      </c>
      <c r="C23" s="996" t="s">
        <v>896</v>
      </c>
      <c r="D23" s="991" t="s">
        <v>899</v>
      </c>
      <c r="E23" s="991" t="s">
        <v>1013</v>
      </c>
      <c r="F23" s="991" t="s">
        <v>1011</v>
      </c>
      <c r="G23" s="991" t="s">
        <v>970</v>
      </c>
      <c r="H23" s="991" t="s">
        <v>240</v>
      </c>
      <c r="I23" s="991">
        <v>1</v>
      </c>
      <c r="J23" s="991">
        <v>1</v>
      </c>
      <c r="K23" s="993">
        <v>46040</v>
      </c>
      <c r="L23" s="993"/>
      <c r="M23" s="991"/>
      <c r="N23" s="991"/>
      <c r="O23" s="994"/>
      <c r="P23" s="993" t="s">
        <v>658</v>
      </c>
      <c r="Q23" s="993">
        <v>46236</v>
      </c>
      <c r="R23" s="993">
        <v>46236</v>
      </c>
      <c r="S23" s="993"/>
      <c r="T23" s="992" t="str">
        <f t="shared" si="0"/>
        <v/>
      </c>
      <c r="U23" s="991" t="s">
        <v>659</v>
      </c>
      <c r="V23" s="991">
        <v>14121.300097857615</v>
      </c>
      <c r="W23" s="1086">
        <f t="shared" si="1"/>
        <v>1</v>
      </c>
      <c r="X23" s="991" t="s">
        <v>751</v>
      </c>
    </row>
    <row r="24" spans="1:24" s="579" customFormat="1" ht="24.9" customHeight="1">
      <c r="A24" s="991">
        <v>23</v>
      </c>
      <c r="B24" s="996" t="s">
        <v>821</v>
      </c>
      <c r="C24" s="996" t="s">
        <v>903</v>
      </c>
      <c r="D24" s="991" t="s">
        <v>902</v>
      </c>
      <c r="E24" s="991" t="s">
        <v>1013</v>
      </c>
      <c r="F24" s="991" t="s">
        <v>1011</v>
      </c>
      <c r="G24" s="991" t="s">
        <v>971</v>
      </c>
      <c r="H24" s="991" t="s">
        <v>240</v>
      </c>
      <c r="I24" s="991">
        <v>1</v>
      </c>
      <c r="J24" s="579">
        <v>1</v>
      </c>
      <c r="K24" s="993">
        <v>46040</v>
      </c>
      <c r="L24" s="993">
        <v>46055</v>
      </c>
      <c r="M24" s="991" t="s">
        <v>1153</v>
      </c>
      <c r="N24" s="991" t="s">
        <v>1154</v>
      </c>
      <c r="O24" s="994"/>
      <c r="P24" s="993" t="s">
        <v>658</v>
      </c>
      <c r="Q24" s="993">
        <v>46196</v>
      </c>
      <c r="R24" s="993">
        <v>46196</v>
      </c>
      <c r="S24" s="993"/>
      <c r="T24" s="992" t="str">
        <f>+IF(ISBLANK(S24),"",(S24-#REF!))</f>
        <v/>
      </c>
      <c r="U24" s="991" t="s">
        <v>659</v>
      </c>
      <c r="V24" s="991">
        <v>14121.300097857615</v>
      </c>
      <c r="W24" s="1086">
        <f t="shared" si="1"/>
        <v>1</v>
      </c>
      <c r="X24" s="991" t="s">
        <v>751</v>
      </c>
    </row>
    <row r="25" spans="1:24" s="579" customFormat="1" ht="24.9" customHeight="1">
      <c r="A25" s="991">
        <v>24</v>
      </c>
      <c r="B25" s="996" t="s">
        <v>821</v>
      </c>
      <c r="C25" s="996" t="s">
        <v>876</v>
      </c>
      <c r="D25" s="991" t="s">
        <v>904</v>
      </c>
      <c r="E25" s="991" t="s">
        <v>1013</v>
      </c>
      <c r="F25" s="991" t="s">
        <v>1011</v>
      </c>
      <c r="G25" s="1070" t="s">
        <v>972</v>
      </c>
      <c r="H25" s="1070" t="s">
        <v>1000</v>
      </c>
      <c r="I25" s="1070">
        <v>1</v>
      </c>
      <c r="J25" s="995">
        <v>1</v>
      </c>
      <c r="K25" s="993">
        <v>46040</v>
      </c>
      <c r="L25" s="993"/>
      <c r="M25" s="991"/>
      <c r="N25" s="991"/>
      <c r="O25" s="994"/>
      <c r="P25" s="993" t="s">
        <v>1131</v>
      </c>
      <c r="Q25" s="993">
        <v>46237</v>
      </c>
      <c r="R25" s="993">
        <v>46237</v>
      </c>
      <c r="S25" s="993"/>
      <c r="T25" s="992" t="str">
        <f t="shared" si="0"/>
        <v/>
      </c>
      <c r="U25" s="991" t="s">
        <v>659</v>
      </c>
      <c r="V25" s="991">
        <v>1317988.0091333773</v>
      </c>
      <c r="W25" s="1086">
        <f t="shared" si="1"/>
        <v>1</v>
      </c>
      <c r="X25" s="991" t="s">
        <v>751</v>
      </c>
    </row>
    <row r="26" spans="1:24" s="579" customFormat="1" ht="24.9" customHeight="1">
      <c r="A26" s="991">
        <v>25</v>
      </c>
      <c r="B26" s="996" t="s">
        <v>821</v>
      </c>
      <c r="C26" s="996" t="s">
        <v>906</v>
      </c>
      <c r="D26" s="991" t="s">
        <v>905</v>
      </c>
      <c r="E26" s="991" t="s">
        <v>1013</v>
      </c>
      <c r="F26" s="991" t="s">
        <v>1011</v>
      </c>
      <c r="G26" s="1070" t="s">
        <v>963</v>
      </c>
      <c r="H26" s="1070" t="s">
        <v>240</v>
      </c>
      <c r="I26" s="1070">
        <v>2</v>
      </c>
      <c r="J26" s="995">
        <v>2</v>
      </c>
      <c r="K26" s="993">
        <v>46040</v>
      </c>
      <c r="L26" s="993">
        <v>46049</v>
      </c>
      <c r="M26" s="991" t="s">
        <v>1149</v>
      </c>
      <c r="N26" s="991" t="s">
        <v>1150</v>
      </c>
      <c r="O26" s="994" t="s">
        <v>1151</v>
      </c>
      <c r="P26" s="993" t="s">
        <v>1131</v>
      </c>
      <c r="Q26" s="993">
        <v>46242</v>
      </c>
      <c r="R26" s="993">
        <v>46280</v>
      </c>
      <c r="S26" s="993"/>
      <c r="T26" s="992" t="str">
        <f t="shared" si="0"/>
        <v/>
      </c>
      <c r="U26" s="991" t="s">
        <v>659</v>
      </c>
      <c r="V26" s="991">
        <v>348325.40241382114</v>
      </c>
      <c r="W26" s="1086">
        <f t="shared" si="1"/>
        <v>1</v>
      </c>
      <c r="X26" s="991" t="s">
        <v>1152</v>
      </c>
    </row>
    <row r="27" spans="1:24" s="579" customFormat="1" ht="24.9" customHeight="1">
      <c r="A27" s="991">
        <v>26</v>
      </c>
      <c r="B27" s="996" t="s">
        <v>821</v>
      </c>
      <c r="C27" s="996" t="s">
        <v>908</v>
      </c>
      <c r="D27" s="991" t="s">
        <v>907</v>
      </c>
      <c r="E27" s="991" t="s">
        <v>1013</v>
      </c>
      <c r="F27" s="991" t="s">
        <v>1011</v>
      </c>
      <c r="G27" s="1070" t="s">
        <v>976</v>
      </c>
      <c r="H27" s="1070" t="s">
        <v>242</v>
      </c>
      <c r="I27" s="1070">
        <v>1</v>
      </c>
      <c r="J27" s="995">
        <v>1</v>
      </c>
      <c r="K27" s="993">
        <v>46040</v>
      </c>
      <c r="L27" s="993"/>
      <c r="M27" s="991"/>
      <c r="N27" s="991"/>
      <c r="O27" s="994"/>
      <c r="P27" s="993" t="s">
        <v>1131</v>
      </c>
      <c r="Q27" s="993">
        <v>46166</v>
      </c>
      <c r="R27" s="993">
        <v>46280</v>
      </c>
      <c r="S27" s="993"/>
      <c r="T27" s="992" t="str">
        <f t="shared" si="0"/>
        <v/>
      </c>
      <c r="U27" s="991" t="s">
        <v>659</v>
      </c>
      <c r="V27" s="991">
        <v>112970.40078286092</v>
      </c>
      <c r="W27" s="1086">
        <f t="shared" si="1"/>
        <v>1</v>
      </c>
      <c r="X27" s="991" t="s">
        <v>1152</v>
      </c>
    </row>
    <row r="28" spans="1:24" s="579" customFormat="1" ht="24.9" customHeight="1">
      <c r="A28" s="991">
        <v>27</v>
      </c>
      <c r="B28" s="996" t="s">
        <v>821</v>
      </c>
      <c r="C28" s="996" t="s">
        <v>877</v>
      </c>
      <c r="D28" s="991" t="s">
        <v>909</v>
      </c>
      <c r="E28" s="991" t="s">
        <v>1012</v>
      </c>
      <c r="F28" s="991" t="s">
        <v>1011</v>
      </c>
      <c r="G28" s="1070" t="s">
        <v>1099</v>
      </c>
      <c r="H28" s="1070" t="s">
        <v>241</v>
      </c>
      <c r="I28" s="1070">
        <v>3</v>
      </c>
      <c r="J28" s="995">
        <v>3</v>
      </c>
      <c r="K28" s="993">
        <v>46040</v>
      </c>
      <c r="L28" s="993"/>
      <c r="M28" s="991"/>
      <c r="N28" s="991"/>
      <c r="O28" s="994"/>
      <c r="P28" s="993" t="s">
        <v>1131</v>
      </c>
      <c r="Q28" s="993">
        <v>46231</v>
      </c>
      <c r="R28" s="993">
        <v>46280</v>
      </c>
      <c r="S28" s="993"/>
      <c r="T28" s="992" t="str">
        <f t="shared" si="0"/>
        <v/>
      </c>
      <c r="U28" s="991" t="s">
        <v>659</v>
      </c>
      <c r="V28" s="991">
        <v>522488.10362073174</v>
      </c>
      <c r="W28" s="1086">
        <f t="shared" si="1"/>
        <v>1</v>
      </c>
      <c r="X28" s="991" t="s">
        <v>1152</v>
      </c>
    </row>
    <row r="29" spans="1:24" s="579" customFormat="1" ht="24.9" customHeight="1">
      <c r="A29" s="991">
        <v>28</v>
      </c>
      <c r="B29" s="996" t="s">
        <v>821</v>
      </c>
      <c r="C29" s="996" t="s">
        <v>912</v>
      </c>
      <c r="D29" s="991" t="s">
        <v>910</v>
      </c>
      <c r="E29" s="991" t="s">
        <v>1012</v>
      </c>
      <c r="F29" s="991" t="s">
        <v>1011</v>
      </c>
      <c r="G29" s="1070" t="s">
        <v>988</v>
      </c>
      <c r="H29" s="1070" t="s">
        <v>242</v>
      </c>
      <c r="I29" s="1070">
        <v>1</v>
      </c>
      <c r="J29" s="995">
        <v>1</v>
      </c>
      <c r="K29" s="993">
        <v>46040</v>
      </c>
      <c r="L29" s="993"/>
      <c r="M29" s="991"/>
      <c r="N29" s="991"/>
      <c r="O29" s="994"/>
      <c r="P29" s="993" t="s">
        <v>1131</v>
      </c>
      <c r="Q29" s="993">
        <v>46196</v>
      </c>
      <c r="R29" s="993">
        <v>46196</v>
      </c>
      <c r="S29" s="993"/>
      <c r="T29" s="992" t="str">
        <f t="shared" si="0"/>
        <v/>
      </c>
      <c r="U29" s="991" t="s">
        <v>659</v>
      </c>
      <c r="V29" s="991">
        <v>112970.40078286092</v>
      </c>
      <c r="W29" s="1086">
        <f t="shared" si="1"/>
        <v>1</v>
      </c>
      <c r="X29" s="991" t="s">
        <v>1152</v>
      </c>
    </row>
    <row r="30" spans="1:24" s="579" customFormat="1" ht="24.9" customHeight="1">
      <c r="A30" s="991">
        <v>29</v>
      </c>
      <c r="B30" s="996" t="s">
        <v>821</v>
      </c>
      <c r="C30" s="996" t="s">
        <v>900</v>
      </c>
      <c r="D30" s="991" t="s">
        <v>911</v>
      </c>
      <c r="E30" s="991" t="s">
        <v>1012</v>
      </c>
      <c r="F30" s="991" t="s">
        <v>1011</v>
      </c>
      <c r="G30" s="1070" t="s">
        <v>990</v>
      </c>
      <c r="H30" s="1070" t="s">
        <v>242</v>
      </c>
      <c r="I30" s="1070">
        <v>1</v>
      </c>
      <c r="J30" s="995">
        <v>1</v>
      </c>
      <c r="K30" s="993">
        <v>46044</v>
      </c>
      <c r="L30" s="993"/>
      <c r="M30" s="991"/>
      <c r="N30" s="991"/>
      <c r="O30" s="994"/>
      <c r="P30" s="993" t="s">
        <v>658</v>
      </c>
      <c r="Q30" s="993">
        <v>46251</v>
      </c>
      <c r="R30" s="993">
        <v>46251</v>
      </c>
      <c r="S30" s="993"/>
      <c r="T30" s="992" t="str">
        <f t="shared" si="0"/>
        <v/>
      </c>
      <c r="U30" s="991" t="s">
        <v>659</v>
      </c>
      <c r="V30" s="991">
        <v>32949.700228334434</v>
      </c>
      <c r="W30" s="1086">
        <f t="shared" si="1"/>
        <v>1</v>
      </c>
      <c r="X30" s="991" t="s">
        <v>1152</v>
      </c>
    </row>
    <row r="31" spans="1:24" s="579" customFormat="1" ht="24.9" customHeight="1">
      <c r="A31" s="991">
        <v>30</v>
      </c>
      <c r="B31" s="996" t="s">
        <v>821</v>
      </c>
      <c r="C31" s="996" t="s">
        <v>914</v>
      </c>
      <c r="D31" s="991" t="s">
        <v>913</v>
      </c>
      <c r="E31" s="991" t="s">
        <v>1012</v>
      </c>
      <c r="F31" s="991" t="s">
        <v>1011</v>
      </c>
      <c r="G31" s="1070">
        <v>16.899999999999999</v>
      </c>
      <c r="H31" s="1070" t="s">
        <v>240</v>
      </c>
      <c r="I31" s="1070">
        <v>7</v>
      </c>
      <c r="J31" s="995">
        <v>4</v>
      </c>
      <c r="K31" s="993">
        <v>46044</v>
      </c>
      <c r="L31" s="993"/>
      <c r="M31" s="991"/>
      <c r="N31" s="991"/>
      <c r="O31" s="994"/>
      <c r="P31" s="993" t="s">
        <v>658</v>
      </c>
      <c r="Q31" s="993">
        <v>46240</v>
      </c>
      <c r="R31" s="993">
        <v>46240</v>
      </c>
      <c r="S31" s="993"/>
      <c r="T31" s="992" t="str">
        <f t="shared" si="0"/>
        <v/>
      </c>
      <c r="U31" s="991" t="s">
        <v>659</v>
      </c>
      <c r="V31" s="991">
        <v>7531.3600521907274</v>
      </c>
      <c r="W31" s="1086">
        <f t="shared" si="1"/>
        <v>0.5714285714285714</v>
      </c>
      <c r="X31" s="991" t="s">
        <v>1112</v>
      </c>
    </row>
    <row r="32" spans="1:24" s="579" customFormat="1" ht="24.9" customHeight="1">
      <c r="A32" s="991">
        <v>31</v>
      </c>
      <c r="B32" s="996" t="s">
        <v>821</v>
      </c>
      <c r="C32" s="996" t="s">
        <v>916</v>
      </c>
      <c r="D32" s="991" t="s">
        <v>915</v>
      </c>
      <c r="E32" s="991" t="s">
        <v>1012</v>
      </c>
      <c r="F32" s="991" t="s">
        <v>1011</v>
      </c>
      <c r="G32" s="1070" t="s">
        <v>996</v>
      </c>
      <c r="H32" s="1070" t="s">
        <v>240</v>
      </c>
      <c r="I32" s="1070">
        <v>7</v>
      </c>
      <c r="J32" s="995">
        <v>7</v>
      </c>
      <c r="K32" s="993">
        <v>46044</v>
      </c>
      <c r="L32" s="993"/>
      <c r="M32" s="991"/>
      <c r="N32" s="991"/>
      <c r="O32" s="994"/>
      <c r="P32" s="993" t="s">
        <v>658</v>
      </c>
      <c r="Q32" s="993">
        <v>46240</v>
      </c>
      <c r="R32" s="993">
        <v>46240</v>
      </c>
      <c r="S32" s="993"/>
      <c r="T32" s="992" t="str">
        <f t="shared" si="0"/>
        <v/>
      </c>
      <c r="U32" s="991" t="s">
        <v>659</v>
      </c>
      <c r="V32" s="991">
        <v>296547.30205500987</v>
      </c>
      <c r="W32" s="1086">
        <f t="shared" si="1"/>
        <v>1</v>
      </c>
      <c r="X32" s="991" t="s">
        <v>751</v>
      </c>
    </row>
    <row r="33" spans="1:24" s="579" customFormat="1" ht="24.9" customHeight="1">
      <c r="A33" s="991">
        <v>32</v>
      </c>
      <c r="B33" s="996" t="s">
        <v>821</v>
      </c>
      <c r="C33" s="996" t="s">
        <v>901</v>
      </c>
      <c r="D33" s="991" t="s">
        <v>917</v>
      </c>
      <c r="E33" s="991" t="s">
        <v>1012</v>
      </c>
      <c r="F33" s="991" t="s">
        <v>1011</v>
      </c>
      <c r="G33" s="1070" t="s">
        <v>998</v>
      </c>
      <c r="H33" s="1070" t="s">
        <v>241</v>
      </c>
      <c r="I33" s="1070">
        <v>1</v>
      </c>
      <c r="J33" s="995">
        <v>1</v>
      </c>
      <c r="K33" s="993">
        <v>46044</v>
      </c>
      <c r="L33" s="993"/>
      <c r="M33" s="991"/>
      <c r="N33" s="991"/>
      <c r="O33" s="994"/>
      <c r="P33" s="993" t="s">
        <v>1131</v>
      </c>
      <c r="Q33" s="993">
        <v>46240</v>
      </c>
      <c r="R33" s="993">
        <v>46280</v>
      </c>
      <c r="S33" s="993"/>
      <c r="T33" s="992" t="str">
        <f t="shared" si="0"/>
        <v/>
      </c>
      <c r="U33" s="991" t="s">
        <v>659</v>
      </c>
      <c r="V33" s="991">
        <v>376568.0026095364</v>
      </c>
      <c r="W33" s="1086">
        <f t="shared" si="1"/>
        <v>1</v>
      </c>
      <c r="X33" s="991" t="s">
        <v>1152</v>
      </c>
    </row>
    <row r="34" spans="1:24" s="579" customFormat="1" ht="24.9" customHeight="1">
      <c r="A34" s="991">
        <v>33</v>
      </c>
      <c r="B34" s="996" t="s">
        <v>821</v>
      </c>
      <c r="C34" s="996" t="s">
        <v>878</v>
      </c>
      <c r="D34" s="991" t="s">
        <v>918</v>
      </c>
      <c r="E34" s="991" t="s">
        <v>1012</v>
      </c>
      <c r="F34" s="991" t="s">
        <v>1011</v>
      </c>
      <c r="G34" s="1070">
        <v>16.190000000000001</v>
      </c>
      <c r="H34" s="1070" t="s">
        <v>241</v>
      </c>
      <c r="I34" s="1070">
        <v>18</v>
      </c>
      <c r="J34" s="995">
        <v>18</v>
      </c>
      <c r="K34" s="993">
        <v>46044</v>
      </c>
      <c r="L34" s="993"/>
      <c r="M34" s="991"/>
      <c r="N34" s="991"/>
      <c r="O34" s="994"/>
      <c r="P34" s="993" t="s">
        <v>658</v>
      </c>
      <c r="Q34" s="993">
        <v>46251</v>
      </c>
      <c r="R34" s="993">
        <v>46280</v>
      </c>
      <c r="S34" s="993"/>
      <c r="T34" s="992" t="str">
        <f t="shared" si="0"/>
        <v/>
      </c>
      <c r="U34" s="991" t="s">
        <v>659</v>
      </c>
      <c r="V34" s="991">
        <v>273011.80189191387</v>
      </c>
      <c r="W34" s="1086">
        <f t="shared" si="1"/>
        <v>1</v>
      </c>
      <c r="X34" s="991" t="s">
        <v>1152</v>
      </c>
    </row>
    <row r="35" spans="1:24" s="579" customFormat="1" ht="24.9" customHeight="1">
      <c r="A35" s="991">
        <v>34</v>
      </c>
      <c r="B35" s="996" t="s">
        <v>821</v>
      </c>
      <c r="C35" s="996" t="s">
        <v>1132</v>
      </c>
      <c r="D35" s="991" t="s">
        <v>1133</v>
      </c>
      <c r="E35" s="991" t="s">
        <v>1013</v>
      </c>
      <c r="F35" s="991" t="s">
        <v>1011</v>
      </c>
      <c r="G35" s="1070" t="s">
        <v>1134</v>
      </c>
      <c r="H35" s="1070" t="s">
        <v>241</v>
      </c>
      <c r="I35" s="1070">
        <v>1</v>
      </c>
      <c r="J35" s="995">
        <v>1</v>
      </c>
      <c r="K35" s="993">
        <v>46044</v>
      </c>
      <c r="L35" s="993"/>
      <c r="M35" s="991"/>
      <c r="N35" s="991"/>
      <c r="O35" s="994"/>
      <c r="P35" s="993" t="s">
        <v>1131</v>
      </c>
      <c r="Q35" s="993">
        <v>46251</v>
      </c>
      <c r="R35" s="993">
        <v>46280</v>
      </c>
      <c r="S35" s="993"/>
      <c r="T35" s="992"/>
      <c r="U35" s="991" t="s">
        <v>659</v>
      </c>
      <c r="V35" s="991">
        <v>14121.300097857615</v>
      </c>
      <c r="W35" s="1086">
        <f t="shared" si="1"/>
        <v>1</v>
      </c>
      <c r="X35" s="991" t="s">
        <v>1152</v>
      </c>
    </row>
    <row r="36" spans="1:24" s="579" customFormat="1" ht="24.9" customHeight="1">
      <c r="A36" s="991">
        <v>35</v>
      </c>
      <c r="B36" s="996" t="s">
        <v>821</v>
      </c>
      <c r="C36" s="996" t="s">
        <v>1135</v>
      </c>
      <c r="D36" s="991" t="s">
        <v>1136</v>
      </c>
      <c r="E36" s="991" t="s">
        <v>1012</v>
      </c>
      <c r="F36" s="991" t="s">
        <v>1011</v>
      </c>
      <c r="G36" s="1070" t="s">
        <v>976</v>
      </c>
      <c r="H36" s="1070" t="s">
        <v>240</v>
      </c>
      <c r="I36" s="1070">
        <v>1</v>
      </c>
      <c r="J36" s="995">
        <v>1</v>
      </c>
      <c r="K36" s="993">
        <v>46044</v>
      </c>
      <c r="L36" s="993"/>
      <c r="M36" s="991"/>
      <c r="N36" s="991"/>
      <c r="O36" s="994"/>
      <c r="P36" s="993" t="s">
        <v>1131</v>
      </c>
      <c r="Q36" s="993">
        <v>46251</v>
      </c>
      <c r="R36" s="993">
        <v>46280</v>
      </c>
      <c r="S36" s="993"/>
      <c r="T36" s="992"/>
      <c r="U36" s="991" t="s">
        <v>659</v>
      </c>
      <c r="V36" s="991">
        <v>112970.40078286092</v>
      </c>
      <c r="W36" s="1086">
        <f t="shared" si="1"/>
        <v>1</v>
      </c>
      <c r="X36" s="991" t="s">
        <v>1152</v>
      </c>
    </row>
    <row r="37" spans="1:24" s="579" customFormat="1" ht="24.9" customHeight="1">
      <c r="A37" s="991">
        <v>36</v>
      </c>
      <c r="B37" s="996" t="s">
        <v>821</v>
      </c>
      <c r="C37" s="996" t="s">
        <v>1137</v>
      </c>
      <c r="D37" s="991" t="s">
        <v>1138</v>
      </c>
      <c r="E37" s="991" t="s">
        <v>1012</v>
      </c>
      <c r="F37" s="991" t="s">
        <v>1011</v>
      </c>
      <c r="G37" s="1070" t="s">
        <v>992</v>
      </c>
      <c r="H37" s="1070" t="s">
        <v>242</v>
      </c>
      <c r="I37" s="1070">
        <v>1</v>
      </c>
      <c r="J37" s="995">
        <v>1</v>
      </c>
      <c r="K37" s="993">
        <v>46044</v>
      </c>
      <c r="L37" s="993"/>
      <c r="M37" s="991"/>
      <c r="N37" s="991"/>
      <c r="O37" s="994"/>
      <c r="P37" s="993" t="s">
        <v>1131</v>
      </c>
      <c r="Q37" s="993">
        <v>46251</v>
      </c>
      <c r="R37" s="993">
        <v>46251</v>
      </c>
      <c r="S37" s="993"/>
      <c r="T37" s="992"/>
      <c r="U37" s="991" t="s">
        <v>659</v>
      </c>
      <c r="V37" s="991">
        <v>32949.700228334434</v>
      </c>
      <c r="W37" s="1086">
        <f t="shared" si="1"/>
        <v>1</v>
      </c>
      <c r="X37" s="991" t="s">
        <v>751</v>
      </c>
    </row>
    <row r="39" spans="1:24">
      <c r="K39" s="990"/>
      <c r="L39" s="782"/>
    </row>
    <row r="40" spans="1:24">
      <c r="L40" s="549"/>
    </row>
    <row r="41" spans="1:24">
      <c r="K41" s="470"/>
    </row>
  </sheetData>
  <autoFilter ref="A1:X37" xr:uid="{B30E0C7E-98B1-40E5-8194-9AF3A31D50EB}"/>
  <conditionalFormatting sqref="W2:W37">
    <cfRule type="dataBar" priority="1">
      <dataBar>
        <cfvo type="num" val="0"/>
        <cfvo type="num" val="1"/>
        <color rgb="FF00B050"/>
      </dataBar>
      <extLst>
        <ext xmlns:x14="http://schemas.microsoft.com/office/spreadsheetml/2009/9/main" uri="{B025F937-C7B1-47D3-B67F-A62EFF666E3E}">
          <x14:id>{840F79A1-642B-4F5B-A822-D4DB253D66A5}</x14:id>
        </ext>
      </extLst>
    </cfRule>
  </conditionalFormatting>
  <dataValidations count="5">
    <dataValidation allowBlank="1" prompt="Details to be collected from Mr Ahmad Shaikh" sqref="K1 D1:F1" xr:uid="{CDEBB66E-85AA-44C3-A532-EBEEC27B7B79}"/>
    <dataValidation allowBlank="1" prompt="UPDATED BY KHATEEB MUHAMMAD MUHYIDDEEN" sqref="T1 C1" xr:uid="{3BD6E03C-D724-4935-B8A6-E8ABD9223D8C}"/>
    <dataValidation allowBlank="1" showInputMessage="1" showErrorMessage="1" prompt="Actual Date Arrived" sqref="S1" xr:uid="{15A139D2-40BB-41F6-A498-E73F22261620}"/>
    <dataValidation allowBlank="1" showInputMessage="1" prompt="Expected Date of Arrival" sqref="R1" xr:uid="{89FB9840-A686-4FF2-A05E-B9CEF8FBBF4D}"/>
    <dataValidation allowBlank="1" showInputMessage="1" prompt="As per P6 Schedule or in very rare case Expert Judgement" sqref="Q1" xr:uid="{41297AC7-D098-496C-A189-6218B4353C13}"/>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840F79A1-642B-4F5B-A822-D4DB253D66A5}">
            <x14:dataBar minLength="0" maxLength="100" gradient="0">
              <x14:cfvo type="num">
                <xm:f>0</xm:f>
              </x14:cfvo>
              <x14:cfvo type="num">
                <xm:f>1</xm:f>
              </x14:cfvo>
              <x14:negativeFillColor rgb="FFFF0000"/>
              <x14:axisColor rgb="FF000000"/>
            </x14:dataBar>
          </x14:cfRule>
          <xm:sqref>W2:W37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39"/>
  <sheetViews>
    <sheetView zoomScale="130" zoomScaleNormal="130" workbookViewId="0">
      <selection sqref="A1:G15"/>
    </sheetView>
  </sheetViews>
  <sheetFormatPr defaultRowHeight="14.4"/>
  <cols>
    <col min="1" max="1" width="4.6640625" customWidth="1"/>
    <col min="2" max="2" width="52.33203125" customWidth="1"/>
    <col min="3" max="3" width="36.109375" bestFit="1" customWidth="1"/>
    <col min="4" max="5" width="10.6640625" customWidth="1"/>
    <col min="6" max="6" width="12.44140625" bestFit="1" customWidth="1"/>
    <col min="7" max="7" width="8.6640625" customWidth="1"/>
    <col min="8" max="8" width="9.88671875" bestFit="1" customWidth="1"/>
    <col min="9" max="9" width="12.109375" style="45" customWidth="1"/>
    <col min="10" max="11" width="9.109375" style="45"/>
    <col min="12" max="15" width="11.109375" style="45" bestFit="1" customWidth="1"/>
  </cols>
  <sheetData>
    <row r="1" spans="1:15" ht="33.75" customHeight="1" thickBot="1">
      <c r="A1" s="1988" t="str">
        <f>"Milestones "&amp;'General Information'!C3</f>
        <v>Milestones LAND DEVELOPMENT OF JEDDAH OASIS</v>
      </c>
      <c r="B1" s="1989"/>
      <c r="C1" s="1989"/>
      <c r="D1" s="1989"/>
      <c r="E1" s="1989"/>
      <c r="F1" s="1989"/>
      <c r="G1" s="1990"/>
    </row>
    <row r="2" spans="1:15" ht="27.6" thickTop="1" thickBot="1">
      <c r="A2" s="672" t="s">
        <v>90</v>
      </c>
      <c r="B2" s="673" t="s">
        <v>91</v>
      </c>
      <c r="C2" s="673" t="s">
        <v>92</v>
      </c>
      <c r="D2" s="673" t="s">
        <v>674</v>
      </c>
      <c r="E2" s="673" t="s">
        <v>94</v>
      </c>
      <c r="F2" s="673"/>
      <c r="G2" s="674" t="s">
        <v>95</v>
      </c>
      <c r="I2" s="749" t="s">
        <v>675</v>
      </c>
      <c r="J2" s="749" t="s">
        <v>676</v>
      </c>
      <c r="K2"/>
      <c r="L2"/>
    </row>
    <row r="3" spans="1:15" s="27" customFormat="1" ht="26.4">
      <c r="A3" s="90" t="s">
        <v>677</v>
      </c>
      <c r="B3" s="87" t="str">
        <f>"Contract Duration
Current Contract Weeks : "&amp;TEXT(I3, "0")&amp;" of "&amp;TEXT(L3, "0")</f>
        <v>Contract Duration
Current Contract Weeks : 47 of 79</v>
      </c>
      <c r="C3" s="88">
        <f>(C14-C6)/7</f>
        <v>77.857142857142861</v>
      </c>
      <c r="D3" s="88">
        <f>(D14-D6)/7</f>
        <v>79.142857142857139</v>
      </c>
      <c r="E3" s="88">
        <f>(E15-E6)/7</f>
        <v>60.142857142857146</v>
      </c>
      <c r="F3" s="89" t="s">
        <v>580</v>
      </c>
      <c r="G3" s="91">
        <f>(D3-E3)*7</f>
        <v>132.99999999999994</v>
      </c>
      <c r="I3" s="750">
        <f>+Quality!O6</f>
        <v>47</v>
      </c>
      <c r="J3" s="750">
        <f>ROUNDUP(I3,0)</f>
        <v>47</v>
      </c>
      <c r="L3" s="750">
        <f>D3</f>
        <v>79.142857142857139</v>
      </c>
      <c r="M3" s="571"/>
      <c r="N3" s="572"/>
      <c r="O3" s="572"/>
    </row>
    <row r="4" spans="1:15">
      <c r="A4" s="92">
        <v>1</v>
      </c>
      <c r="B4" s="86" t="s">
        <v>678</v>
      </c>
      <c r="C4" s="84">
        <f>+'General Information'!C12:I12</f>
        <v>45970</v>
      </c>
      <c r="D4" s="84">
        <v>45970</v>
      </c>
      <c r="E4" s="84">
        <f>C4</f>
        <v>45970</v>
      </c>
      <c r="F4" s="85" t="s">
        <v>120</v>
      </c>
      <c r="G4" s="93">
        <f>D4-E4</f>
        <v>0</v>
      </c>
    </row>
    <row r="5" spans="1:15">
      <c r="A5" s="92">
        <v>2</v>
      </c>
      <c r="B5" s="86" t="s">
        <v>250</v>
      </c>
      <c r="C5" s="84">
        <f>+'General Information'!C13:I13</f>
        <v>45977</v>
      </c>
      <c r="D5" s="84">
        <v>45977</v>
      </c>
      <c r="E5" s="84">
        <f t="shared" ref="E5:E6" si="0">C5</f>
        <v>45977</v>
      </c>
      <c r="F5" s="85" t="s">
        <v>120</v>
      </c>
      <c r="G5" s="93">
        <f>D5-E5</f>
        <v>0</v>
      </c>
    </row>
    <row r="6" spans="1:15">
      <c r="A6" s="92">
        <v>3</v>
      </c>
      <c r="B6" s="86" t="s">
        <v>251</v>
      </c>
      <c r="C6" s="84">
        <f>+'General Information'!C14:I14</f>
        <v>45985</v>
      </c>
      <c r="D6" s="84">
        <v>45985</v>
      </c>
      <c r="E6" s="84">
        <f t="shared" si="0"/>
        <v>45985</v>
      </c>
      <c r="F6" s="85" t="s">
        <v>120</v>
      </c>
      <c r="G6" s="93">
        <f>D6-E6</f>
        <v>0</v>
      </c>
      <c r="I6" s="754"/>
      <c r="J6" s="576"/>
      <c r="K6" s="576"/>
      <c r="L6" s="576"/>
      <c r="M6" s="576"/>
      <c r="N6" s="576"/>
      <c r="O6" s="576"/>
    </row>
    <row r="7" spans="1:15">
      <c r="A7" s="92">
        <v>4</v>
      </c>
      <c r="B7" s="86" t="s">
        <v>679</v>
      </c>
      <c r="C7" s="84">
        <v>46014</v>
      </c>
      <c r="D7" s="84">
        <v>46014</v>
      </c>
      <c r="E7" s="84">
        <f>C7</f>
        <v>46014</v>
      </c>
      <c r="F7" s="85" t="s">
        <v>120</v>
      </c>
      <c r="G7" s="93">
        <f t="shared" ref="G7" si="1">D7-E7</f>
        <v>0</v>
      </c>
      <c r="I7" s="576"/>
      <c r="J7" s="576"/>
      <c r="K7" s="576"/>
      <c r="L7" s="577"/>
      <c r="M7" s="577"/>
      <c r="N7" s="576"/>
      <c r="O7" s="577"/>
    </row>
    <row r="8" spans="1:15">
      <c r="A8" s="92">
        <v>5</v>
      </c>
      <c r="B8" s="86" t="s">
        <v>1008</v>
      </c>
      <c r="C8" s="84">
        <v>46104</v>
      </c>
      <c r="D8" s="84">
        <v>46238</v>
      </c>
      <c r="E8" s="84">
        <v>46308</v>
      </c>
      <c r="F8" s="85" t="s">
        <v>677</v>
      </c>
      <c r="G8" s="93">
        <f>D8-E8</f>
        <v>-70</v>
      </c>
      <c r="I8" s="576"/>
      <c r="J8" s="576"/>
      <c r="K8" s="576"/>
      <c r="L8" s="577"/>
      <c r="M8" s="577"/>
      <c r="N8" s="576"/>
      <c r="O8" s="577"/>
    </row>
    <row r="9" spans="1:15">
      <c r="A9" s="92">
        <v>6</v>
      </c>
      <c r="B9" s="86" t="s">
        <v>680</v>
      </c>
      <c r="C9" s="84">
        <v>46347</v>
      </c>
      <c r="D9" s="84">
        <v>46217</v>
      </c>
      <c r="E9" s="84">
        <v>46217</v>
      </c>
      <c r="F9" s="85" t="s">
        <v>120</v>
      </c>
      <c r="G9" s="93">
        <f>D9-E9</f>
        <v>0</v>
      </c>
      <c r="I9" s="576"/>
      <c r="J9" s="576"/>
      <c r="K9" s="576"/>
      <c r="L9" s="577"/>
      <c r="M9" s="577"/>
      <c r="N9" s="577"/>
      <c r="O9" s="577"/>
    </row>
    <row r="10" spans="1:15">
      <c r="A10" s="92">
        <v>7</v>
      </c>
      <c r="B10" s="86" t="s">
        <v>681</v>
      </c>
      <c r="C10" s="84">
        <v>46387</v>
      </c>
      <c r="D10" s="84">
        <v>46393</v>
      </c>
      <c r="E10" s="84">
        <v>46301</v>
      </c>
      <c r="F10" s="85" t="s">
        <v>120</v>
      </c>
      <c r="G10" s="93">
        <f t="shared" ref="G10" si="2">D10-E10</f>
        <v>92</v>
      </c>
      <c r="I10" s="576"/>
      <c r="J10" s="576"/>
      <c r="K10" s="576"/>
      <c r="L10" s="577"/>
      <c r="M10" s="577"/>
      <c r="N10" s="577"/>
      <c r="O10" s="577"/>
    </row>
    <row r="11" spans="1:15">
      <c r="A11" s="92">
        <v>8</v>
      </c>
      <c r="B11" s="86" t="s">
        <v>682</v>
      </c>
      <c r="C11" s="84">
        <v>46287</v>
      </c>
      <c r="D11" s="84">
        <v>46373</v>
      </c>
      <c r="E11" s="84">
        <v>46308</v>
      </c>
      <c r="F11" s="85" t="s">
        <v>677</v>
      </c>
      <c r="G11" s="93">
        <f>D11-E11</f>
        <v>65</v>
      </c>
      <c r="I11" s="576"/>
      <c r="J11" s="576"/>
      <c r="K11" s="576"/>
      <c r="L11" s="576"/>
      <c r="M11" s="577"/>
      <c r="N11" s="576"/>
      <c r="O11" s="577"/>
    </row>
    <row r="12" spans="1:15">
      <c r="A12" s="92">
        <v>9</v>
      </c>
      <c r="B12" s="86" t="s">
        <v>683</v>
      </c>
      <c r="C12" s="84">
        <v>46513</v>
      </c>
      <c r="D12" s="84">
        <v>46433</v>
      </c>
      <c r="E12" s="84">
        <v>46308</v>
      </c>
      <c r="F12" s="85" t="s">
        <v>677</v>
      </c>
      <c r="G12" s="93">
        <f>D12-E12</f>
        <v>125</v>
      </c>
      <c r="I12" s="576"/>
      <c r="J12" s="576"/>
      <c r="K12" s="576"/>
      <c r="L12" s="577"/>
      <c r="M12" s="577"/>
      <c r="N12" s="577"/>
      <c r="O12" s="577"/>
    </row>
    <row r="13" spans="1:15">
      <c r="A13" s="92">
        <v>10</v>
      </c>
      <c r="B13" s="86" t="s">
        <v>1009</v>
      </c>
      <c r="C13" s="84">
        <v>46349</v>
      </c>
      <c r="D13" s="84">
        <v>46406</v>
      </c>
      <c r="E13" s="84">
        <v>46270</v>
      </c>
      <c r="F13" s="85" t="s">
        <v>120</v>
      </c>
      <c r="G13" s="93">
        <f>D13-E13</f>
        <v>136</v>
      </c>
      <c r="I13" s="576"/>
      <c r="J13" s="576"/>
      <c r="K13" s="576"/>
      <c r="L13" s="577"/>
      <c r="M13" s="577"/>
      <c r="N13" s="577"/>
      <c r="O13" s="577"/>
    </row>
    <row r="14" spans="1:15" ht="33" customHeight="1">
      <c r="A14" s="92">
        <v>11</v>
      </c>
      <c r="B14" s="86" t="s">
        <v>684</v>
      </c>
      <c r="C14" s="84">
        <v>46530</v>
      </c>
      <c r="D14" s="84">
        <v>46539</v>
      </c>
      <c r="E14" s="84">
        <v>46393</v>
      </c>
      <c r="F14" s="85" t="s">
        <v>677</v>
      </c>
      <c r="G14" s="93">
        <f>D14-E14</f>
        <v>146</v>
      </c>
      <c r="I14" s="576"/>
      <c r="J14" s="576"/>
      <c r="K14" s="576"/>
      <c r="L14" s="577"/>
      <c r="M14" s="577"/>
      <c r="N14" s="577"/>
      <c r="O14" s="577"/>
    </row>
    <row r="15" spans="1:15" ht="15" thickBot="1">
      <c r="A15" s="751">
        <v>12</v>
      </c>
      <c r="B15" s="755" t="s">
        <v>685</v>
      </c>
      <c r="C15" s="675">
        <v>46530</v>
      </c>
      <c r="D15" s="675">
        <v>46552</v>
      </c>
      <c r="E15" s="675">
        <v>46406</v>
      </c>
      <c r="F15" s="752" t="s">
        <v>677</v>
      </c>
      <c r="G15" s="753">
        <f>D15-E15</f>
        <v>146</v>
      </c>
      <c r="I15" s="576"/>
      <c r="J15" s="576"/>
      <c r="K15" s="576"/>
      <c r="L15" s="577"/>
      <c r="M15" s="577"/>
      <c r="N15" s="577"/>
      <c r="O15" s="577"/>
    </row>
    <row r="16" spans="1:15" ht="15" thickTop="1"/>
    <row r="19" spans="2:17">
      <c r="E19" s="83"/>
      <c r="F19" s="83"/>
      <c r="H19" s="83"/>
      <c r="I19" s="573"/>
      <c r="J19" s="574"/>
      <c r="K19" s="575"/>
      <c r="L19" s="574"/>
      <c r="M19" s="575"/>
      <c r="N19" s="575"/>
      <c r="O19" s="574"/>
      <c r="P19" s="552"/>
      <c r="Q19" s="531"/>
    </row>
    <row r="20" spans="2:17">
      <c r="B20" s="1174" t="s">
        <v>767</v>
      </c>
      <c r="C20" s="1174" t="s">
        <v>1166</v>
      </c>
      <c r="D20" s="1174" t="s">
        <v>1167</v>
      </c>
      <c r="E20" s="1175" t="s">
        <v>1168</v>
      </c>
      <c r="F20" s="1175" t="s">
        <v>1169</v>
      </c>
      <c r="G20" s="1174" t="s">
        <v>573</v>
      </c>
      <c r="H20" s="1175" t="s">
        <v>1170</v>
      </c>
      <c r="I20" s="1176"/>
      <c r="J20" s="1177"/>
      <c r="K20" s="1178"/>
      <c r="L20" s="1177"/>
      <c r="M20" s="575"/>
      <c r="N20" s="575"/>
      <c r="O20" s="574"/>
      <c r="P20" s="552"/>
      <c r="Q20" s="531"/>
    </row>
    <row r="21" spans="2:17">
      <c r="B21" s="1174" t="s">
        <v>1171</v>
      </c>
      <c r="C21" s="1174" t="s">
        <v>1008</v>
      </c>
      <c r="D21" s="1174">
        <v>0</v>
      </c>
      <c r="E21" s="1175"/>
      <c r="F21" s="1175">
        <v>46104</v>
      </c>
      <c r="G21" s="1175"/>
      <c r="H21" s="1175">
        <v>46132</v>
      </c>
      <c r="I21" s="1176"/>
      <c r="J21" s="1177"/>
      <c r="K21" s="1177"/>
      <c r="L21" s="1177"/>
      <c r="M21" s="574"/>
      <c r="N21" s="574"/>
      <c r="O21" s="574"/>
      <c r="P21" s="552"/>
    </row>
    <row r="22" spans="2:17">
      <c r="B22" s="1174" t="s">
        <v>1172</v>
      </c>
      <c r="C22" s="1174" t="s">
        <v>1173</v>
      </c>
      <c r="D22" s="1174">
        <v>0</v>
      </c>
      <c r="E22" s="1175"/>
      <c r="F22" s="1175">
        <v>46225</v>
      </c>
      <c r="G22" s="1175"/>
      <c r="H22" s="1175">
        <v>46239</v>
      </c>
      <c r="I22" s="1176"/>
      <c r="J22" s="1177"/>
      <c r="K22" s="1177"/>
      <c r="L22" s="1177"/>
      <c r="M22" s="574"/>
      <c r="N22" s="574"/>
      <c r="O22" s="574"/>
      <c r="P22" s="552"/>
    </row>
    <row r="23" spans="2:17">
      <c r="B23" s="1174" t="s">
        <v>1174</v>
      </c>
      <c r="C23" s="1174" t="s">
        <v>1175</v>
      </c>
      <c r="D23" s="1174">
        <v>0</v>
      </c>
      <c r="E23" s="1174"/>
      <c r="F23" s="1175">
        <v>46287</v>
      </c>
      <c r="G23" s="1174"/>
      <c r="H23" s="1175">
        <v>46338</v>
      </c>
      <c r="I23" s="1177"/>
      <c r="J23" s="1177"/>
      <c r="K23" s="1177"/>
      <c r="L23" s="1177"/>
      <c r="M23" s="574"/>
      <c r="N23" s="574"/>
      <c r="O23" s="574"/>
      <c r="P23" s="552"/>
    </row>
    <row r="24" spans="2:17">
      <c r="B24" s="1174" t="s">
        <v>1176</v>
      </c>
      <c r="C24" s="1174" t="s">
        <v>1009</v>
      </c>
      <c r="D24" s="1174">
        <v>0</v>
      </c>
      <c r="E24" s="1175"/>
      <c r="F24" s="1175">
        <v>46349</v>
      </c>
      <c r="G24" s="1175"/>
      <c r="H24" s="1175">
        <v>46387</v>
      </c>
      <c r="I24" s="1177"/>
      <c r="J24" s="1177"/>
      <c r="K24" s="1177"/>
      <c r="L24" s="1177"/>
      <c r="M24" s="574"/>
      <c r="N24" s="574"/>
      <c r="O24" s="574"/>
      <c r="P24" s="552"/>
    </row>
    <row r="25" spans="2:17">
      <c r="B25" s="1174" t="s">
        <v>1177</v>
      </c>
      <c r="C25" s="1174" t="s">
        <v>1178</v>
      </c>
      <c r="D25" s="1174">
        <v>0</v>
      </c>
      <c r="E25" s="1175"/>
      <c r="F25" s="1175">
        <v>46349</v>
      </c>
      <c r="G25" s="1175"/>
      <c r="H25" s="1175">
        <v>46369</v>
      </c>
      <c r="I25" s="1176"/>
      <c r="J25" s="1177"/>
      <c r="K25" s="1177"/>
      <c r="L25" s="1177"/>
      <c r="M25" s="574"/>
      <c r="N25" s="574"/>
      <c r="O25" s="574"/>
      <c r="P25" s="552"/>
    </row>
    <row r="26" spans="2:17">
      <c r="B26" s="1174" t="s">
        <v>1179</v>
      </c>
      <c r="C26" s="1174" t="s">
        <v>1180</v>
      </c>
      <c r="D26" s="1174">
        <v>0</v>
      </c>
      <c r="E26" s="1175"/>
      <c r="F26" s="1175">
        <v>46391</v>
      </c>
      <c r="G26" s="1175"/>
      <c r="H26" s="1175">
        <v>46413</v>
      </c>
      <c r="I26" s="1176"/>
      <c r="J26" s="1177"/>
      <c r="K26" s="1177"/>
      <c r="L26" s="1177"/>
      <c r="M26" s="574"/>
      <c r="N26" s="574"/>
      <c r="O26" s="574"/>
      <c r="P26" s="552"/>
    </row>
    <row r="27" spans="2:17">
      <c r="B27" s="1174" t="s">
        <v>1181</v>
      </c>
      <c r="C27" s="1174" t="s">
        <v>1182</v>
      </c>
      <c r="D27" s="1174">
        <v>0</v>
      </c>
      <c r="E27" s="1175"/>
      <c r="F27" s="1175">
        <f>D15</f>
        <v>46552</v>
      </c>
      <c r="G27" s="1175"/>
      <c r="H27" s="1175">
        <v>46559</v>
      </c>
      <c r="I27" s="1176"/>
      <c r="J27" s="1177"/>
      <c r="K27" s="1177"/>
      <c r="L27" s="1177"/>
      <c r="M27" s="574"/>
      <c r="N27" s="574"/>
      <c r="O27" s="574"/>
      <c r="P27" s="552"/>
    </row>
    <row r="28" spans="2:17">
      <c r="B28" s="1179"/>
      <c r="C28" s="1179"/>
      <c r="D28" s="1179"/>
      <c r="E28" s="1180"/>
      <c r="F28" s="1180"/>
      <c r="G28" s="1180"/>
      <c r="H28" s="1180"/>
      <c r="I28" s="1181"/>
      <c r="J28" s="1182"/>
      <c r="K28" s="1182"/>
      <c r="L28" s="1182"/>
      <c r="M28" s="574"/>
      <c r="N28" s="574"/>
      <c r="O28" s="574"/>
      <c r="P28" s="552"/>
    </row>
    <row r="29" spans="2:17">
      <c r="B29" s="1179"/>
      <c r="C29" s="1179"/>
      <c r="D29" s="1179"/>
      <c r="E29" s="1180"/>
      <c r="F29" s="1180"/>
      <c r="G29" s="1179"/>
      <c r="H29" s="1180"/>
      <c r="I29" s="1181"/>
      <c r="J29" s="1182"/>
      <c r="K29" s="1182"/>
      <c r="L29" s="1183"/>
      <c r="M29" s="574"/>
      <c r="N29" s="574"/>
      <c r="P29" s="552"/>
      <c r="Q29" s="531"/>
    </row>
    <row r="30" spans="2:17">
      <c r="B30" s="1179"/>
      <c r="C30" s="1179"/>
      <c r="D30" s="1179"/>
      <c r="E30" s="1180"/>
      <c r="F30" s="1180"/>
      <c r="G30" s="1179"/>
      <c r="H30" s="1180"/>
      <c r="I30" s="1181"/>
      <c r="J30" s="1182"/>
      <c r="K30" s="1182"/>
      <c r="L30" s="1183"/>
      <c r="M30" s="574"/>
      <c r="N30" s="574"/>
      <c r="P30" s="552"/>
      <c r="Q30" s="531"/>
    </row>
    <row r="31" spans="2:17">
      <c r="B31" s="1179"/>
      <c r="C31" s="1179"/>
      <c r="D31" s="1179"/>
      <c r="E31" s="1180"/>
      <c r="F31" s="1180"/>
      <c r="G31" s="1179"/>
      <c r="H31" s="1180"/>
      <c r="I31" s="1181"/>
      <c r="J31" s="1182"/>
      <c r="K31" s="1182"/>
      <c r="L31" s="1183"/>
      <c r="M31" s="574"/>
      <c r="N31" s="574"/>
      <c r="P31" s="552"/>
      <c r="Q31" s="531"/>
    </row>
    <row r="32" spans="2:17">
      <c r="E32" s="83"/>
      <c r="F32" s="83"/>
      <c r="H32" s="83"/>
      <c r="I32" s="573"/>
      <c r="J32" s="574"/>
      <c r="K32" s="574"/>
      <c r="L32" s="574"/>
      <c r="M32" s="574"/>
      <c r="N32" s="574"/>
      <c r="O32" s="574"/>
      <c r="P32" s="552"/>
      <c r="Q32" s="531"/>
    </row>
    <row r="33" spans="5:16">
      <c r="E33" s="83"/>
      <c r="F33" s="83"/>
      <c r="G33" s="83"/>
      <c r="H33" s="83"/>
      <c r="J33" s="574"/>
      <c r="K33" s="574"/>
      <c r="M33" s="574"/>
      <c r="N33" s="574"/>
      <c r="P33" s="552"/>
    </row>
    <row r="34" spans="5:16">
      <c r="E34" s="83"/>
      <c r="F34" s="83"/>
      <c r="G34" s="83"/>
      <c r="H34" s="83"/>
      <c r="J34" s="574"/>
      <c r="K34" s="574"/>
      <c r="M34" s="574"/>
      <c r="N34" s="574"/>
      <c r="P34" s="552"/>
    </row>
    <row r="35" spans="5:16">
      <c r="E35" s="83"/>
      <c r="F35" s="83"/>
      <c r="G35" s="83"/>
      <c r="H35" s="83"/>
      <c r="J35" s="574"/>
      <c r="K35" s="574"/>
      <c r="L35" s="574"/>
      <c r="M35" s="574"/>
      <c r="N35" s="574"/>
      <c r="O35" s="574"/>
      <c r="P35" s="552"/>
    </row>
    <row r="36" spans="5:16">
      <c r="E36" s="83"/>
      <c r="F36" s="83"/>
      <c r="G36" s="83"/>
      <c r="H36" s="83"/>
      <c r="J36" s="574"/>
      <c r="K36" s="574"/>
      <c r="M36" s="574"/>
      <c r="N36" s="574"/>
      <c r="P36" s="552"/>
    </row>
    <row r="37" spans="5:16">
      <c r="E37" s="83"/>
      <c r="F37" s="83"/>
      <c r="G37" s="83"/>
      <c r="H37" s="83"/>
      <c r="J37" s="574"/>
      <c r="K37" s="574"/>
      <c r="L37" s="574"/>
      <c r="M37" s="574"/>
      <c r="N37" s="574"/>
      <c r="O37" s="574"/>
      <c r="P37" s="552"/>
    </row>
    <row r="38" spans="5:16">
      <c r="E38" s="83"/>
      <c r="F38" s="83"/>
      <c r="G38" s="83"/>
      <c r="H38" s="83"/>
      <c r="J38" s="574"/>
      <c r="K38" s="574"/>
      <c r="M38" s="574"/>
      <c r="N38" s="574"/>
      <c r="P38" s="552"/>
    </row>
    <row r="39" spans="5:16">
      <c r="E39" s="83"/>
      <c r="F39" s="83"/>
      <c r="G39" s="83"/>
      <c r="H39" s="83"/>
      <c r="J39" s="574"/>
      <c r="K39" s="574"/>
      <c r="L39" s="574"/>
      <c r="M39" s="574"/>
      <c r="N39" s="574"/>
      <c r="O39" s="574"/>
      <c r="P39" s="552"/>
    </row>
  </sheetData>
  <mergeCells count="1">
    <mergeCell ref="A1:G1"/>
  </mergeCells>
  <conditionalFormatting sqref="F4:F15">
    <cfRule type="cellIs" dxfId="89" priority="1" stopIfTrue="1" operator="equal">
      <formula>"A"</formula>
    </cfRule>
    <cfRule type="cellIs" dxfId="88" priority="2" stopIfTrue="1" operator="equal">
      <formula>"F"</formula>
    </cfRule>
    <cfRule type="cellIs" dxfId="87"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N156"/>
  <sheetViews>
    <sheetView zoomScale="70" zoomScaleNormal="70" zoomScaleSheetLayoutView="130" workbookViewId="0">
      <selection activeCell="E19" sqref="E19"/>
    </sheetView>
  </sheetViews>
  <sheetFormatPr defaultColWidth="9.109375" defaultRowHeight="14.4"/>
  <cols>
    <col min="1" max="1" width="14.6640625" style="3" customWidth="1"/>
    <col min="2" max="2" width="63.33203125" style="3" customWidth="1"/>
    <col min="3" max="3" width="13.109375" style="3" bestFit="1" customWidth="1"/>
    <col min="4" max="4" width="19.33203125" style="3" bestFit="1" customWidth="1"/>
    <col min="5" max="6" width="11.6640625" style="3" customWidth="1"/>
    <col min="7" max="7" width="14.44140625" style="3" bestFit="1" customWidth="1"/>
    <col min="8" max="8" width="14.44140625" style="34" bestFit="1" customWidth="1"/>
    <col min="9" max="9" width="13.109375" style="3" customWidth="1"/>
    <col min="10" max="10" width="24" style="3" customWidth="1"/>
    <col min="11" max="11" width="9.6640625" style="3" bestFit="1" customWidth="1"/>
    <col min="12" max="13" width="10.5546875" style="3" bestFit="1" customWidth="1"/>
    <col min="14" max="16" width="9.6640625" style="3" bestFit="1" customWidth="1"/>
    <col min="17" max="17" width="11.5546875" style="3" bestFit="1" customWidth="1"/>
    <col min="18" max="21" width="9.88671875" style="3" bestFit="1" customWidth="1"/>
    <col min="22" max="27" width="9.6640625" style="3" bestFit="1" customWidth="1"/>
    <col min="28" max="68" width="9.88671875" style="3" bestFit="1" customWidth="1"/>
    <col min="69" max="88" width="9.44140625" style="3" bestFit="1" customWidth="1"/>
    <col min="89" max="97" width="9.33203125" style="3" bestFit="1" customWidth="1"/>
    <col min="98" max="119" width="10.109375" style="3" bestFit="1" customWidth="1"/>
    <col min="120" max="128" width="9.33203125" style="3" bestFit="1" customWidth="1"/>
    <col min="129" max="149" width="9.44140625" style="3" bestFit="1" customWidth="1"/>
    <col min="150" max="189" width="9.33203125" style="3" bestFit="1" customWidth="1"/>
    <col min="190" max="211" width="9.88671875" style="3" bestFit="1" customWidth="1"/>
    <col min="212" max="220" width="9.33203125" style="3" bestFit="1" customWidth="1"/>
    <col min="221" max="241" width="9.6640625" style="3" bestFit="1" customWidth="1"/>
    <col min="242" max="250" width="9.33203125" style="3" bestFit="1" customWidth="1"/>
    <col min="251" max="272" width="9.44140625" style="3" bestFit="1" customWidth="1"/>
    <col min="273" max="281" width="9.33203125" style="3" bestFit="1" customWidth="1"/>
    <col min="282" max="302" width="10" style="3" bestFit="1" customWidth="1"/>
    <col min="303" max="311" width="9.33203125" style="3" bestFit="1" customWidth="1"/>
    <col min="312" max="333" width="9.6640625" style="3" bestFit="1" customWidth="1"/>
    <col min="334" max="373" width="9.33203125" style="3" bestFit="1" customWidth="1"/>
    <col min="374" max="392" width="9.6640625" style="3" bestFit="1" customWidth="1"/>
    <col min="393" max="401" width="9.33203125" style="3" bestFit="1" customWidth="1"/>
    <col min="402" max="423" width="9.88671875" style="3" bestFit="1" customWidth="1"/>
    <col min="424" max="432" width="9.33203125" style="3" bestFit="1" customWidth="1"/>
    <col min="433" max="453" width="9.44140625" style="3" bestFit="1" customWidth="1"/>
    <col min="454" max="462" width="9.33203125" style="3" bestFit="1" customWidth="1"/>
    <col min="463" max="484" width="10.109375" style="3" bestFit="1" customWidth="1"/>
    <col min="485" max="493" width="9.33203125" style="3" bestFit="1" customWidth="1"/>
    <col min="494" max="514" width="9.44140625" style="3" bestFit="1" customWidth="1"/>
    <col min="515" max="554" width="9.33203125" style="3" bestFit="1" customWidth="1"/>
    <col min="555" max="576" width="9.88671875" style="3" bestFit="1" customWidth="1"/>
    <col min="577" max="585" width="9.33203125" style="3" bestFit="1" customWidth="1"/>
    <col min="586" max="606" width="9.6640625" style="3" bestFit="1" customWidth="1"/>
    <col min="607" max="615" width="9.33203125" style="3" bestFit="1" customWidth="1"/>
    <col min="616" max="637" width="9.44140625" style="3" bestFit="1" customWidth="1"/>
    <col min="638" max="646" width="9.33203125" style="3" bestFit="1" customWidth="1"/>
    <col min="647" max="667" width="10" style="3" bestFit="1" customWidth="1"/>
    <col min="668" max="676" width="9.33203125" style="3" bestFit="1" customWidth="1"/>
    <col min="677" max="681" width="9.6640625" style="3" bestFit="1" customWidth="1"/>
    <col min="682" max="682" width="11.44140625" style="3" bestFit="1" customWidth="1"/>
    <col min="683" max="683" width="9.109375" style="3"/>
    <col min="684" max="684" width="9.44140625" style="3" bestFit="1" customWidth="1"/>
    <col min="685" max="688" width="9.44140625" style="3" customWidth="1"/>
    <col min="689" max="689" width="11.44140625" style="567" bestFit="1" customWidth="1"/>
    <col min="690" max="690" width="9.33203125" style="567" bestFit="1" customWidth="1"/>
    <col min="691" max="691" width="9.109375" style="3"/>
    <col min="692" max="692" width="12.6640625" style="3" bestFit="1" customWidth="1"/>
    <col min="693" max="693" width="8.88671875" style="3" bestFit="1" customWidth="1"/>
    <col min="694" max="694" width="9.6640625" style="3" bestFit="1" customWidth="1"/>
    <col min="695" max="701" width="8.88671875" style="3" bestFit="1" customWidth="1"/>
    <col min="702" max="703" width="9.88671875" style="3" bestFit="1" customWidth="1"/>
    <col min="704" max="709" width="9.6640625" style="3" bestFit="1" customWidth="1"/>
    <col min="710" max="718" width="8.88671875" style="3" bestFit="1" customWidth="1"/>
    <col min="719" max="740" width="9.88671875" style="3" bestFit="1" customWidth="1"/>
    <col min="741" max="744" width="8.44140625" style="3" bestFit="1" customWidth="1"/>
    <col min="745" max="770" width="9.44140625" style="3" bestFit="1" customWidth="1"/>
    <col min="771" max="801" width="10.109375" style="3" bestFit="1" customWidth="1"/>
    <col min="802" max="831" width="9.44140625" style="3" bestFit="1" customWidth="1"/>
    <col min="832" max="862" width="8.88671875" style="3" bestFit="1" customWidth="1"/>
    <col min="863" max="893" width="9.88671875" style="3" bestFit="1" customWidth="1"/>
    <col min="894" max="923" width="9.6640625" style="3" bestFit="1" customWidth="1"/>
    <col min="924" max="954" width="9.44140625" style="3" bestFit="1" customWidth="1"/>
    <col min="955" max="984" width="10" style="3" bestFit="1" customWidth="1"/>
    <col min="985" max="1015" width="9.6640625" style="3" bestFit="1" customWidth="1"/>
    <col min="1016" max="1046" width="9.33203125" style="3" bestFit="1" customWidth="1"/>
    <col min="1047" max="1074" width="9.6640625" style="3" bestFit="1" customWidth="1"/>
    <col min="1075" max="1105" width="9.88671875" style="3" bestFit="1" customWidth="1"/>
    <col min="1106" max="1135" width="9.44140625" style="3" bestFit="1" customWidth="1"/>
    <col min="1136" max="1166" width="10.109375" style="3" bestFit="1" customWidth="1"/>
    <col min="1167" max="1196" width="9.44140625" style="3" bestFit="1" customWidth="1"/>
    <col min="1197" max="1227" width="8.88671875" style="3" bestFit="1" customWidth="1"/>
    <col min="1228" max="1258" width="9.88671875" style="3" bestFit="1" customWidth="1"/>
    <col min="1259" max="1288" width="9.6640625" style="3" bestFit="1" customWidth="1"/>
    <col min="1289" max="1319" width="9.44140625" style="3" bestFit="1" customWidth="1"/>
    <col min="1320" max="1349" width="10" style="3" bestFit="1" customWidth="1"/>
    <col min="1350" max="1365" width="9.6640625" style="3" bestFit="1" customWidth="1"/>
    <col min="1366" max="16384" width="9.109375" style="3"/>
  </cols>
  <sheetData>
    <row r="1" spans="1:690" s="6" customFormat="1" ht="39" customHeight="1">
      <c r="A1" s="951" t="s">
        <v>560</v>
      </c>
      <c r="B1" s="951" t="s">
        <v>561</v>
      </c>
      <c r="C1" s="951" t="s">
        <v>562</v>
      </c>
      <c r="D1" s="951" t="s">
        <v>563</v>
      </c>
      <c r="E1" s="951" t="s">
        <v>564</v>
      </c>
      <c r="F1" s="951" t="s">
        <v>565</v>
      </c>
      <c r="G1" s="951" t="s">
        <v>566</v>
      </c>
      <c r="H1" s="951" t="s">
        <v>56</v>
      </c>
      <c r="I1" s="951" t="s">
        <v>567</v>
      </c>
      <c r="J1" s="951" t="s">
        <v>568</v>
      </c>
      <c r="L1" s="12" t="s">
        <v>569</v>
      </c>
      <c r="ZM1" s="568"/>
      <c r="ZN1" s="568"/>
    </row>
    <row r="2" spans="1:690" ht="25.5" customHeight="1">
      <c r="A2" s="913" t="s">
        <v>921</v>
      </c>
      <c r="B2" s="1075" t="s">
        <v>922</v>
      </c>
      <c r="C2" s="913">
        <v>329706.66200000007</v>
      </c>
      <c r="D2" s="913" t="s">
        <v>237</v>
      </c>
      <c r="E2" s="913">
        <f>C2</f>
        <v>329706.66200000007</v>
      </c>
      <c r="F2" s="913">
        <f>C2</f>
        <v>329706.66200000007</v>
      </c>
      <c r="G2" s="913">
        <f>C2-F2</f>
        <v>0</v>
      </c>
      <c r="H2" s="768">
        <f t="shared" ref="H2:H3" si="0">F2-E2</f>
        <v>0</v>
      </c>
      <c r="I2" s="952">
        <f t="shared" ref="I2" si="1">H2/E2</f>
        <v>0</v>
      </c>
      <c r="J2" s="758"/>
      <c r="L2" s="659">
        <f>F2/C2</f>
        <v>1</v>
      </c>
      <c r="M2" s="647"/>
      <c r="N2" s="646"/>
    </row>
    <row r="3" spans="1:690" ht="25.5" customHeight="1">
      <c r="A3" s="913" t="s">
        <v>923</v>
      </c>
      <c r="B3" s="1075" t="s">
        <v>924</v>
      </c>
      <c r="C3" s="913">
        <v>718628.27</v>
      </c>
      <c r="D3" s="913" t="s">
        <v>237</v>
      </c>
      <c r="E3" s="913">
        <v>485631</v>
      </c>
      <c r="F3" s="913">
        <v>654314</v>
      </c>
      <c r="G3" s="913">
        <f t="shared" ref="G3" si="2">C3-F3</f>
        <v>64314.270000000019</v>
      </c>
      <c r="H3" s="768">
        <f t="shared" si="0"/>
        <v>168683</v>
      </c>
      <c r="I3" s="952">
        <f>H3/E3</f>
        <v>0.34734808939297535</v>
      </c>
      <c r="J3" s="758"/>
      <c r="L3" s="659">
        <f t="shared" ref="L3:L24" si="3">F3/C3</f>
        <v>0.91050411918807483</v>
      </c>
      <c r="M3" s="647"/>
      <c r="N3" s="646"/>
    </row>
    <row r="4" spans="1:690" ht="25.5" customHeight="1">
      <c r="A4" s="913" t="s">
        <v>925</v>
      </c>
      <c r="B4" s="1075" t="s">
        <v>926</v>
      </c>
      <c r="C4" s="913">
        <v>30811.51</v>
      </c>
      <c r="D4" s="913" t="s">
        <v>237</v>
      </c>
      <c r="E4" s="913">
        <f>C4*1</f>
        <v>30811.51</v>
      </c>
      <c r="F4" s="913">
        <f>C4</f>
        <v>30811.51</v>
      </c>
      <c r="G4" s="913">
        <f t="shared" ref="G4:G25" si="4">C4-F4</f>
        <v>0</v>
      </c>
      <c r="H4" s="768">
        <f t="shared" ref="H4:H24" si="5">F4-E4</f>
        <v>0</v>
      </c>
      <c r="I4" s="952">
        <f t="shared" ref="I4:I10" si="6">H4/E4</f>
        <v>0</v>
      </c>
      <c r="J4" s="758"/>
      <c r="L4" s="659">
        <f t="shared" si="3"/>
        <v>1</v>
      </c>
      <c r="M4" s="647"/>
      <c r="N4" s="646"/>
    </row>
    <row r="5" spans="1:690" ht="25.5" customHeight="1">
      <c r="A5" s="913" t="s">
        <v>927</v>
      </c>
      <c r="B5" s="1075" t="s">
        <v>928</v>
      </c>
      <c r="C5" s="913">
        <v>19162</v>
      </c>
      <c r="D5" s="913" t="s">
        <v>237</v>
      </c>
      <c r="E5" s="913">
        <f>C5*1</f>
        <v>19162</v>
      </c>
      <c r="F5" s="913">
        <f>C5*1</f>
        <v>19162</v>
      </c>
      <c r="G5" s="913">
        <f t="shared" ref="G5:G8" si="7">C5-F5</f>
        <v>0</v>
      </c>
      <c r="H5" s="768">
        <f t="shared" ref="H5:H8" si="8">F5-E5</f>
        <v>0</v>
      </c>
      <c r="I5" s="952">
        <f>H5/E5</f>
        <v>0</v>
      </c>
      <c r="J5" s="758"/>
      <c r="L5" s="659">
        <f t="shared" ref="L5:L7" si="9">F5/C5</f>
        <v>1</v>
      </c>
      <c r="M5" s="647"/>
      <c r="N5" s="646"/>
    </row>
    <row r="6" spans="1:690" ht="25.5" customHeight="1">
      <c r="A6" s="913" t="s">
        <v>929</v>
      </c>
      <c r="B6" s="1075" t="s">
        <v>930</v>
      </c>
      <c r="C6" s="913">
        <v>7129</v>
      </c>
      <c r="D6" s="913" t="s">
        <v>237</v>
      </c>
      <c r="E6" s="913">
        <v>5865</v>
      </c>
      <c r="F6" s="913">
        <f>C6*1</f>
        <v>7129</v>
      </c>
      <c r="G6" s="913">
        <f t="shared" si="7"/>
        <v>0</v>
      </c>
      <c r="H6" s="768">
        <f t="shared" si="8"/>
        <v>1264</v>
      </c>
      <c r="I6" s="952">
        <f>H6/E6</f>
        <v>0.21551577152600171</v>
      </c>
      <c r="J6" s="758"/>
      <c r="L6" s="659">
        <f t="shared" si="9"/>
        <v>1</v>
      </c>
      <c r="M6" s="647"/>
      <c r="N6" s="646"/>
    </row>
    <row r="7" spans="1:690" ht="25.5" customHeight="1">
      <c r="A7" s="913" t="s">
        <v>931</v>
      </c>
      <c r="B7" s="1075" t="s">
        <v>932</v>
      </c>
      <c r="C7" s="913">
        <v>4052</v>
      </c>
      <c r="D7" s="913" t="s">
        <v>237</v>
      </c>
      <c r="E7" s="913">
        <v>0</v>
      </c>
      <c r="F7" s="913">
        <v>4052</v>
      </c>
      <c r="G7" s="913">
        <f t="shared" si="7"/>
        <v>0</v>
      </c>
      <c r="H7" s="768">
        <f t="shared" si="8"/>
        <v>4052</v>
      </c>
      <c r="I7" s="952" t="e">
        <f>H7/E7</f>
        <v>#DIV/0!</v>
      </c>
      <c r="J7" s="758"/>
      <c r="L7" s="659">
        <f t="shared" si="9"/>
        <v>1</v>
      </c>
      <c r="M7" s="647"/>
      <c r="N7" s="646"/>
      <c r="O7" s="3">
        <f>0.7*C7</f>
        <v>2836.3999999999996</v>
      </c>
    </row>
    <row r="8" spans="1:690" ht="25.5" customHeight="1">
      <c r="A8" s="913" t="s">
        <v>933</v>
      </c>
      <c r="B8" s="1075" t="s">
        <v>934</v>
      </c>
      <c r="C8" s="913">
        <v>22496</v>
      </c>
      <c r="D8" s="913" t="s">
        <v>237</v>
      </c>
      <c r="E8" s="913">
        <v>20364</v>
      </c>
      <c r="F8" s="913">
        <v>22496</v>
      </c>
      <c r="G8" s="913">
        <f t="shared" si="7"/>
        <v>0</v>
      </c>
      <c r="H8" s="768">
        <f t="shared" si="8"/>
        <v>2132</v>
      </c>
      <c r="I8" s="952">
        <f t="shared" ref="I8" si="10">H8/E8</f>
        <v>0.10469455902573169</v>
      </c>
      <c r="J8" s="758"/>
      <c r="L8" s="659">
        <f>F8/C8</f>
        <v>1</v>
      </c>
      <c r="M8" s="647"/>
      <c r="N8" s="646"/>
    </row>
    <row r="9" spans="1:690" ht="25.5" customHeight="1">
      <c r="A9" s="913" t="s">
        <v>935</v>
      </c>
      <c r="B9" s="1075" t="s">
        <v>936</v>
      </c>
      <c r="C9" s="913">
        <v>12677.13</v>
      </c>
      <c r="D9" s="913" t="s">
        <v>238</v>
      </c>
      <c r="E9" s="913">
        <v>11245</v>
      </c>
      <c r="F9" s="913">
        <v>12677.13</v>
      </c>
      <c r="G9" s="913">
        <f t="shared" si="4"/>
        <v>0</v>
      </c>
      <c r="H9" s="768">
        <f t="shared" si="5"/>
        <v>1432.1299999999992</v>
      </c>
      <c r="I9" s="952">
        <f t="shared" si="6"/>
        <v>0.12735704757670069</v>
      </c>
      <c r="J9" s="758"/>
      <c r="L9" s="659">
        <f t="shared" si="3"/>
        <v>1</v>
      </c>
      <c r="M9" s="647"/>
      <c r="N9" s="646"/>
    </row>
    <row r="10" spans="1:690" ht="25.5" customHeight="1">
      <c r="A10" s="913" t="s">
        <v>938</v>
      </c>
      <c r="B10" s="1075" t="s">
        <v>939</v>
      </c>
      <c r="C10" s="913">
        <v>5632</v>
      </c>
      <c r="D10" s="913" t="s">
        <v>238</v>
      </c>
      <c r="E10" s="913">
        <v>4260</v>
      </c>
      <c r="F10" s="913">
        <v>5632</v>
      </c>
      <c r="G10" s="913">
        <f t="shared" si="4"/>
        <v>0</v>
      </c>
      <c r="H10" s="768">
        <f t="shared" si="5"/>
        <v>1372</v>
      </c>
      <c r="I10" s="952">
        <f t="shared" si="6"/>
        <v>0.32206572769953051</v>
      </c>
      <c r="J10" s="758"/>
      <c r="L10" s="659">
        <f t="shared" si="3"/>
        <v>1</v>
      </c>
      <c r="M10" s="647"/>
      <c r="N10" s="646"/>
    </row>
    <row r="11" spans="1:690" ht="25.5" customHeight="1">
      <c r="A11" s="913" t="s">
        <v>941</v>
      </c>
      <c r="B11" s="1075" t="s">
        <v>942</v>
      </c>
      <c r="C11" s="913">
        <v>1</v>
      </c>
      <c r="D11" s="913" t="s">
        <v>233</v>
      </c>
      <c r="E11" s="913">
        <v>0</v>
      </c>
      <c r="F11" s="913">
        <v>0</v>
      </c>
      <c r="G11" s="913">
        <f t="shared" si="4"/>
        <v>1</v>
      </c>
      <c r="H11" s="768">
        <f t="shared" si="5"/>
        <v>0</v>
      </c>
      <c r="I11" s="952" t="e">
        <f>H11/E11</f>
        <v>#DIV/0!</v>
      </c>
      <c r="J11" s="758"/>
      <c r="L11" s="659">
        <f>F11/C11</f>
        <v>0</v>
      </c>
      <c r="M11" s="647"/>
      <c r="N11" s="646"/>
    </row>
    <row r="12" spans="1:690" ht="25.5" customHeight="1">
      <c r="A12" s="913" t="s">
        <v>943</v>
      </c>
      <c r="B12" s="1075" t="s">
        <v>944</v>
      </c>
      <c r="C12" s="913">
        <v>1</v>
      </c>
      <c r="D12" s="913" t="s">
        <v>233</v>
      </c>
      <c r="E12" s="913">
        <v>0</v>
      </c>
      <c r="F12" s="913">
        <v>0</v>
      </c>
      <c r="G12" s="913">
        <f t="shared" si="4"/>
        <v>1</v>
      </c>
      <c r="H12" s="768">
        <f t="shared" si="5"/>
        <v>0</v>
      </c>
      <c r="I12" s="952" t="e">
        <f>H12/E12</f>
        <v>#DIV/0!</v>
      </c>
      <c r="J12" s="758"/>
      <c r="L12" s="659">
        <f t="shared" si="3"/>
        <v>0</v>
      </c>
      <c r="M12" s="647"/>
      <c r="N12" s="646"/>
    </row>
    <row r="13" spans="1:690" ht="25.5" customHeight="1">
      <c r="A13" s="913" t="s">
        <v>945</v>
      </c>
      <c r="B13" s="1075" t="s">
        <v>946</v>
      </c>
      <c r="C13" s="913">
        <v>3</v>
      </c>
      <c r="D13" s="913" t="s">
        <v>233</v>
      </c>
      <c r="E13" s="913">
        <v>0</v>
      </c>
      <c r="F13" s="913">
        <v>3</v>
      </c>
      <c r="G13" s="913">
        <f t="shared" si="4"/>
        <v>0</v>
      </c>
      <c r="H13" s="768">
        <f t="shared" si="5"/>
        <v>3</v>
      </c>
      <c r="I13" s="952" t="e">
        <f t="shared" ref="I13:I17" si="11">H13/E13</f>
        <v>#DIV/0!</v>
      </c>
      <c r="J13" s="758"/>
      <c r="L13" s="659">
        <f t="shared" si="3"/>
        <v>1</v>
      </c>
      <c r="M13" s="647"/>
      <c r="N13" s="646"/>
    </row>
    <row r="14" spans="1:690" ht="25.5" customHeight="1">
      <c r="A14" s="913" t="s">
        <v>940</v>
      </c>
      <c r="B14" s="1075" t="s">
        <v>947</v>
      </c>
      <c r="C14" s="913">
        <v>6457</v>
      </c>
      <c r="D14" s="913" t="s">
        <v>239</v>
      </c>
      <c r="E14" s="913">
        <v>4453</v>
      </c>
      <c r="F14" s="913">
        <v>6457</v>
      </c>
      <c r="G14" s="913">
        <f t="shared" si="4"/>
        <v>0</v>
      </c>
      <c r="H14" s="768">
        <f t="shared" si="5"/>
        <v>2004</v>
      </c>
      <c r="I14" s="952">
        <f t="shared" si="11"/>
        <v>0.45003368515607456</v>
      </c>
      <c r="J14" s="758"/>
      <c r="L14" s="659">
        <f t="shared" si="3"/>
        <v>1</v>
      </c>
      <c r="M14" s="647"/>
      <c r="N14" s="646"/>
    </row>
    <row r="15" spans="1:690" ht="25.5" customHeight="1">
      <c r="A15" s="913" t="s">
        <v>948</v>
      </c>
      <c r="B15" s="1075" t="s">
        <v>949</v>
      </c>
      <c r="C15" s="913">
        <v>256</v>
      </c>
      <c r="D15" s="913" t="s">
        <v>233</v>
      </c>
      <c r="E15" s="913">
        <v>185</v>
      </c>
      <c r="F15" s="913">
        <v>256</v>
      </c>
      <c r="G15" s="913">
        <f t="shared" si="4"/>
        <v>0</v>
      </c>
      <c r="H15" s="768">
        <f t="shared" si="5"/>
        <v>71</v>
      </c>
      <c r="I15" s="952">
        <f>H15/E15</f>
        <v>0.38378378378378381</v>
      </c>
      <c r="J15" s="758"/>
      <c r="L15" s="659">
        <f t="shared" si="3"/>
        <v>1</v>
      </c>
      <c r="M15" s="647"/>
      <c r="N15" s="646"/>
    </row>
    <row r="16" spans="1:690" ht="25.5" customHeight="1">
      <c r="A16" s="913" t="s">
        <v>950</v>
      </c>
      <c r="B16" s="1075" t="s">
        <v>951</v>
      </c>
      <c r="C16" s="913">
        <v>2</v>
      </c>
      <c r="D16" s="913" t="s">
        <v>233</v>
      </c>
      <c r="E16" s="913">
        <v>2</v>
      </c>
      <c r="F16" s="913">
        <v>2</v>
      </c>
      <c r="G16" s="913">
        <f t="shared" si="4"/>
        <v>0</v>
      </c>
      <c r="H16" s="768">
        <f t="shared" si="5"/>
        <v>0</v>
      </c>
      <c r="I16" s="952">
        <f t="shared" si="11"/>
        <v>0</v>
      </c>
      <c r="J16" s="758"/>
      <c r="L16" s="659">
        <f t="shared" si="3"/>
        <v>1</v>
      </c>
      <c r="M16" s="647"/>
      <c r="N16" s="646"/>
    </row>
    <row r="17" spans="1:22" ht="25.5" customHeight="1">
      <c r="A17" s="913" t="s">
        <v>952</v>
      </c>
      <c r="B17" s="1075" t="s">
        <v>953</v>
      </c>
      <c r="C17" s="913">
        <v>1</v>
      </c>
      <c r="D17" s="913" t="s">
        <v>233</v>
      </c>
      <c r="E17" s="913">
        <v>1</v>
      </c>
      <c r="F17" s="913">
        <v>1</v>
      </c>
      <c r="G17" s="913">
        <f t="shared" si="4"/>
        <v>0</v>
      </c>
      <c r="H17" s="768">
        <f t="shared" si="5"/>
        <v>0</v>
      </c>
      <c r="I17" s="952">
        <f t="shared" si="11"/>
        <v>0</v>
      </c>
      <c r="J17" s="758"/>
      <c r="L17" s="659">
        <f t="shared" si="3"/>
        <v>1</v>
      </c>
      <c r="M17" s="647"/>
      <c r="N17" s="646"/>
    </row>
    <row r="18" spans="1:22" ht="25.5" customHeight="1">
      <c r="A18" s="913" t="s">
        <v>937</v>
      </c>
      <c r="B18" s="1075" t="s">
        <v>954</v>
      </c>
      <c r="C18" s="913">
        <v>6424</v>
      </c>
      <c r="D18" s="913" t="s">
        <v>239</v>
      </c>
      <c r="E18" s="913">
        <v>5562</v>
      </c>
      <c r="F18" s="913">
        <v>6424</v>
      </c>
      <c r="G18" s="913">
        <f t="shared" si="4"/>
        <v>0</v>
      </c>
      <c r="H18" s="768">
        <f t="shared" si="5"/>
        <v>862</v>
      </c>
      <c r="I18" s="952">
        <f>H18/E18</f>
        <v>0.154980222941388</v>
      </c>
      <c r="J18" s="758"/>
      <c r="L18" s="659">
        <f t="shared" si="3"/>
        <v>1</v>
      </c>
      <c r="M18" s="647"/>
      <c r="N18" s="646"/>
      <c r="V18" s="3">
        <v>6424</v>
      </c>
    </row>
    <row r="19" spans="1:22" ht="25.5" customHeight="1">
      <c r="A19" s="913" t="s">
        <v>955</v>
      </c>
      <c r="B19" s="1075" t="s">
        <v>956</v>
      </c>
      <c r="C19" s="913">
        <v>4604</v>
      </c>
      <c r="D19" s="913" t="s">
        <v>239</v>
      </c>
      <c r="E19" s="913">
        <v>3835</v>
      </c>
      <c r="F19" s="913">
        <v>4604</v>
      </c>
      <c r="G19" s="913">
        <f t="shared" si="4"/>
        <v>0</v>
      </c>
      <c r="H19" s="768">
        <f t="shared" si="5"/>
        <v>769</v>
      </c>
      <c r="I19" s="952">
        <f t="shared" ref="I19:I23" si="12">H19/E19</f>
        <v>0.20052151238591917</v>
      </c>
      <c r="J19" s="758"/>
      <c r="L19" s="659">
        <f t="shared" si="3"/>
        <v>1</v>
      </c>
      <c r="M19" s="647"/>
      <c r="N19" s="646"/>
      <c r="V19" s="3">
        <v>4604</v>
      </c>
    </row>
    <row r="20" spans="1:22" ht="25.5" customHeight="1">
      <c r="A20" s="913" t="s">
        <v>957</v>
      </c>
      <c r="B20" s="1075" t="s">
        <v>1100</v>
      </c>
      <c r="C20" s="913">
        <v>4025</v>
      </c>
      <c r="D20" s="913" t="s">
        <v>239</v>
      </c>
      <c r="E20" s="913">
        <v>3864</v>
      </c>
      <c r="F20" s="913">
        <v>4025</v>
      </c>
      <c r="G20" s="913">
        <f>C20-F20</f>
        <v>0</v>
      </c>
      <c r="H20" s="768">
        <f t="shared" si="5"/>
        <v>161</v>
      </c>
      <c r="I20" s="952">
        <f t="shared" si="12"/>
        <v>4.1666666666666664E-2</v>
      </c>
      <c r="J20" s="758"/>
      <c r="L20" s="659">
        <f t="shared" si="3"/>
        <v>1</v>
      </c>
      <c r="M20" s="647"/>
      <c r="N20" s="646"/>
    </row>
    <row r="21" spans="1:22" ht="25.5" customHeight="1">
      <c r="A21" s="913" t="s">
        <v>959</v>
      </c>
      <c r="B21" s="1075" t="s">
        <v>1101</v>
      </c>
      <c r="C21" s="913">
        <v>4209</v>
      </c>
      <c r="D21" s="913" t="s">
        <v>239</v>
      </c>
      <c r="E21" s="913">
        <v>4209</v>
      </c>
      <c r="F21" s="913">
        <v>4209</v>
      </c>
      <c r="G21" s="913">
        <f t="shared" si="4"/>
        <v>0</v>
      </c>
      <c r="H21" s="768">
        <f t="shared" si="5"/>
        <v>0</v>
      </c>
      <c r="I21" s="952">
        <f t="shared" si="12"/>
        <v>0</v>
      </c>
      <c r="J21" s="758"/>
      <c r="L21" s="659">
        <f t="shared" si="3"/>
        <v>1</v>
      </c>
      <c r="M21" s="647"/>
      <c r="N21" s="646"/>
    </row>
    <row r="22" spans="1:22" ht="25.5" customHeight="1">
      <c r="A22" s="1076" t="s">
        <v>920</v>
      </c>
      <c r="B22" s="1077" t="s">
        <v>1109</v>
      </c>
      <c r="C22" s="1076">
        <v>77</v>
      </c>
      <c r="D22" s="1076" t="s">
        <v>240</v>
      </c>
      <c r="E22" s="1076">
        <v>77</v>
      </c>
      <c r="F22" s="1076">
        <v>77</v>
      </c>
      <c r="G22" s="1076">
        <f t="shared" si="4"/>
        <v>0</v>
      </c>
      <c r="H22" s="1078">
        <f t="shared" si="5"/>
        <v>0</v>
      </c>
      <c r="I22" s="1079">
        <f>H22/E22</f>
        <v>0</v>
      </c>
      <c r="J22" s="1080"/>
      <c r="L22" s="659">
        <f t="shared" si="3"/>
        <v>1</v>
      </c>
      <c r="M22" s="647"/>
      <c r="N22" s="646"/>
    </row>
    <row r="23" spans="1:22" ht="25.5" customHeight="1">
      <c r="A23" s="913" t="s">
        <v>960</v>
      </c>
      <c r="B23" s="1075" t="s">
        <v>1102</v>
      </c>
      <c r="C23" s="913">
        <v>2735</v>
      </c>
      <c r="D23" s="913" t="s">
        <v>239</v>
      </c>
      <c r="E23" s="913">
        <v>2735</v>
      </c>
      <c r="F23" s="913">
        <v>2735</v>
      </c>
      <c r="G23" s="913">
        <f>C23-F23</f>
        <v>0</v>
      </c>
      <c r="H23" s="768">
        <f t="shared" si="5"/>
        <v>0</v>
      </c>
      <c r="I23" s="952">
        <f t="shared" si="12"/>
        <v>0</v>
      </c>
      <c r="J23" s="758"/>
      <c r="L23" s="659">
        <f t="shared" si="3"/>
        <v>1</v>
      </c>
      <c r="M23" s="647"/>
      <c r="N23" s="646"/>
    </row>
    <row r="24" spans="1:22" ht="25.5" customHeight="1">
      <c r="A24" s="913" t="s">
        <v>961</v>
      </c>
      <c r="B24" s="1075" t="s">
        <v>1103</v>
      </c>
      <c r="C24" s="913">
        <v>45</v>
      </c>
      <c r="D24" s="913" t="s">
        <v>240</v>
      </c>
      <c r="E24" s="913">
        <v>45</v>
      </c>
      <c r="F24" s="913">
        <v>45</v>
      </c>
      <c r="G24" s="913">
        <f t="shared" si="4"/>
        <v>0</v>
      </c>
      <c r="H24" s="768">
        <f t="shared" si="5"/>
        <v>0</v>
      </c>
      <c r="I24" s="952">
        <f>H24/E24</f>
        <v>0</v>
      </c>
      <c r="J24" s="758"/>
      <c r="L24" s="659">
        <f t="shared" si="3"/>
        <v>1</v>
      </c>
      <c r="M24" s="647"/>
      <c r="N24" s="646"/>
    </row>
    <row r="25" spans="1:22" ht="25.5" customHeight="1">
      <c r="A25" s="913" t="s">
        <v>962</v>
      </c>
      <c r="B25" s="1075" t="s">
        <v>1104</v>
      </c>
      <c r="C25" s="913">
        <v>3971</v>
      </c>
      <c r="D25" s="913" t="s">
        <v>239</v>
      </c>
      <c r="E25" s="913">
        <v>3971</v>
      </c>
      <c r="F25" s="913">
        <v>3971</v>
      </c>
      <c r="G25" s="913">
        <f t="shared" si="4"/>
        <v>0</v>
      </c>
      <c r="H25" s="768">
        <f t="shared" ref="H25:H52" si="13">F25-E25</f>
        <v>0</v>
      </c>
      <c r="I25" s="952">
        <f t="shared" ref="I25:I39" si="14">H25/E25</f>
        <v>0</v>
      </c>
      <c r="J25" s="758"/>
      <c r="L25" s="659">
        <f t="shared" ref="L25:L39" si="15">F25/C25</f>
        <v>1</v>
      </c>
      <c r="M25" s="647"/>
      <c r="N25" s="1081"/>
    </row>
    <row r="26" spans="1:22" ht="25.5" customHeight="1">
      <c r="A26" s="913" t="s">
        <v>919</v>
      </c>
      <c r="B26" s="1075" t="s">
        <v>1105</v>
      </c>
      <c r="C26" s="913">
        <v>42</v>
      </c>
      <c r="D26" s="913" t="s">
        <v>240</v>
      </c>
      <c r="E26" s="913">
        <v>42</v>
      </c>
      <c r="F26" s="913">
        <v>42</v>
      </c>
      <c r="G26" s="913">
        <f t="shared" ref="G26:G48" si="16">C26-F26</f>
        <v>0</v>
      </c>
      <c r="H26" s="768">
        <f t="shared" si="13"/>
        <v>0</v>
      </c>
      <c r="I26" s="952">
        <f t="shared" si="14"/>
        <v>0</v>
      </c>
      <c r="J26" s="758"/>
      <c r="L26" s="659">
        <f t="shared" si="15"/>
        <v>1</v>
      </c>
      <c r="M26" s="647"/>
      <c r="N26" s="646"/>
    </row>
    <row r="27" spans="1:22" ht="25.5" customHeight="1">
      <c r="A27" s="913" t="s">
        <v>919</v>
      </c>
      <c r="B27" s="1075" t="s">
        <v>1106</v>
      </c>
      <c r="C27" s="913">
        <v>77</v>
      </c>
      <c r="D27" s="913" t="s">
        <v>240</v>
      </c>
      <c r="E27" s="913">
        <v>77</v>
      </c>
      <c r="F27" s="913">
        <v>77</v>
      </c>
      <c r="G27" s="913">
        <f t="shared" si="16"/>
        <v>0</v>
      </c>
      <c r="H27" s="768">
        <f>F27-E27</f>
        <v>0</v>
      </c>
      <c r="I27" s="952">
        <f t="shared" si="14"/>
        <v>0</v>
      </c>
      <c r="J27" s="758"/>
      <c r="L27" s="659">
        <f t="shared" si="15"/>
        <v>1</v>
      </c>
      <c r="M27" s="647"/>
      <c r="N27" s="646"/>
    </row>
    <row r="28" spans="1:22" ht="25.5" customHeight="1">
      <c r="A28" s="913" t="s">
        <v>963</v>
      </c>
      <c r="B28" s="1075" t="s">
        <v>964</v>
      </c>
      <c r="C28" s="913">
        <v>2</v>
      </c>
      <c r="D28" s="913" t="s">
        <v>240</v>
      </c>
      <c r="E28" s="913">
        <v>0</v>
      </c>
      <c r="F28" s="913">
        <v>0</v>
      </c>
      <c r="G28" s="913">
        <f t="shared" si="16"/>
        <v>2</v>
      </c>
      <c r="H28" s="768">
        <f t="shared" si="13"/>
        <v>0</v>
      </c>
      <c r="I28" s="952" t="e">
        <f t="shared" si="14"/>
        <v>#DIV/0!</v>
      </c>
      <c r="J28" s="758"/>
      <c r="L28" s="659">
        <f t="shared" si="15"/>
        <v>0</v>
      </c>
      <c r="M28" s="647"/>
      <c r="N28" s="646"/>
    </row>
    <row r="29" spans="1:22" ht="25.5" customHeight="1">
      <c r="A29" s="913" t="s">
        <v>965</v>
      </c>
      <c r="B29" s="1075" t="s">
        <v>966</v>
      </c>
      <c r="C29" s="913">
        <v>1</v>
      </c>
      <c r="D29" s="913" t="s">
        <v>1107</v>
      </c>
      <c r="E29" s="913">
        <v>1</v>
      </c>
      <c r="F29" s="913">
        <v>1</v>
      </c>
      <c r="G29" s="913">
        <f t="shared" si="16"/>
        <v>0</v>
      </c>
      <c r="H29" s="768">
        <f t="shared" si="13"/>
        <v>0</v>
      </c>
      <c r="I29" s="952">
        <f t="shared" si="14"/>
        <v>0</v>
      </c>
      <c r="J29" s="758"/>
      <c r="L29" s="659">
        <f t="shared" si="15"/>
        <v>1</v>
      </c>
      <c r="M29" s="647"/>
      <c r="N29" s="646"/>
    </row>
    <row r="30" spans="1:22" ht="25.5" customHeight="1">
      <c r="A30" s="913" t="s">
        <v>967</v>
      </c>
      <c r="B30" s="1075" t="s">
        <v>968</v>
      </c>
      <c r="C30" s="913">
        <v>1</v>
      </c>
      <c r="D30" s="913" t="s">
        <v>240</v>
      </c>
      <c r="E30" s="913">
        <v>0</v>
      </c>
      <c r="F30" s="913">
        <v>1</v>
      </c>
      <c r="G30" s="913">
        <f t="shared" si="16"/>
        <v>0</v>
      </c>
      <c r="H30" s="768">
        <f t="shared" si="13"/>
        <v>1</v>
      </c>
      <c r="I30" s="952" t="e">
        <f t="shared" si="14"/>
        <v>#DIV/0!</v>
      </c>
      <c r="J30" s="758"/>
      <c r="L30" s="659">
        <f t="shared" si="15"/>
        <v>1</v>
      </c>
      <c r="M30" s="647"/>
      <c r="N30" s="646"/>
    </row>
    <row r="31" spans="1:22" ht="25.5" customHeight="1">
      <c r="A31" s="913" t="s">
        <v>972</v>
      </c>
      <c r="B31" s="1075" t="s">
        <v>973</v>
      </c>
      <c r="C31" s="913">
        <v>1</v>
      </c>
      <c r="D31" s="913" t="s">
        <v>1108</v>
      </c>
      <c r="E31" s="913">
        <v>0</v>
      </c>
      <c r="F31" s="913">
        <v>1</v>
      </c>
      <c r="G31" s="913">
        <f t="shared" si="16"/>
        <v>0</v>
      </c>
      <c r="H31" s="768">
        <f t="shared" si="13"/>
        <v>1</v>
      </c>
      <c r="I31" s="952" t="e">
        <f t="shared" si="14"/>
        <v>#DIV/0!</v>
      </c>
      <c r="J31" s="758"/>
      <c r="L31" s="659">
        <f t="shared" si="15"/>
        <v>1</v>
      </c>
      <c r="M31" s="647"/>
      <c r="N31" s="646"/>
    </row>
    <row r="32" spans="1:22" ht="25.5" customHeight="1">
      <c r="A32" s="913" t="s">
        <v>974</v>
      </c>
      <c r="B32" s="1075" t="s">
        <v>975</v>
      </c>
      <c r="C32" s="913">
        <v>1</v>
      </c>
      <c r="D32" s="913" t="s">
        <v>1108</v>
      </c>
      <c r="E32" s="913">
        <v>0</v>
      </c>
      <c r="F32" s="913">
        <v>1</v>
      </c>
      <c r="G32" s="913">
        <f t="shared" si="16"/>
        <v>0</v>
      </c>
      <c r="H32" s="768">
        <f t="shared" si="13"/>
        <v>1</v>
      </c>
      <c r="I32" s="952" t="e">
        <f t="shared" si="14"/>
        <v>#DIV/0!</v>
      </c>
      <c r="J32" s="758"/>
      <c r="L32" s="659">
        <f t="shared" si="15"/>
        <v>1</v>
      </c>
      <c r="M32" s="647"/>
      <c r="N32" s="646"/>
    </row>
    <row r="33" spans="1:14" ht="25.5" customHeight="1">
      <c r="A33" s="913" t="s">
        <v>976</v>
      </c>
      <c r="B33" s="1075" t="s">
        <v>977</v>
      </c>
      <c r="C33" s="913">
        <v>1</v>
      </c>
      <c r="D33" s="913" t="s">
        <v>242</v>
      </c>
      <c r="E33" s="913">
        <v>0</v>
      </c>
      <c r="F33" s="913">
        <v>0</v>
      </c>
      <c r="G33" s="913">
        <f t="shared" si="16"/>
        <v>1</v>
      </c>
      <c r="H33" s="768">
        <f t="shared" si="13"/>
        <v>0</v>
      </c>
      <c r="I33" s="952" t="e">
        <f t="shared" si="14"/>
        <v>#DIV/0!</v>
      </c>
      <c r="J33" s="758"/>
      <c r="L33" s="659">
        <f t="shared" si="15"/>
        <v>0</v>
      </c>
      <c r="M33" s="647"/>
      <c r="N33" s="646"/>
    </row>
    <row r="34" spans="1:14" ht="25.5" customHeight="1">
      <c r="A34" s="913" t="s">
        <v>978</v>
      </c>
      <c r="B34" s="1075" t="s">
        <v>979</v>
      </c>
      <c r="C34" s="913">
        <v>1</v>
      </c>
      <c r="D34" s="913" t="s">
        <v>242</v>
      </c>
      <c r="E34" s="913">
        <v>0</v>
      </c>
      <c r="F34" s="913">
        <v>0</v>
      </c>
      <c r="G34" s="913">
        <f t="shared" si="16"/>
        <v>1</v>
      </c>
      <c r="H34" s="768">
        <f t="shared" si="13"/>
        <v>0</v>
      </c>
      <c r="I34" s="952" t="e">
        <f t="shared" si="14"/>
        <v>#DIV/0!</v>
      </c>
      <c r="J34" s="758"/>
      <c r="L34" s="659">
        <f t="shared" si="15"/>
        <v>0</v>
      </c>
      <c r="M34" s="647"/>
      <c r="N34" s="646"/>
    </row>
    <row r="35" spans="1:14" ht="25.5" customHeight="1">
      <c r="A35" s="913" t="s">
        <v>980</v>
      </c>
      <c r="B35" s="1075" t="s">
        <v>981</v>
      </c>
      <c r="C35" s="913">
        <v>1</v>
      </c>
      <c r="D35" s="913" t="s">
        <v>240</v>
      </c>
      <c r="E35" s="913">
        <v>0</v>
      </c>
      <c r="F35" s="913">
        <v>0</v>
      </c>
      <c r="G35" s="913">
        <f t="shared" si="16"/>
        <v>1</v>
      </c>
      <c r="H35" s="768">
        <f t="shared" si="13"/>
        <v>0</v>
      </c>
      <c r="I35" s="952" t="e">
        <f t="shared" si="14"/>
        <v>#DIV/0!</v>
      </c>
      <c r="J35" s="758"/>
      <c r="L35" s="659">
        <f t="shared" si="15"/>
        <v>0</v>
      </c>
      <c r="M35" s="647"/>
      <c r="N35" s="646"/>
    </row>
    <row r="36" spans="1:14" ht="25.5" customHeight="1">
      <c r="A36" s="913" t="s">
        <v>982</v>
      </c>
      <c r="B36" s="1075" t="s">
        <v>983</v>
      </c>
      <c r="C36" s="913">
        <v>1</v>
      </c>
      <c r="D36" s="913" t="s">
        <v>240</v>
      </c>
      <c r="E36" s="913">
        <v>0</v>
      </c>
      <c r="F36" s="913">
        <v>0</v>
      </c>
      <c r="G36" s="913">
        <f t="shared" si="16"/>
        <v>1</v>
      </c>
      <c r="H36" s="768">
        <f t="shared" si="13"/>
        <v>0</v>
      </c>
      <c r="I36" s="952" t="e">
        <f t="shared" si="14"/>
        <v>#DIV/0!</v>
      </c>
      <c r="J36" s="758"/>
      <c r="L36" s="659">
        <f t="shared" si="15"/>
        <v>0</v>
      </c>
      <c r="M36" s="647"/>
      <c r="N36" s="646"/>
    </row>
    <row r="37" spans="1:14" ht="25.5" customHeight="1">
      <c r="A37" s="913" t="s">
        <v>984</v>
      </c>
      <c r="B37" s="1075" t="s">
        <v>985</v>
      </c>
      <c r="C37" s="913">
        <v>1</v>
      </c>
      <c r="D37" s="913" t="s">
        <v>240</v>
      </c>
      <c r="E37" s="913">
        <v>0</v>
      </c>
      <c r="F37" s="913">
        <v>0</v>
      </c>
      <c r="G37" s="913">
        <f t="shared" si="16"/>
        <v>1</v>
      </c>
      <c r="H37" s="768">
        <f t="shared" si="13"/>
        <v>0</v>
      </c>
      <c r="I37" s="952" t="e">
        <f t="shared" si="14"/>
        <v>#DIV/0!</v>
      </c>
      <c r="J37" s="758"/>
      <c r="L37" s="659">
        <f t="shared" si="15"/>
        <v>0</v>
      </c>
      <c r="M37" s="647"/>
      <c r="N37" s="646"/>
    </row>
    <row r="38" spans="1:14" ht="25.5" customHeight="1">
      <c r="A38" s="913" t="s">
        <v>986</v>
      </c>
      <c r="B38" s="1075" t="s">
        <v>987</v>
      </c>
      <c r="C38" s="913">
        <v>1</v>
      </c>
      <c r="D38" s="913" t="s">
        <v>240</v>
      </c>
      <c r="E38" s="913">
        <v>0</v>
      </c>
      <c r="F38" s="913">
        <v>1</v>
      </c>
      <c r="G38" s="913">
        <f t="shared" si="16"/>
        <v>0</v>
      </c>
      <c r="H38" s="768">
        <f t="shared" si="13"/>
        <v>1</v>
      </c>
      <c r="I38" s="952" t="e">
        <f>H38/E38</f>
        <v>#DIV/0!</v>
      </c>
      <c r="J38" s="758"/>
      <c r="L38" s="659">
        <f t="shared" si="15"/>
        <v>1</v>
      </c>
      <c r="M38" s="647"/>
      <c r="N38" s="646"/>
    </row>
    <row r="39" spans="1:14" ht="25.5" customHeight="1">
      <c r="A39" s="913" t="s">
        <v>988</v>
      </c>
      <c r="B39" s="1075" t="s">
        <v>989</v>
      </c>
      <c r="C39" s="913">
        <v>1</v>
      </c>
      <c r="D39" s="913" t="s">
        <v>242</v>
      </c>
      <c r="E39" s="913">
        <v>0</v>
      </c>
      <c r="F39" s="913">
        <v>1</v>
      </c>
      <c r="G39" s="913">
        <f>C39-F39</f>
        <v>0</v>
      </c>
      <c r="H39" s="768">
        <f>F39-E39</f>
        <v>1</v>
      </c>
      <c r="I39" s="952" t="e">
        <f t="shared" si="14"/>
        <v>#DIV/0!</v>
      </c>
      <c r="J39" s="758"/>
      <c r="L39" s="659">
        <f t="shared" si="15"/>
        <v>1</v>
      </c>
      <c r="M39" s="647"/>
      <c r="N39" s="646"/>
    </row>
    <row r="40" spans="1:14" ht="25.5" customHeight="1">
      <c r="A40" s="913" t="s">
        <v>990</v>
      </c>
      <c r="B40" s="1075" t="s">
        <v>991</v>
      </c>
      <c r="C40" s="913">
        <v>1</v>
      </c>
      <c r="D40" s="913" t="s">
        <v>242</v>
      </c>
      <c r="E40" s="913">
        <v>0</v>
      </c>
      <c r="F40" s="913">
        <v>0</v>
      </c>
      <c r="G40" s="913">
        <f>C40-F40</f>
        <v>1</v>
      </c>
      <c r="H40" s="768">
        <f t="shared" si="13"/>
        <v>0</v>
      </c>
      <c r="I40" s="952" t="e">
        <f t="shared" ref="I40:I52" si="17">H40/E40</f>
        <v>#DIV/0!</v>
      </c>
      <c r="J40" s="758"/>
      <c r="L40" s="659">
        <f t="shared" ref="L40:L52" si="18">F40/C40</f>
        <v>0</v>
      </c>
      <c r="M40" s="647"/>
      <c r="N40" s="646"/>
    </row>
    <row r="41" spans="1:14" ht="25.5" customHeight="1">
      <c r="A41" s="913" t="s">
        <v>992</v>
      </c>
      <c r="B41" s="1075" t="s">
        <v>993</v>
      </c>
      <c r="C41" s="913">
        <v>1</v>
      </c>
      <c r="D41" s="913" t="s">
        <v>1107</v>
      </c>
      <c r="E41" s="913">
        <v>0</v>
      </c>
      <c r="F41" s="913">
        <v>0</v>
      </c>
      <c r="G41" s="913">
        <f t="shared" si="16"/>
        <v>1</v>
      </c>
      <c r="H41" s="768">
        <f t="shared" si="13"/>
        <v>0</v>
      </c>
      <c r="I41" s="952" t="e">
        <f>H41/E41</f>
        <v>#DIV/0!</v>
      </c>
      <c r="J41" s="758"/>
      <c r="L41" s="659">
        <f t="shared" si="18"/>
        <v>0</v>
      </c>
      <c r="M41" s="647"/>
      <c r="N41" s="646"/>
    </row>
    <row r="42" spans="1:14" ht="25.5" customHeight="1">
      <c r="A42" s="913" t="s">
        <v>994</v>
      </c>
      <c r="B42" s="1075" t="s">
        <v>995</v>
      </c>
      <c r="C42" s="913">
        <v>20</v>
      </c>
      <c r="D42" s="913" t="s">
        <v>239</v>
      </c>
      <c r="E42" s="913">
        <v>0</v>
      </c>
      <c r="F42" s="913">
        <v>0</v>
      </c>
      <c r="G42" s="913">
        <f t="shared" si="16"/>
        <v>20</v>
      </c>
      <c r="H42" s="768">
        <f t="shared" si="13"/>
        <v>0</v>
      </c>
      <c r="I42" s="952" t="e">
        <f t="shared" si="17"/>
        <v>#DIV/0!</v>
      </c>
      <c r="J42" s="758"/>
      <c r="L42" s="659">
        <f t="shared" si="18"/>
        <v>0</v>
      </c>
      <c r="M42" s="647"/>
      <c r="N42" s="646"/>
    </row>
    <row r="43" spans="1:14" ht="25.5" customHeight="1">
      <c r="A43" s="913" t="s">
        <v>996</v>
      </c>
      <c r="B43" s="1075" t="s">
        <v>997</v>
      </c>
      <c r="C43" s="913">
        <v>7</v>
      </c>
      <c r="D43" s="913" t="s">
        <v>240</v>
      </c>
      <c r="E43" s="913">
        <v>0</v>
      </c>
      <c r="F43" s="913">
        <v>0</v>
      </c>
      <c r="G43" s="913">
        <f t="shared" si="16"/>
        <v>7</v>
      </c>
      <c r="H43" s="768">
        <f t="shared" si="13"/>
        <v>0</v>
      </c>
      <c r="I43" s="952" t="e">
        <f t="shared" si="17"/>
        <v>#DIV/0!</v>
      </c>
      <c r="J43" s="758"/>
      <c r="L43" s="659">
        <f t="shared" si="18"/>
        <v>0</v>
      </c>
      <c r="M43" s="647"/>
      <c r="N43" s="646"/>
    </row>
    <row r="44" spans="1:14" ht="25.5" customHeight="1">
      <c r="A44" s="913" t="s">
        <v>998</v>
      </c>
      <c r="B44" s="1075" t="s">
        <v>999</v>
      </c>
      <c r="C44" s="913">
        <v>1</v>
      </c>
      <c r="D44" s="913" t="s">
        <v>241</v>
      </c>
      <c r="E44" s="913">
        <v>0</v>
      </c>
      <c r="F44" s="913">
        <v>0</v>
      </c>
      <c r="G44" s="913">
        <f t="shared" si="16"/>
        <v>1</v>
      </c>
      <c r="H44" s="768">
        <f t="shared" si="13"/>
        <v>0</v>
      </c>
      <c r="I44" s="952" t="e">
        <f t="shared" si="17"/>
        <v>#DIV/0!</v>
      </c>
      <c r="J44" s="758"/>
      <c r="L44" s="659">
        <f t="shared" si="18"/>
        <v>0</v>
      </c>
      <c r="M44" s="647"/>
      <c r="N44" s="646"/>
    </row>
    <row r="45" spans="1:14" ht="25.5" customHeight="1">
      <c r="A45" s="913"/>
      <c r="B45" s="1075"/>
      <c r="C45" s="913"/>
      <c r="D45" s="913"/>
      <c r="E45" s="913"/>
      <c r="F45" s="913"/>
      <c r="G45" s="913">
        <f t="shared" si="16"/>
        <v>0</v>
      </c>
      <c r="H45" s="768">
        <f t="shared" si="13"/>
        <v>0</v>
      </c>
      <c r="I45" s="952" t="e">
        <f>H45/E45</f>
        <v>#DIV/0!</v>
      </c>
      <c r="J45" s="758"/>
      <c r="L45" s="659" t="e">
        <f t="shared" si="18"/>
        <v>#DIV/0!</v>
      </c>
      <c r="M45" s="647"/>
      <c r="N45" s="646"/>
    </row>
    <row r="46" spans="1:14" ht="25.5" customHeight="1">
      <c r="A46" s="913"/>
      <c r="B46" s="1075"/>
      <c r="C46" s="913"/>
      <c r="D46" s="913"/>
      <c r="E46" s="913"/>
      <c r="F46" s="913"/>
      <c r="G46" s="913">
        <f>C46-F46</f>
        <v>0</v>
      </c>
      <c r="H46" s="768">
        <f t="shared" si="13"/>
        <v>0</v>
      </c>
      <c r="I46" s="952" t="e">
        <f t="shared" si="17"/>
        <v>#DIV/0!</v>
      </c>
      <c r="J46" s="758"/>
      <c r="L46" s="659" t="e">
        <f t="shared" si="18"/>
        <v>#DIV/0!</v>
      </c>
      <c r="M46" s="647"/>
      <c r="N46" s="646"/>
    </row>
    <row r="47" spans="1:14" ht="25.5" customHeight="1">
      <c r="A47" s="913"/>
      <c r="B47" s="1075"/>
      <c r="C47" s="913"/>
      <c r="D47" s="913"/>
      <c r="E47" s="913"/>
      <c r="F47" s="913"/>
      <c r="G47" s="913">
        <f t="shared" si="16"/>
        <v>0</v>
      </c>
      <c r="H47" s="768">
        <f t="shared" si="13"/>
        <v>0</v>
      </c>
      <c r="I47" s="952" t="e">
        <f t="shared" si="17"/>
        <v>#DIV/0!</v>
      </c>
      <c r="J47" s="758"/>
      <c r="L47" s="659" t="e">
        <f t="shared" si="18"/>
        <v>#DIV/0!</v>
      </c>
      <c r="M47" s="647"/>
      <c r="N47" s="646"/>
    </row>
    <row r="48" spans="1:14" ht="25.5" customHeight="1">
      <c r="A48" s="913"/>
      <c r="B48" s="1075"/>
      <c r="C48" s="913"/>
      <c r="D48" s="913"/>
      <c r="E48" s="913"/>
      <c r="F48" s="913"/>
      <c r="G48" s="913">
        <f t="shared" si="16"/>
        <v>0</v>
      </c>
      <c r="H48" s="768">
        <f t="shared" si="13"/>
        <v>0</v>
      </c>
      <c r="I48" s="952" t="e">
        <f t="shared" si="17"/>
        <v>#DIV/0!</v>
      </c>
      <c r="J48" s="758"/>
      <c r="L48" s="659" t="e">
        <f t="shared" si="18"/>
        <v>#DIV/0!</v>
      </c>
      <c r="M48" s="647"/>
      <c r="N48" s="646"/>
    </row>
    <row r="49" spans="1:14" ht="25.5" customHeight="1">
      <c r="A49" s="913"/>
      <c r="B49" s="1075"/>
      <c r="C49" s="913"/>
      <c r="D49" s="913"/>
      <c r="E49" s="913"/>
      <c r="F49" s="913"/>
      <c r="G49" s="913">
        <f>C49-F49</f>
        <v>0</v>
      </c>
      <c r="H49" s="768">
        <f t="shared" si="13"/>
        <v>0</v>
      </c>
      <c r="I49" s="952" t="e">
        <f t="shared" si="17"/>
        <v>#DIV/0!</v>
      </c>
      <c r="J49" s="758"/>
      <c r="L49" s="659" t="e">
        <f t="shared" si="18"/>
        <v>#DIV/0!</v>
      </c>
      <c r="M49" s="647"/>
      <c r="N49" s="646"/>
    </row>
    <row r="50" spans="1:14" ht="25.5" customHeight="1">
      <c r="A50" s="913"/>
      <c r="B50" s="1075"/>
      <c r="C50" s="913"/>
      <c r="D50" s="913"/>
      <c r="E50" s="913"/>
      <c r="F50" s="913"/>
      <c r="G50" s="913">
        <f t="shared" ref="G50:G52" si="19">C50-F50</f>
        <v>0</v>
      </c>
      <c r="H50" s="768">
        <f t="shared" si="13"/>
        <v>0</v>
      </c>
      <c r="I50" s="952" t="e">
        <f>H50/E50</f>
        <v>#DIV/0!</v>
      </c>
      <c r="J50" s="758"/>
      <c r="L50" s="659" t="e">
        <f t="shared" si="18"/>
        <v>#DIV/0!</v>
      </c>
      <c r="M50" s="647"/>
      <c r="N50" s="646"/>
    </row>
    <row r="51" spans="1:14" ht="25.5" customHeight="1">
      <c r="A51" s="913"/>
      <c r="B51" s="1075"/>
      <c r="C51" s="913"/>
      <c r="D51" s="913"/>
      <c r="E51" s="913"/>
      <c r="F51" s="913"/>
      <c r="G51" s="913">
        <f t="shared" si="19"/>
        <v>0</v>
      </c>
      <c r="H51" s="768">
        <f t="shared" si="13"/>
        <v>0</v>
      </c>
      <c r="I51" s="952" t="e">
        <f t="shared" si="17"/>
        <v>#DIV/0!</v>
      </c>
      <c r="J51" s="758"/>
      <c r="L51" s="659" t="e">
        <f t="shared" si="18"/>
        <v>#DIV/0!</v>
      </c>
      <c r="M51" s="647"/>
      <c r="N51" s="646"/>
    </row>
    <row r="52" spans="1:14" ht="25.5" customHeight="1">
      <c r="A52" s="913"/>
      <c r="B52" s="1075"/>
      <c r="C52" s="913"/>
      <c r="D52" s="913"/>
      <c r="E52" s="913"/>
      <c r="F52" s="913"/>
      <c r="G52" s="913">
        <f t="shared" si="19"/>
        <v>0</v>
      </c>
      <c r="H52" s="768">
        <f t="shared" si="13"/>
        <v>0</v>
      </c>
      <c r="I52" s="952" t="e">
        <f t="shared" si="17"/>
        <v>#DIV/0!</v>
      </c>
      <c r="J52" s="758"/>
      <c r="L52" s="659" t="e">
        <f t="shared" si="18"/>
        <v>#DIV/0!</v>
      </c>
      <c r="M52" s="647"/>
      <c r="N52" s="646"/>
    </row>
    <row r="53" spans="1:14">
      <c r="G53" s="569"/>
      <c r="H53" s="920"/>
    </row>
    <row r="54" spans="1:14">
      <c r="G54" s="569"/>
      <c r="H54" s="920"/>
    </row>
    <row r="55" spans="1:14">
      <c r="G55" s="569"/>
      <c r="H55" s="920"/>
    </row>
    <row r="56" spans="1:14">
      <c r="G56" s="569"/>
      <c r="H56" s="920"/>
    </row>
    <row r="57" spans="1:14">
      <c r="G57" s="569"/>
      <c r="H57" s="920"/>
      <c r="J57" s="1192">
        <v>46349</v>
      </c>
    </row>
    <row r="58" spans="1:14">
      <c r="G58" s="569"/>
      <c r="H58" s="920"/>
      <c r="J58" s="1192">
        <v>45985</v>
      </c>
      <c r="K58" s="3">
        <f>J57-J58+1</f>
        <v>365</v>
      </c>
    </row>
    <row r="59" spans="1:14">
      <c r="G59" s="569"/>
      <c r="H59" s="920"/>
      <c r="J59" s="1192">
        <v>46196</v>
      </c>
      <c r="K59" s="3">
        <f>J57-J59+1</f>
        <v>154</v>
      </c>
    </row>
    <row r="60" spans="1:14">
      <c r="G60" s="569"/>
      <c r="H60" s="920"/>
      <c r="K60" s="1193">
        <f>K59/K58</f>
        <v>0.42191780821917807</v>
      </c>
    </row>
    <row r="61" spans="1:14">
      <c r="G61" s="569"/>
      <c r="H61" s="920"/>
    </row>
    <row r="62" spans="1:14">
      <c r="G62" s="569"/>
    </row>
    <row r="63" spans="1:14">
      <c r="G63" s="569"/>
    </row>
    <row r="64" spans="1:14">
      <c r="G64" s="569"/>
    </row>
    <row r="65" spans="7:7">
      <c r="G65" s="569"/>
    </row>
    <row r="66" spans="7:7">
      <c r="G66" s="569"/>
    </row>
    <row r="67" spans="7:7">
      <c r="G67" s="569"/>
    </row>
    <row r="68" spans="7:7">
      <c r="G68" s="569"/>
    </row>
    <row r="69" spans="7:7">
      <c r="G69" s="569"/>
    </row>
    <row r="70" spans="7:7">
      <c r="G70" s="569"/>
    </row>
    <row r="71" spans="7:7">
      <c r="G71" s="569"/>
    </row>
    <row r="72" spans="7:7">
      <c r="G72" s="569"/>
    </row>
    <row r="73" spans="7:7">
      <c r="G73" s="569"/>
    </row>
    <row r="74" spans="7:7">
      <c r="G74" s="569"/>
    </row>
    <row r="75" spans="7:7">
      <c r="G75" s="569"/>
    </row>
    <row r="76" spans="7:7">
      <c r="G76" s="569"/>
    </row>
    <row r="77" spans="7:7">
      <c r="G77" s="569"/>
    </row>
    <row r="78" spans="7:7">
      <c r="G78" s="569"/>
    </row>
    <row r="79" spans="7:7">
      <c r="G79" s="569"/>
    </row>
    <row r="80" spans="7:7">
      <c r="G80" s="569"/>
    </row>
    <row r="81" spans="7:7">
      <c r="G81" s="569"/>
    </row>
    <row r="82" spans="7:7">
      <c r="G82" s="569"/>
    </row>
    <row r="83" spans="7:7">
      <c r="G83" s="569"/>
    </row>
    <row r="84" spans="7:7">
      <c r="G84" s="569"/>
    </row>
    <row r="85" spans="7:7">
      <c r="G85" s="569"/>
    </row>
    <row r="86" spans="7:7">
      <c r="G86" s="569"/>
    </row>
    <row r="87" spans="7:7">
      <c r="G87" s="569"/>
    </row>
    <row r="88" spans="7:7">
      <c r="G88" s="569"/>
    </row>
    <row r="89" spans="7:7">
      <c r="G89" s="569"/>
    </row>
    <row r="90" spans="7:7">
      <c r="G90" s="569"/>
    </row>
    <row r="91" spans="7:7">
      <c r="G91" s="569"/>
    </row>
    <row r="92" spans="7:7">
      <c r="G92" s="569"/>
    </row>
    <row r="93" spans="7:7">
      <c r="G93" s="569"/>
    </row>
    <row r="94" spans="7:7">
      <c r="G94" s="569"/>
    </row>
    <row r="95" spans="7:7">
      <c r="G95" s="569"/>
    </row>
    <row r="96" spans="7:7">
      <c r="G96" s="569"/>
    </row>
    <row r="97" spans="7:7">
      <c r="G97" s="569"/>
    </row>
    <row r="98" spans="7:7">
      <c r="G98" s="569"/>
    </row>
    <row r="99" spans="7:7">
      <c r="G99" s="569"/>
    </row>
    <row r="100" spans="7:7">
      <c r="G100" s="569"/>
    </row>
    <row r="101" spans="7:7">
      <c r="G101" s="569"/>
    </row>
    <row r="102" spans="7:7">
      <c r="G102" s="569"/>
    </row>
    <row r="103" spans="7:7">
      <c r="G103" s="569"/>
    </row>
    <row r="104" spans="7:7">
      <c r="G104" s="569"/>
    </row>
    <row r="105" spans="7:7">
      <c r="G105" s="569"/>
    </row>
    <row r="106" spans="7:7">
      <c r="G106" s="569"/>
    </row>
    <row r="107" spans="7:7">
      <c r="G107" s="569"/>
    </row>
    <row r="108" spans="7:7">
      <c r="G108" s="569"/>
    </row>
    <row r="109" spans="7:7">
      <c r="G109" s="569"/>
    </row>
    <row r="110" spans="7:7">
      <c r="G110" s="569"/>
    </row>
    <row r="111" spans="7:7">
      <c r="G111" s="569"/>
    </row>
    <row r="112" spans="7:7">
      <c r="G112" s="569"/>
    </row>
    <row r="113" spans="7:7">
      <c r="G113" s="569"/>
    </row>
    <row r="114" spans="7:7">
      <c r="G114" s="569"/>
    </row>
    <row r="115" spans="7:7">
      <c r="G115" s="569"/>
    </row>
    <row r="116" spans="7:7">
      <c r="G116" s="569"/>
    </row>
    <row r="117" spans="7:7">
      <c r="G117" s="569"/>
    </row>
    <row r="118" spans="7:7">
      <c r="G118" s="569"/>
    </row>
    <row r="119" spans="7:7">
      <c r="G119" s="569"/>
    </row>
    <row r="120" spans="7:7">
      <c r="G120" s="569"/>
    </row>
    <row r="121" spans="7:7">
      <c r="G121" s="569"/>
    </row>
    <row r="122" spans="7:7">
      <c r="G122" s="569"/>
    </row>
    <row r="123" spans="7:7">
      <c r="G123" s="569"/>
    </row>
    <row r="124" spans="7:7">
      <c r="G124" s="569"/>
    </row>
    <row r="125" spans="7:7">
      <c r="G125" s="569"/>
    </row>
    <row r="126" spans="7:7">
      <c r="G126" s="569"/>
    </row>
    <row r="127" spans="7:7">
      <c r="G127" s="569"/>
    </row>
    <row r="128" spans="7:7">
      <c r="G128" s="569"/>
    </row>
    <row r="129" spans="7:7">
      <c r="G129" s="569"/>
    </row>
    <row r="130" spans="7:7">
      <c r="G130" s="569"/>
    </row>
    <row r="131" spans="7:7">
      <c r="G131" s="569"/>
    </row>
    <row r="132" spans="7:7">
      <c r="G132" s="569"/>
    </row>
    <row r="133" spans="7:7">
      <c r="G133" s="569"/>
    </row>
    <row r="134" spans="7:7">
      <c r="G134" s="569"/>
    </row>
    <row r="135" spans="7:7">
      <c r="G135" s="569"/>
    </row>
    <row r="136" spans="7:7">
      <c r="G136" s="569"/>
    </row>
    <row r="137" spans="7:7">
      <c r="G137" s="569"/>
    </row>
    <row r="138" spans="7:7">
      <c r="G138" s="569"/>
    </row>
    <row r="139" spans="7:7">
      <c r="G139" s="569"/>
    </row>
    <row r="140" spans="7:7">
      <c r="G140" s="569"/>
    </row>
    <row r="141" spans="7:7">
      <c r="G141" s="569"/>
    </row>
    <row r="142" spans="7:7">
      <c r="G142" s="569"/>
    </row>
    <row r="143" spans="7:7">
      <c r="G143" s="569"/>
    </row>
    <row r="144" spans="7:7">
      <c r="G144" s="569"/>
    </row>
    <row r="145" spans="7:7">
      <c r="G145" s="569"/>
    </row>
    <row r="146" spans="7:7">
      <c r="G146" s="569"/>
    </row>
    <row r="147" spans="7:7">
      <c r="G147" s="569"/>
    </row>
    <row r="148" spans="7:7">
      <c r="G148" s="569"/>
    </row>
    <row r="149" spans="7:7">
      <c r="G149" s="569"/>
    </row>
    <row r="150" spans="7:7">
      <c r="G150" s="569"/>
    </row>
    <row r="151" spans="7:7">
      <c r="G151" s="569"/>
    </row>
    <row r="152" spans="7:7">
      <c r="G152" s="569"/>
    </row>
    <row r="153" spans="7:7">
      <c r="G153" s="569"/>
    </row>
    <row r="154" spans="7:7">
      <c r="G154" s="569"/>
    </row>
    <row r="155" spans="7:7">
      <c r="G155" s="569"/>
    </row>
    <row r="156" spans="7:7">
      <c r="G156" s="569"/>
    </row>
  </sheetData>
  <autoFilter ref="A1:ZN52" xr:uid="{00AC2A4D-2659-4D7B-AB6F-540C7D75B5A9}"/>
  <phoneticPr fontId="92" type="noConversion"/>
  <conditionalFormatting sqref="I2:I52">
    <cfRule type="cellIs" dxfId="86" priority="1" operator="lessThan">
      <formula>0</formula>
    </cfRule>
    <cfRule type="cellIs" dxfId="85"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G26" sqref="G26"/>
    </sheetView>
  </sheetViews>
  <sheetFormatPr defaultRowHeight="14.4"/>
  <cols>
    <col min="1" max="2" width="19.33203125" customWidth="1"/>
    <col min="3" max="3" width="59.33203125" customWidth="1"/>
    <col min="4" max="8" width="19.33203125" customWidth="1"/>
  </cols>
  <sheetData>
    <row r="1" spans="1:8">
      <c r="A1" s="1991" t="s">
        <v>577</v>
      </c>
      <c r="B1" s="1992"/>
      <c r="C1" s="1992"/>
      <c r="D1" s="1992"/>
      <c r="E1" s="1992"/>
      <c r="F1" s="1992"/>
      <c r="G1" s="1992"/>
      <c r="H1" s="1992"/>
    </row>
    <row r="2" spans="1:8">
      <c r="A2" s="67" t="s">
        <v>183</v>
      </c>
      <c r="B2" s="953" t="s">
        <v>184</v>
      </c>
      <c r="C2" s="954" t="s">
        <v>185</v>
      </c>
      <c r="D2" s="954" t="s">
        <v>50</v>
      </c>
      <c r="E2" s="954" t="s">
        <v>578</v>
      </c>
      <c r="F2" s="953" t="s">
        <v>187</v>
      </c>
      <c r="G2" s="955" t="s">
        <v>188</v>
      </c>
      <c r="H2" s="955" t="s">
        <v>579</v>
      </c>
    </row>
    <row r="3" spans="1:8" ht="45.45" customHeight="1">
      <c r="A3" s="68"/>
      <c r="B3" s="59"/>
      <c r="C3" s="60"/>
      <c r="D3" s="60"/>
      <c r="E3" s="61"/>
      <c r="F3" s="62"/>
      <c r="G3" s="74"/>
      <c r="H3" s="75"/>
    </row>
    <row r="4" spans="1:8">
      <c r="A4" s="76" t="s">
        <v>580</v>
      </c>
      <c r="B4" s="77" t="s">
        <v>580</v>
      </c>
      <c r="C4" s="78" t="s">
        <v>580</v>
      </c>
      <c r="D4" s="60"/>
      <c r="E4" s="79" t="s">
        <v>580</v>
      </c>
      <c r="F4" s="80" t="s">
        <v>580</v>
      </c>
      <c r="G4" s="81" t="s">
        <v>580</v>
      </c>
      <c r="H4" s="82" t="s">
        <v>580</v>
      </c>
    </row>
    <row r="5" spans="1:8">
      <c r="A5" s="68" t="s">
        <v>580</v>
      </c>
      <c r="B5" s="59" t="s">
        <v>580</v>
      </c>
      <c r="C5" s="60" t="s">
        <v>580</v>
      </c>
      <c r="D5" s="60"/>
      <c r="E5" s="61" t="s">
        <v>580</v>
      </c>
      <c r="F5" s="62" t="s">
        <v>580</v>
      </c>
      <c r="G5" s="72" t="s">
        <v>580</v>
      </c>
      <c r="H5" s="69" t="s">
        <v>580</v>
      </c>
    </row>
    <row r="6" spans="1:8">
      <c r="A6" s="68" t="s">
        <v>580</v>
      </c>
      <c r="B6" s="59" t="s">
        <v>580</v>
      </c>
      <c r="C6" s="60" t="s">
        <v>580</v>
      </c>
      <c r="D6" s="60"/>
      <c r="E6" s="61" t="s">
        <v>580</v>
      </c>
      <c r="F6" s="62" t="s">
        <v>580</v>
      </c>
      <c r="G6" s="72" t="s">
        <v>580</v>
      </c>
      <c r="H6" s="69" t="s">
        <v>580</v>
      </c>
    </row>
    <row r="7" spans="1:8">
      <c r="A7" s="68" t="s">
        <v>580</v>
      </c>
      <c r="B7" s="59" t="s">
        <v>580</v>
      </c>
      <c r="C7" s="60" t="s">
        <v>580</v>
      </c>
      <c r="D7" s="60"/>
      <c r="E7" s="61" t="s">
        <v>580</v>
      </c>
      <c r="F7" s="62" t="s">
        <v>580</v>
      </c>
      <c r="G7" s="72" t="s">
        <v>580</v>
      </c>
      <c r="H7" s="69" t="s">
        <v>580</v>
      </c>
    </row>
    <row r="8" spans="1:8">
      <c r="A8" s="70" t="s">
        <v>580</v>
      </c>
      <c r="B8" s="63" t="s">
        <v>580</v>
      </c>
      <c r="C8" s="64" t="s">
        <v>580</v>
      </c>
      <c r="D8" s="64"/>
      <c r="E8" s="65" t="s">
        <v>580</v>
      </c>
      <c r="F8" s="66" t="s">
        <v>580</v>
      </c>
      <c r="G8" s="73" t="s">
        <v>580</v>
      </c>
      <c r="H8" s="71" t="s">
        <v>580</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75F9-FCDE-43F1-9E47-8E00165928EC}">
  <dimension ref="A1:Z137"/>
  <sheetViews>
    <sheetView zoomScaleNormal="100" workbookViewId="0">
      <pane xSplit="4" ySplit="4" topLeftCell="V10" activePane="bottomRight" state="frozen"/>
      <selection pane="topRight" activeCell="E1" sqref="E1"/>
      <selection pane="bottomLeft" activeCell="A5" sqref="A5"/>
      <selection pane="bottomRight" activeCell="AE10" sqref="AE10"/>
    </sheetView>
  </sheetViews>
  <sheetFormatPr defaultColWidth="8.6640625" defaultRowHeight="14.4"/>
  <cols>
    <col min="1" max="1" width="9.6640625" style="1233" customWidth="1"/>
    <col min="2" max="2" width="17.88671875" style="1233" customWidth="1"/>
    <col min="3" max="3" width="20.5546875" style="1233" customWidth="1"/>
    <col min="4" max="4" width="42" style="1233" customWidth="1"/>
    <col min="5" max="5" width="8" style="1233" customWidth="1"/>
    <col min="6" max="6" width="9.33203125" style="1233" customWidth="1"/>
    <col min="7" max="7" width="14.33203125" style="1233" customWidth="1"/>
    <col min="8" max="8" width="11" style="1233" customWidth="1"/>
    <col min="9" max="9" width="18" style="1233" customWidth="1"/>
    <col min="10" max="10" width="24" style="1233" customWidth="1"/>
    <col min="11" max="11" width="15.44140625" style="1233" customWidth="1"/>
    <col min="12" max="12" width="14" style="1233" customWidth="1"/>
    <col min="13" max="13" width="16" style="1233" customWidth="1"/>
    <col min="14" max="14" width="30" style="1233" customWidth="1"/>
    <col min="15" max="15" width="52" style="1233" customWidth="1"/>
    <col min="16" max="16" width="34" style="1233" customWidth="1"/>
    <col min="17" max="18" width="14.33203125" style="1233" customWidth="1"/>
    <col min="19" max="19" width="15" style="1233" customWidth="1"/>
    <col min="20" max="20" width="10" style="1233" customWidth="1"/>
    <col min="21" max="21" width="46" style="1233" customWidth="1"/>
    <col min="22" max="22" width="13.44140625" style="1233" customWidth="1"/>
    <col min="23" max="23" width="12" style="1233" customWidth="1"/>
    <col min="24" max="24" width="13.33203125" style="1233" customWidth="1"/>
    <col min="25" max="25" width="30" style="1233" customWidth="1"/>
    <col min="26" max="26" width="11" style="1233" customWidth="1"/>
    <col min="27" max="16384" width="8.6640625" style="1233"/>
  </cols>
  <sheetData>
    <row r="1" spans="1:26" ht="21">
      <c r="A1" s="1993" t="s">
        <v>688</v>
      </c>
      <c r="B1" s="1993"/>
      <c r="C1" s="1993"/>
      <c r="D1" s="1993"/>
      <c r="E1" s="1993"/>
      <c r="F1" s="1993"/>
      <c r="G1" s="1993"/>
      <c r="H1" s="1993"/>
    </row>
    <row r="2" spans="1:26">
      <c r="A2" s="1994"/>
      <c r="B2" s="1994"/>
      <c r="C2" s="1994"/>
      <c r="D2" s="1994"/>
      <c r="E2" s="1994"/>
      <c r="F2" s="1994"/>
      <c r="G2" s="1994"/>
      <c r="H2" s="1994"/>
    </row>
    <row r="4" spans="1:26" ht="31.5" customHeight="1">
      <c r="A4" s="1295" t="s">
        <v>1342</v>
      </c>
      <c r="B4" s="1234" t="s">
        <v>1284</v>
      </c>
      <c r="C4" s="1234" t="s">
        <v>1285</v>
      </c>
      <c r="D4" s="1234" t="s">
        <v>30</v>
      </c>
      <c r="E4" s="1234" t="s">
        <v>572</v>
      </c>
      <c r="F4" s="1234" t="s">
        <v>571</v>
      </c>
      <c r="G4" s="1234" t="s">
        <v>1286</v>
      </c>
      <c r="H4" s="1234" t="s">
        <v>783</v>
      </c>
      <c r="I4" s="1234" t="s">
        <v>1287</v>
      </c>
      <c r="J4" s="1234" t="s">
        <v>1288</v>
      </c>
      <c r="K4" s="1234" t="s">
        <v>220</v>
      </c>
      <c r="L4" s="1234" t="s">
        <v>1289</v>
      </c>
      <c r="M4" s="1234" t="s">
        <v>114</v>
      </c>
      <c r="N4" s="1234" t="s">
        <v>1343</v>
      </c>
      <c r="O4" s="1234" t="s">
        <v>1291</v>
      </c>
      <c r="P4" s="1234" t="s">
        <v>1292</v>
      </c>
      <c r="Q4" s="1234" t="s">
        <v>1344</v>
      </c>
      <c r="R4" s="1234" t="s">
        <v>1345</v>
      </c>
      <c r="S4" s="1234" t="s">
        <v>1346</v>
      </c>
      <c r="T4" s="1234" t="s">
        <v>1347</v>
      </c>
      <c r="U4" s="1234" t="s">
        <v>1348</v>
      </c>
      <c r="V4" s="1234" t="s">
        <v>1349</v>
      </c>
      <c r="W4" s="1234" t="s">
        <v>50</v>
      </c>
      <c r="X4" s="1234" t="s">
        <v>1298</v>
      </c>
      <c r="Y4" s="1234" t="s">
        <v>1350</v>
      </c>
      <c r="Z4" s="1235" t="s">
        <v>1300</v>
      </c>
    </row>
    <row r="5" spans="1:26" ht="57">
      <c r="A5" s="1250">
        <v>1</v>
      </c>
      <c r="B5" s="1240"/>
      <c r="C5" s="1251" t="s">
        <v>836</v>
      </c>
      <c r="D5" s="1251" t="s">
        <v>1301</v>
      </c>
      <c r="E5" s="1251" t="s">
        <v>835</v>
      </c>
      <c r="F5" s="1251" t="s">
        <v>834</v>
      </c>
      <c r="G5" s="1241"/>
      <c r="H5" s="1241"/>
      <c r="I5" s="1251" t="s">
        <v>1302</v>
      </c>
      <c r="J5" s="1251" t="s">
        <v>1303</v>
      </c>
      <c r="K5" s="1236" t="s">
        <v>1304</v>
      </c>
      <c r="L5" s="1237">
        <v>65900000</v>
      </c>
      <c r="M5" s="1251" t="s">
        <v>1351</v>
      </c>
      <c r="N5" s="1251" t="s">
        <v>1352</v>
      </c>
      <c r="O5" s="1240" t="s">
        <v>1119</v>
      </c>
      <c r="P5" s="1240"/>
      <c r="Q5" s="1241" t="s">
        <v>1309</v>
      </c>
      <c r="R5" s="1241" t="s">
        <v>1309</v>
      </c>
      <c r="S5" s="1241">
        <f>Issuelog[[#This Row],[Severity (1-5)]]*Issuelog[[#This Row],[Urgency (1-5)]]</f>
        <v>16</v>
      </c>
      <c r="T5" s="1251" t="s">
        <v>576</v>
      </c>
      <c r="U5" s="1240" t="s">
        <v>1353</v>
      </c>
      <c r="V5" s="1243">
        <v>45992</v>
      </c>
      <c r="W5" s="1241" t="s">
        <v>111</v>
      </c>
      <c r="X5" s="1243">
        <v>46047</v>
      </c>
      <c r="Y5" s="1240" t="s">
        <v>1120</v>
      </c>
      <c r="Z5" s="1238"/>
    </row>
    <row r="6" spans="1:26" ht="68.400000000000006">
      <c r="A6" s="1250">
        <v>2</v>
      </c>
      <c r="B6" s="1240"/>
      <c r="C6" s="1251" t="s">
        <v>836</v>
      </c>
      <c r="D6" s="1251" t="s">
        <v>1301</v>
      </c>
      <c r="E6" s="1251" t="s">
        <v>835</v>
      </c>
      <c r="F6" s="1251" t="s">
        <v>834</v>
      </c>
      <c r="G6" s="1241"/>
      <c r="H6" s="1241"/>
      <c r="I6" s="1251" t="s">
        <v>1302</v>
      </c>
      <c r="J6" s="1251" t="s">
        <v>1303</v>
      </c>
      <c r="K6" s="1236" t="s">
        <v>1304</v>
      </c>
      <c r="L6" s="1237">
        <v>65900000</v>
      </c>
      <c r="M6" s="1251" t="s">
        <v>1354</v>
      </c>
      <c r="N6" s="1251" t="s">
        <v>1355</v>
      </c>
      <c r="O6" s="1240" t="s">
        <v>1114</v>
      </c>
      <c r="P6" s="1240"/>
      <c r="Q6" s="1241" t="s">
        <v>1309</v>
      </c>
      <c r="R6" s="1241" t="s">
        <v>1356</v>
      </c>
      <c r="S6" s="1241">
        <f>Issuelog[[#This Row],[Severity (1-5)]]*Issuelog[[#This Row],[Urgency (1-5)]]</f>
        <v>20</v>
      </c>
      <c r="T6" s="1251" t="s">
        <v>576</v>
      </c>
      <c r="U6" s="1240" t="s">
        <v>1357</v>
      </c>
      <c r="V6" s="1243">
        <v>46019</v>
      </c>
      <c r="W6" s="1241" t="s">
        <v>111</v>
      </c>
      <c r="X6" s="1243">
        <v>46047</v>
      </c>
      <c r="Y6" s="1240" t="s">
        <v>1115</v>
      </c>
      <c r="Z6" s="1238"/>
    </row>
    <row r="7" spans="1:26" ht="79.8">
      <c r="A7" s="1250">
        <v>3</v>
      </c>
      <c r="B7" s="1240"/>
      <c r="C7" s="1251" t="s">
        <v>836</v>
      </c>
      <c r="D7" s="1251" t="s">
        <v>1301</v>
      </c>
      <c r="E7" s="1251" t="s">
        <v>835</v>
      </c>
      <c r="F7" s="1251" t="s">
        <v>834</v>
      </c>
      <c r="G7" s="1241"/>
      <c r="H7" s="1241"/>
      <c r="I7" s="1251" t="s">
        <v>1302</v>
      </c>
      <c r="J7" s="1251" t="s">
        <v>1303</v>
      </c>
      <c r="K7" s="1236" t="s">
        <v>1304</v>
      </c>
      <c r="L7" s="1237">
        <v>65900000</v>
      </c>
      <c r="M7" s="1251" t="s">
        <v>1351</v>
      </c>
      <c r="N7" s="1251" t="s">
        <v>1358</v>
      </c>
      <c r="O7" s="1240" t="s">
        <v>1116</v>
      </c>
      <c r="P7" s="1240"/>
      <c r="Q7" s="1241" t="s">
        <v>1356</v>
      </c>
      <c r="R7" s="1241" t="s">
        <v>1309</v>
      </c>
      <c r="S7" s="1241">
        <f>Issuelog[[#This Row],[Severity (1-5)]]*Issuelog[[#This Row],[Urgency (1-5)]]</f>
        <v>20</v>
      </c>
      <c r="T7" s="1251" t="s">
        <v>576</v>
      </c>
      <c r="U7" s="1240" t="s">
        <v>1359</v>
      </c>
      <c r="V7" s="1243">
        <v>46019</v>
      </c>
      <c r="W7" s="1241" t="s">
        <v>111</v>
      </c>
      <c r="X7" s="1243">
        <v>46021</v>
      </c>
      <c r="Y7" s="1240" t="s">
        <v>1127</v>
      </c>
      <c r="Z7" s="1238"/>
    </row>
    <row r="8" spans="1:26" ht="102.6">
      <c r="A8" s="1250">
        <v>4</v>
      </c>
      <c r="B8" s="1240"/>
      <c r="C8" s="1251" t="s">
        <v>836</v>
      </c>
      <c r="D8" s="1251" t="s">
        <v>1301</v>
      </c>
      <c r="E8" s="1251" t="s">
        <v>835</v>
      </c>
      <c r="F8" s="1251" t="s">
        <v>834</v>
      </c>
      <c r="G8" s="1241"/>
      <c r="H8" s="1241"/>
      <c r="I8" s="1251" t="s">
        <v>1302</v>
      </c>
      <c r="J8" s="1251" t="s">
        <v>1303</v>
      </c>
      <c r="K8" s="1236" t="s">
        <v>1304</v>
      </c>
      <c r="L8" s="1237">
        <v>65900000</v>
      </c>
      <c r="M8" s="1251" t="s">
        <v>1351</v>
      </c>
      <c r="N8" s="1251" t="s">
        <v>1360</v>
      </c>
      <c r="O8" s="1240" t="s">
        <v>1117</v>
      </c>
      <c r="P8" s="1240"/>
      <c r="Q8" s="1241" t="s">
        <v>1361</v>
      </c>
      <c r="R8" s="1241" t="s">
        <v>1361</v>
      </c>
      <c r="S8" s="1241">
        <f>Issuelog[[#This Row],[Severity (1-5)]]*Issuelog[[#This Row],[Urgency (1-5)]]</f>
        <v>9</v>
      </c>
      <c r="T8" s="1251" t="s">
        <v>576</v>
      </c>
      <c r="U8" s="1240" t="s">
        <v>1362</v>
      </c>
      <c r="V8" s="1243">
        <v>46019</v>
      </c>
      <c r="W8" s="1241" t="s">
        <v>111</v>
      </c>
      <c r="X8" s="1243">
        <v>46047</v>
      </c>
      <c r="Y8" s="1240" t="s">
        <v>1118</v>
      </c>
      <c r="Z8" s="1238"/>
    </row>
    <row r="9" spans="1:26" ht="45.6">
      <c r="A9" s="1250">
        <v>5</v>
      </c>
      <c r="B9" s="1240"/>
      <c r="C9" s="1251" t="s">
        <v>836</v>
      </c>
      <c r="D9" s="1251" t="s">
        <v>1301</v>
      </c>
      <c r="E9" s="1251" t="s">
        <v>835</v>
      </c>
      <c r="F9" s="1251" t="s">
        <v>834</v>
      </c>
      <c r="G9" s="1241"/>
      <c r="H9" s="1241"/>
      <c r="I9" s="1251" t="s">
        <v>1302</v>
      </c>
      <c r="J9" s="1251" t="s">
        <v>1303</v>
      </c>
      <c r="K9" s="1236" t="s">
        <v>1304</v>
      </c>
      <c r="L9" s="1237">
        <v>65900000</v>
      </c>
      <c r="M9" s="1251" t="s">
        <v>1320</v>
      </c>
      <c r="N9" s="1251" t="s">
        <v>1363</v>
      </c>
      <c r="O9" s="1240" t="s">
        <v>1279</v>
      </c>
      <c r="P9" s="1240"/>
      <c r="Q9" s="1241" t="s">
        <v>1309</v>
      </c>
      <c r="R9" s="1241" t="s">
        <v>1361</v>
      </c>
      <c r="S9" s="1241">
        <f>Issuelog[[#This Row],[Severity (1-5)]]*Issuelog[[#This Row],[Urgency (1-5)]]</f>
        <v>12</v>
      </c>
      <c r="T9" s="1251" t="s">
        <v>576</v>
      </c>
      <c r="U9" s="1240" t="s">
        <v>1364</v>
      </c>
      <c r="V9" s="1243">
        <v>46021</v>
      </c>
      <c r="W9" s="1241" t="s">
        <v>111</v>
      </c>
      <c r="X9" s="1243">
        <v>46113</v>
      </c>
      <c r="Y9" s="1240" t="s">
        <v>1282</v>
      </c>
      <c r="Z9" s="1238"/>
    </row>
    <row r="10" spans="1:26" ht="57">
      <c r="A10" s="1250">
        <v>6</v>
      </c>
      <c r="B10" s="1240"/>
      <c r="C10" s="1251" t="s">
        <v>836</v>
      </c>
      <c r="D10" s="1251" t="s">
        <v>1301</v>
      </c>
      <c r="E10" s="1251" t="s">
        <v>835</v>
      </c>
      <c r="F10" s="1251" t="s">
        <v>834</v>
      </c>
      <c r="G10" s="1241"/>
      <c r="H10" s="1241"/>
      <c r="I10" s="1251" t="s">
        <v>1302</v>
      </c>
      <c r="J10" s="1251" t="s">
        <v>1303</v>
      </c>
      <c r="K10" s="1236" t="s">
        <v>1304</v>
      </c>
      <c r="L10" s="1237">
        <v>65900000</v>
      </c>
      <c r="M10" s="1251" t="s">
        <v>1354</v>
      </c>
      <c r="N10" s="1251" t="s">
        <v>1365</v>
      </c>
      <c r="O10" s="1240" t="s">
        <v>1189</v>
      </c>
      <c r="P10" s="1240"/>
      <c r="Q10" s="1241" t="s">
        <v>1356</v>
      </c>
      <c r="R10" s="1241" t="s">
        <v>1309</v>
      </c>
      <c r="S10" s="1241">
        <f>Issuelog[[#This Row],[Severity (1-5)]]*Issuelog[[#This Row],[Urgency (1-5)]]</f>
        <v>20</v>
      </c>
      <c r="T10" s="1251" t="s">
        <v>576</v>
      </c>
      <c r="U10" s="1240" t="s">
        <v>1366</v>
      </c>
      <c r="V10" s="1243">
        <v>46077</v>
      </c>
      <c r="W10" s="1241" t="s">
        <v>111</v>
      </c>
      <c r="X10" s="1243">
        <v>46142</v>
      </c>
      <c r="Y10" s="1240" t="s">
        <v>1190</v>
      </c>
      <c r="Z10" s="1238"/>
    </row>
    <row r="11" spans="1:26" ht="57">
      <c r="A11" s="1250">
        <v>7</v>
      </c>
      <c r="B11" s="1240"/>
      <c r="C11" s="1251" t="s">
        <v>836</v>
      </c>
      <c r="D11" s="1251" t="s">
        <v>1301</v>
      </c>
      <c r="E11" s="1251" t="s">
        <v>835</v>
      </c>
      <c r="F11" s="1251" t="s">
        <v>834</v>
      </c>
      <c r="G11" s="1241"/>
      <c r="H11" s="1241"/>
      <c r="I11" s="1251" t="s">
        <v>1302</v>
      </c>
      <c r="J11" s="1251" t="s">
        <v>1303</v>
      </c>
      <c r="K11" s="1236" t="s">
        <v>1304</v>
      </c>
      <c r="L11" s="1237">
        <v>65900000</v>
      </c>
      <c r="M11" s="1251" t="s">
        <v>1320</v>
      </c>
      <c r="N11" s="1251" t="s">
        <v>1367</v>
      </c>
      <c r="O11" s="1240" t="s">
        <v>1277</v>
      </c>
      <c r="P11" s="1240"/>
      <c r="Q11" s="1241" t="s">
        <v>1361</v>
      </c>
      <c r="R11" s="1241" t="s">
        <v>1361</v>
      </c>
      <c r="S11" s="1241">
        <f>Issuelog[[#This Row],[Severity (1-5)]]*Issuelog[[#This Row],[Urgency (1-5)]]</f>
        <v>9</v>
      </c>
      <c r="T11" s="1251" t="s">
        <v>574</v>
      </c>
      <c r="U11" s="1240" t="s">
        <v>1368</v>
      </c>
      <c r="V11" s="1243">
        <v>46136</v>
      </c>
      <c r="W11" s="1241" t="s">
        <v>111</v>
      </c>
      <c r="X11" s="1243">
        <v>46144</v>
      </c>
      <c r="Y11" s="1240" t="s">
        <v>1280</v>
      </c>
      <c r="Z11" s="1238"/>
    </row>
    <row r="12" spans="1:26" ht="57">
      <c r="A12" s="1250">
        <v>8</v>
      </c>
      <c r="B12" s="1240"/>
      <c r="C12" s="1251" t="s">
        <v>836</v>
      </c>
      <c r="D12" s="1251" t="s">
        <v>1301</v>
      </c>
      <c r="E12" s="1251" t="s">
        <v>835</v>
      </c>
      <c r="F12" s="1251" t="s">
        <v>834</v>
      </c>
      <c r="G12" s="1241"/>
      <c r="H12" s="1241"/>
      <c r="I12" s="1251" t="s">
        <v>1302</v>
      </c>
      <c r="J12" s="1251" t="s">
        <v>1303</v>
      </c>
      <c r="K12" s="1236" t="s">
        <v>1304</v>
      </c>
      <c r="L12" s="1237">
        <v>65900000</v>
      </c>
      <c r="M12" s="1251" t="s">
        <v>1320</v>
      </c>
      <c r="N12" s="1251" t="s">
        <v>1369</v>
      </c>
      <c r="O12" s="1240" t="s">
        <v>1278</v>
      </c>
      <c r="P12" s="1240"/>
      <c r="Q12" s="1241" t="s">
        <v>1361</v>
      </c>
      <c r="R12" s="1241" t="s">
        <v>1309</v>
      </c>
      <c r="S12" s="1241">
        <f>Issuelog[[#This Row],[Severity (1-5)]]*Issuelog[[#This Row],[Urgency (1-5)]]</f>
        <v>12</v>
      </c>
      <c r="T12" s="1251" t="s">
        <v>576</v>
      </c>
      <c r="U12" s="1240" t="s">
        <v>1370</v>
      </c>
      <c r="V12" s="1243">
        <v>46242</v>
      </c>
      <c r="W12" s="1241" t="s">
        <v>111</v>
      </c>
      <c r="X12" s="1243">
        <v>46249</v>
      </c>
      <c r="Y12" s="1240" t="s">
        <v>1281</v>
      </c>
      <c r="Z12" s="1238"/>
    </row>
    <row r="13" spans="1:26">
      <c r="A13" s="1239"/>
      <c r="B13" s="1240"/>
      <c r="C13" s="1240"/>
      <c r="D13" s="1240"/>
      <c r="E13" s="1241"/>
      <c r="F13" s="1241"/>
      <c r="G13" s="1241"/>
      <c r="H13" s="1241"/>
      <c r="I13" s="1240"/>
      <c r="J13" s="1240"/>
      <c r="K13" s="1240"/>
      <c r="L13" s="1242"/>
      <c r="M13" s="1240"/>
      <c r="N13" s="1240"/>
      <c r="O13" s="1240"/>
      <c r="P13" s="1240"/>
      <c r="Q13" s="1241"/>
      <c r="R13" s="1241"/>
      <c r="S13" s="1241"/>
      <c r="T13" s="1241" t="s">
        <v>677</v>
      </c>
      <c r="U13" s="1240"/>
      <c r="V13" s="1243"/>
      <c r="W13" s="1241"/>
      <c r="X13" s="1243"/>
      <c r="Y13" s="1240"/>
      <c r="Z13" s="1238"/>
    </row>
    <row r="14" spans="1:26">
      <c r="A14" s="1239"/>
      <c r="B14" s="1240"/>
      <c r="C14" s="1240"/>
      <c r="D14" s="1240"/>
      <c r="E14" s="1241"/>
      <c r="F14" s="1241"/>
      <c r="G14" s="1241"/>
      <c r="H14" s="1241"/>
      <c r="I14" s="1240"/>
      <c r="J14" s="1240"/>
      <c r="K14" s="1240"/>
      <c r="L14" s="1242"/>
      <c r="M14" s="1240"/>
      <c r="N14" s="1240"/>
      <c r="O14" s="1240"/>
      <c r="P14" s="1240"/>
      <c r="Q14" s="1241"/>
      <c r="R14" s="1241"/>
      <c r="S14" s="1241"/>
      <c r="T14" s="1241"/>
      <c r="U14" s="1240"/>
      <c r="V14" s="1243"/>
      <c r="W14" s="1241"/>
      <c r="X14" s="1243"/>
      <c r="Y14" s="1240"/>
      <c r="Z14" s="1238"/>
    </row>
    <row r="15" spans="1:26">
      <c r="A15" s="1239"/>
      <c r="B15" s="1240"/>
      <c r="C15" s="1240"/>
      <c r="D15" s="1240"/>
      <c r="E15" s="1241"/>
      <c r="F15" s="1241"/>
      <c r="G15" s="1241"/>
      <c r="H15" s="1241"/>
      <c r="I15" s="1240"/>
      <c r="J15" s="1240"/>
      <c r="K15" s="1240"/>
      <c r="L15" s="1242"/>
      <c r="M15" s="1240"/>
      <c r="N15" s="1240"/>
      <c r="O15" s="1240"/>
      <c r="P15" s="1240"/>
      <c r="Q15" s="1241"/>
      <c r="R15" s="1241"/>
      <c r="S15" s="1241"/>
      <c r="T15" s="1241"/>
      <c r="U15" s="1240"/>
      <c r="V15" s="1243"/>
      <c r="W15" s="1241"/>
      <c r="X15" s="1243"/>
      <c r="Y15" s="1240"/>
      <c r="Z15" s="1238"/>
    </row>
    <row r="16" spans="1:26">
      <c r="A16" s="1239"/>
      <c r="B16" s="1240"/>
      <c r="C16" s="1240"/>
      <c r="D16" s="1240"/>
      <c r="E16" s="1241"/>
      <c r="F16" s="1241"/>
      <c r="G16" s="1241"/>
      <c r="H16" s="1241"/>
      <c r="I16" s="1240"/>
      <c r="J16" s="1240"/>
      <c r="K16" s="1240"/>
      <c r="L16" s="1242"/>
      <c r="M16" s="1240"/>
      <c r="N16" s="1240"/>
      <c r="O16" s="1240"/>
      <c r="P16" s="1240"/>
      <c r="Q16" s="1241"/>
      <c r="R16" s="1241"/>
      <c r="S16" s="1241"/>
      <c r="T16" s="1241"/>
      <c r="U16" s="1240"/>
      <c r="V16" s="1243"/>
      <c r="W16" s="1241"/>
      <c r="X16" s="1243"/>
      <c r="Y16" s="1240"/>
      <c r="Z16" s="1238"/>
    </row>
    <row r="17" spans="1:26">
      <c r="A17" s="1239"/>
      <c r="B17" s="1240"/>
      <c r="C17" s="1240"/>
      <c r="D17" s="1240"/>
      <c r="E17" s="1241"/>
      <c r="F17" s="1241"/>
      <c r="G17" s="1241"/>
      <c r="H17" s="1241"/>
      <c r="I17" s="1240"/>
      <c r="J17" s="1240"/>
      <c r="K17" s="1240"/>
      <c r="L17" s="1242"/>
      <c r="M17" s="1240"/>
      <c r="N17" s="1240"/>
      <c r="O17" s="1240"/>
      <c r="P17" s="1240"/>
      <c r="Q17" s="1241"/>
      <c r="R17" s="1241"/>
      <c r="S17" s="1241"/>
      <c r="T17" s="1241"/>
      <c r="U17" s="1240"/>
      <c r="V17" s="1243"/>
      <c r="W17" s="1241"/>
      <c r="X17" s="1243"/>
      <c r="Y17" s="1240"/>
      <c r="Z17" s="1238"/>
    </row>
    <row r="18" spans="1:26">
      <c r="A18" s="1239"/>
      <c r="B18" s="1240"/>
      <c r="C18" s="1240"/>
      <c r="D18" s="1240"/>
      <c r="E18" s="1241"/>
      <c r="F18" s="1241"/>
      <c r="G18" s="1241"/>
      <c r="H18" s="1241"/>
      <c r="I18" s="1240"/>
      <c r="J18" s="1240"/>
      <c r="K18" s="1240"/>
      <c r="L18" s="1242"/>
      <c r="M18" s="1240"/>
      <c r="N18" s="1240"/>
      <c r="O18" s="1240"/>
      <c r="P18" s="1240"/>
      <c r="Q18" s="1241"/>
      <c r="R18" s="1241"/>
      <c r="S18" s="1241"/>
      <c r="T18" s="1241"/>
      <c r="U18" s="1240"/>
      <c r="V18" s="1243"/>
      <c r="W18" s="1241"/>
      <c r="X18" s="1243"/>
      <c r="Y18" s="1240"/>
      <c r="Z18" s="1238"/>
    </row>
    <row r="19" spans="1:26">
      <c r="A19" s="1239"/>
      <c r="B19" s="1240"/>
      <c r="C19" s="1240"/>
      <c r="D19" s="1240"/>
      <c r="E19" s="1241"/>
      <c r="F19" s="1241"/>
      <c r="G19" s="1241"/>
      <c r="H19" s="1241"/>
      <c r="I19" s="1240"/>
      <c r="J19" s="1240"/>
      <c r="K19" s="1240"/>
      <c r="L19" s="1242"/>
      <c r="M19" s="1240"/>
      <c r="N19" s="1240"/>
      <c r="O19" s="1240"/>
      <c r="P19" s="1240"/>
      <c r="Q19" s="1241"/>
      <c r="R19" s="1241"/>
      <c r="S19" s="1241"/>
      <c r="T19" s="1241"/>
      <c r="U19" s="1240"/>
      <c r="V19" s="1243"/>
      <c r="W19" s="1241"/>
      <c r="X19" s="1243"/>
      <c r="Y19" s="1240"/>
      <c r="Z19" s="1238"/>
    </row>
    <row r="20" spans="1:26">
      <c r="A20" s="1239"/>
      <c r="B20" s="1240"/>
      <c r="C20" s="1240"/>
      <c r="D20" s="1240"/>
      <c r="E20" s="1241"/>
      <c r="F20" s="1241"/>
      <c r="G20" s="1241"/>
      <c r="H20" s="1241"/>
      <c r="I20" s="1240"/>
      <c r="J20" s="1240"/>
      <c r="K20" s="1240"/>
      <c r="L20" s="1242"/>
      <c r="M20" s="1240"/>
      <c r="N20" s="1240"/>
      <c r="O20" s="1240"/>
      <c r="P20" s="1240"/>
      <c r="Q20" s="1241"/>
      <c r="R20" s="1241"/>
      <c r="S20" s="1241"/>
      <c r="T20" s="1241"/>
      <c r="U20" s="1240"/>
      <c r="V20" s="1243"/>
      <c r="W20" s="1241"/>
      <c r="X20" s="1243"/>
      <c r="Y20" s="1240"/>
      <c r="Z20" s="1238"/>
    </row>
    <row r="21" spans="1:26">
      <c r="A21" s="1239"/>
      <c r="B21" s="1240"/>
      <c r="C21" s="1240"/>
      <c r="D21" s="1240"/>
      <c r="E21" s="1241"/>
      <c r="F21" s="1241"/>
      <c r="G21" s="1241"/>
      <c r="H21" s="1241"/>
      <c r="I21" s="1240"/>
      <c r="J21" s="1240"/>
      <c r="K21" s="1240"/>
      <c r="L21" s="1242"/>
      <c r="M21" s="1240"/>
      <c r="N21" s="1240"/>
      <c r="O21" s="1240"/>
      <c r="P21" s="1240"/>
      <c r="Q21" s="1241"/>
      <c r="R21" s="1241"/>
      <c r="S21" s="1241"/>
      <c r="T21" s="1241"/>
      <c r="U21" s="1240"/>
      <c r="V21" s="1243"/>
      <c r="W21" s="1241"/>
      <c r="X21" s="1243"/>
      <c r="Y21" s="1240"/>
      <c r="Z21" s="1238"/>
    </row>
    <row r="22" spans="1:26">
      <c r="A22" s="1239"/>
      <c r="B22" s="1240"/>
      <c r="C22" s="1240"/>
      <c r="D22" s="1240"/>
      <c r="E22" s="1241"/>
      <c r="F22" s="1241"/>
      <c r="G22" s="1241"/>
      <c r="H22" s="1241"/>
      <c r="I22" s="1240"/>
      <c r="J22" s="1240"/>
      <c r="K22" s="1240"/>
      <c r="L22" s="1242"/>
      <c r="M22" s="1240"/>
      <c r="N22" s="1240"/>
      <c r="O22" s="1240"/>
      <c r="P22" s="1240"/>
      <c r="Q22" s="1241"/>
      <c r="R22" s="1241"/>
      <c r="S22" s="1241"/>
      <c r="T22" s="1241"/>
      <c r="U22" s="1240"/>
      <c r="V22" s="1243"/>
      <c r="W22" s="1241"/>
      <c r="X22" s="1243"/>
      <c r="Y22" s="1240"/>
      <c r="Z22" s="1238"/>
    </row>
    <row r="23" spans="1:26">
      <c r="A23" s="1239"/>
      <c r="B23" s="1240"/>
      <c r="C23" s="1240"/>
      <c r="D23" s="1240"/>
      <c r="E23" s="1241"/>
      <c r="F23" s="1241"/>
      <c r="G23" s="1241"/>
      <c r="H23" s="1241"/>
      <c r="I23" s="1240"/>
      <c r="J23" s="1240"/>
      <c r="K23" s="1240"/>
      <c r="L23" s="1242"/>
      <c r="M23" s="1240"/>
      <c r="N23" s="1240"/>
      <c r="O23" s="1240"/>
      <c r="P23" s="1240"/>
      <c r="Q23" s="1241"/>
      <c r="R23" s="1241"/>
      <c r="S23" s="1241"/>
      <c r="T23" s="1241"/>
      <c r="U23" s="1240"/>
      <c r="V23" s="1243"/>
      <c r="W23" s="1241"/>
      <c r="X23" s="1243"/>
      <c r="Y23" s="1240"/>
      <c r="Z23" s="1238"/>
    </row>
    <row r="24" spans="1:26">
      <c r="A24" s="1239"/>
      <c r="B24" s="1240"/>
      <c r="C24" s="1240"/>
      <c r="D24" s="1240"/>
      <c r="E24" s="1241"/>
      <c r="F24" s="1241"/>
      <c r="G24" s="1241"/>
      <c r="H24" s="1241"/>
      <c r="I24" s="1240"/>
      <c r="J24" s="1240"/>
      <c r="K24" s="1240"/>
      <c r="L24" s="1242"/>
      <c r="M24" s="1240"/>
      <c r="N24" s="1240"/>
      <c r="O24" s="1240"/>
      <c r="P24" s="1240"/>
      <c r="Q24" s="1241"/>
      <c r="R24" s="1241"/>
      <c r="S24" s="1241"/>
      <c r="T24" s="1241"/>
      <c r="U24" s="1240"/>
      <c r="V24" s="1243"/>
      <c r="W24" s="1241"/>
      <c r="X24" s="1243"/>
      <c r="Y24" s="1240"/>
      <c r="Z24" s="1238"/>
    </row>
    <row r="25" spans="1:26">
      <c r="A25" s="1239"/>
      <c r="B25" s="1240"/>
      <c r="C25" s="1240"/>
      <c r="D25" s="1240"/>
      <c r="E25" s="1241"/>
      <c r="F25" s="1241"/>
      <c r="G25" s="1241"/>
      <c r="H25" s="1241"/>
      <c r="I25" s="1240"/>
      <c r="J25" s="1240"/>
      <c r="K25" s="1240"/>
      <c r="L25" s="1242"/>
      <c r="M25" s="1240"/>
      <c r="N25" s="1240"/>
      <c r="O25" s="1240"/>
      <c r="P25" s="1240"/>
      <c r="Q25" s="1241"/>
      <c r="R25" s="1241"/>
      <c r="S25" s="1241"/>
      <c r="T25" s="1241"/>
      <c r="U25" s="1240"/>
      <c r="V25" s="1243"/>
      <c r="W25" s="1241"/>
      <c r="X25" s="1243"/>
      <c r="Y25" s="1240"/>
      <c r="Z25" s="1238"/>
    </row>
    <row r="26" spans="1:26">
      <c r="A26" s="1239"/>
      <c r="B26" s="1240"/>
      <c r="C26" s="1240"/>
      <c r="D26" s="1240"/>
      <c r="E26" s="1241"/>
      <c r="F26" s="1241"/>
      <c r="G26" s="1241"/>
      <c r="H26" s="1241"/>
      <c r="I26" s="1240"/>
      <c r="J26" s="1240"/>
      <c r="K26" s="1240"/>
      <c r="L26" s="1242"/>
      <c r="M26" s="1240"/>
      <c r="N26" s="1240"/>
      <c r="O26" s="1240"/>
      <c r="P26" s="1240"/>
      <c r="Q26" s="1241"/>
      <c r="R26" s="1241"/>
      <c r="S26" s="1241"/>
      <c r="T26" s="1241"/>
      <c r="U26" s="1240"/>
      <c r="V26" s="1243"/>
      <c r="W26" s="1241"/>
      <c r="X26" s="1243"/>
      <c r="Y26" s="1240"/>
      <c r="Z26" s="1238"/>
    </row>
    <row r="27" spans="1:26">
      <c r="A27" s="1239"/>
      <c r="B27" s="1240"/>
      <c r="C27" s="1240"/>
      <c r="D27" s="1240"/>
      <c r="E27" s="1241"/>
      <c r="F27" s="1241"/>
      <c r="G27" s="1241"/>
      <c r="H27" s="1241"/>
      <c r="I27" s="1240"/>
      <c r="J27" s="1240"/>
      <c r="K27" s="1240"/>
      <c r="L27" s="1242"/>
      <c r="M27" s="1240"/>
      <c r="N27" s="1240"/>
      <c r="O27" s="1240"/>
      <c r="P27" s="1240"/>
      <c r="Q27" s="1241"/>
      <c r="R27" s="1241"/>
      <c r="S27" s="1241"/>
      <c r="T27" s="1241"/>
      <c r="U27" s="1240"/>
      <c r="V27" s="1243"/>
      <c r="W27" s="1241"/>
      <c r="X27" s="1243"/>
      <c r="Y27" s="1240"/>
      <c r="Z27" s="1238"/>
    </row>
    <row r="28" spans="1:26">
      <c r="A28" s="1239"/>
      <c r="B28" s="1240"/>
      <c r="C28" s="1240"/>
      <c r="D28" s="1240"/>
      <c r="E28" s="1241"/>
      <c r="F28" s="1241"/>
      <c r="G28" s="1241"/>
      <c r="H28" s="1241"/>
      <c r="I28" s="1240"/>
      <c r="J28" s="1240"/>
      <c r="K28" s="1240"/>
      <c r="L28" s="1242"/>
      <c r="M28" s="1240"/>
      <c r="N28" s="1240"/>
      <c r="O28" s="1240"/>
      <c r="P28" s="1240"/>
      <c r="Q28" s="1241"/>
      <c r="R28" s="1241"/>
      <c r="S28" s="1241"/>
      <c r="T28" s="1241"/>
      <c r="U28" s="1240"/>
      <c r="V28" s="1243"/>
      <c r="W28" s="1241"/>
      <c r="X28" s="1243"/>
      <c r="Y28" s="1240"/>
      <c r="Z28" s="1238"/>
    </row>
    <row r="29" spans="1:26">
      <c r="A29" s="1239"/>
      <c r="B29" s="1240"/>
      <c r="C29" s="1240"/>
      <c r="D29" s="1240"/>
      <c r="E29" s="1241"/>
      <c r="F29" s="1241"/>
      <c r="G29" s="1241"/>
      <c r="H29" s="1241"/>
      <c r="I29" s="1240"/>
      <c r="J29" s="1240"/>
      <c r="K29" s="1240"/>
      <c r="L29" s="1242"/>
      <c r="M29" s="1240"/>
      <c r="N29" s="1240"/>
      <c r="O29" s="1240"/>
      <c r="P29" s="1240"/>
      <c r="Q29" s="1241"/>
      <c r="R29" s="1241"/>
      <c r="S29" s="1241"/>
      <c r="T29" s="1241"/>
      <c r="U29" s="1240"/>
      <c r="V29" s="1243"/>
      <c r="W29" s="1241"/>
      <c r="X29" s="1243"/>
      <c r="Y29" s="1240"/>
      <c r="Z29" s="1238"/>
    </row>
    <row r="30" spans="1:26">
      <c r="A30" s="1239"/>
      <c r="B30" s="1240"/>
      <c r="C30" s="1240"/>
      <c r="D30" s="1240"/>
      <c r="E30" s="1241"/>
      <c r="F30" s="1241"/>
      <c r="G30" s="1241"/>
      <c r="H30" s="1241"/>
      <c r="I30" s="1240"/>
      <c r="J30" s="1240"/>
      <c r="K30" s="1240"/>
      <c r="L30" s="1242"/>
      <c r="M30" s="1240"/>
      <c r="N30" s="1240"/>
      <c r="O30" s="1240"/>
      <c r="P30" s="1240"/>
      <c r="Q30" s="1241"/>
      <c r="R30" s="1241"/>
      <c r="S30" s="1241"/>
      <c r="T30" s="1241"/>
      <c r="U30" s="1240"/>
      <c r="V30" s="1243"/>
      <c r="W30" s="1241"/>
      <c r="X30" s="1243"/>
      <c r="Y30" s="1240"/>
      <c r="Z30" s="1238"/>
    </row>
    <row r="31" spans="1:26">
      <c r="A31" s="1239"/>
      <c r="B31" s="1240"/>
      <c r="C31" s="1240"/>
      <c r="D31" s="1240"/>
      <c r="E31" s="1241"/>
      <c r="F31" s="1241"/>
      <c r="G31" s="1241"/>
      <c r="H31" s="1241"/>
      <c r="I31" s="1240"/>
      <c r="J31" s="1240"/>
      <c r="K31" s="1240"/>
      <c r="L31" s="1242"/>
      <c r="M31" s="1240"/>
      <c r="N31" s="1240"/>
      <c r="O31" s="1240"/>
      <c r="P31" s="1240"/>
      <c r="Q31" s="1241"/>
      <c r="R31" s="1241"/>
      <c r="S31" s="1241"/>
      <c r="T31" s="1241"/>
      <c r="U31" s="1240"/>
      <c r="V31" s="1243"/>
      <c r="W31" s="1241"/>
      <c r="X31" s="1243"/>
      <c r="Y31" s="1240"/>
      <c r="Z31" s="1238"/>
    </row>
    <row r="32" spans="1:26">
      <c r="A32" s="1239"/>
      <c r="B32" s="1240"/>
      <c r="C32" s="1240"/>
      <c r="D32" s="1240"/>
      <c r="E32" s="1241"/>
      <c r="F32" s="1241"/>
      <c r="G32" s="1241"/>
      <c r="H32" s="1241"/>
      <c r="I32" s="1240"/>
      <c r="J32" s="1240"/>
      <c r="K32" s="1240"/>
      <c r="L32" s="1242"/>
      <c r="M32" s="1240"/>
      <c r="N32" s="1240"/>
      <c r="O32" s="1240"/>
      <c r="P32" s="1240"/>
      <c r="Q32" s="1241"/>
      <c r="R32" s="1241"/>
      <c r="S32" s="1241"/>
      <c r="T32" s="1241"/>
      <c r="U32" s="1240"/>
      <c r="V32" s="1243"/>
      <c r="W32" s="1241"/>
      <c r="X32" s="1243"/>
      <c r="Y32" s="1240"/>
      <c r="Z32" s="1238"/>
    </row>
    <row r="33" spans="1:26">
      <c r="A33" s="1239"/>
      <c r="B33" s="1240"/>
      <c r="C33" s="1240"/>
      <c r="D33" s="1240"/>
      <c r="E33" s="1241"/>
      <c r="F33" s="1241"/>
      <c r="G33" s="1241"/>
      <c r="H33" s="1241"/>
      <c r="I33" s="1240"/>
      <c r="J33" s="1240"/>
      <c r="K33" s="1240"/>
      <c r="L33" s="1242"/>
      <c r="M33" s="1240"/>
      <c r="N33" s="1240"/>
      <c r="O33" s="1240"/>
      <c r="P33" s="1240"/>
      <c r="Q33" s="1241"/>
      <c r="R33" s="1241"/>
      <c r="S33" s="1241"/>
      <c r="T33" s="1241"/>
      <c r="U33" s="1240"/>
      <c r="V33" s="1243"/>
      <c r="W33" s="1241"/>
      <c r="X33" s="1243"/>
      <c r="Y33" s="1240"/>
      <c r="Z33" s="1238"/>
    </row>
    <row r="34" spans="1:26">
      <c r="A34" s="1239"/>
      <c r="B34" s="1240"/>
      <c r="C34" s="1240"/>
      <c r="D34" s="1240"/>
      <c r="E34" s="1241"/>
      <c r="F34" s="1241"/>
      <c r="G34" s="1241"/>
      <c r="H34" s="1241"/>
      <c r="I34" s="1240"/>
      <c r="J34" s="1240"/>
      <c r="K34" s="1240"/>
      <c r="L34" s="1242"/>
      <c r="M34" s="1240"/>
      <c r="N34" s="1240"/>
      <c r="O34" s="1240"/>
      <c r="P34" s="1240"/>
      <c r="Q34" s="1241"/>
      <c r="R34" s="1241"/>
      <c r="S34" s="1241"/>
      <c r="T34" s="1241"/>
      <c r="U34" s="1240"/>
      <c r="V34" s="1243"/>
      <c r="W34" s="1241"/>
      <c r="X34" s="1243"/>
      <c r="Y34" s="1240"/>
      <c r="Z34" s="1238"/>
    </row>
    <row r="35" spans="1:26">
      <c r="A35" s="1239"/>
      <c r="B35" s="1240"/>
      <c r="C35" s="1240"/>
      <c r="D35" s="1240"/>
      <c r="E35" s="1241"/>
      <c r="F35" s="1241"/>
      <c r="G35" s="1241"/>
      <c r="H35" s="1241"/>
      <c r="I35" s="1240"/>
      <c r="J35" s="1240"/>
      <c r="K35" s="1240"/>
      <c r="L35" s="1242"/>
      <c r="M35" s="1240"/>
      <c r="N35" s="1240"/>
      <c r="O35" s="1240"/>
      <c r="P35" s="1240"/>
      <c r="Q35" s="1241"/>
      <c r="R35" s="1241"/>
      <c r="S35" s="1241"/>
      <c r="T35" s="1241"/>
      <c r="U35" s="1240"/>
      <c r="V35" s="1243"/>
      <c r="W35" s="1241"/>
      <c r="X35" s="1243"/>
      <c r="Y35" s="1240"/>
      <c r="Z35" s="1238"/>
    </row>
    <row r="36" spans="1:26">
      <c r="A36" s="1239"/>
      <c r="B36" s="1240"/>
      <c r="C36" s="1240"/>
      <c r="D36" s="1240"/>
      <c r="E36" s="1241"/>
      <c r="F36" s="1241"/>
      <c r="G36" s="1241"/>
      <c r="H36" s="1241"/>
      <c r="I36" s="1240"/>
      <c r="J36" s="1240"/>
      <c r="K36" s="1240"/>
      <c r="L36" s="1242"/>
      <c r="M36" s="1240"/>
      <c r="N36" s="1240"/>
      <c r="O36" s="1240"/>
      <c r="P36" s="1240"/>
      <c r="Q36" s="1241"/>
      <c r="R36" s="1241"/>
      <c r="S36" s="1241"/>
      <c r="T36" s="1241"/>
      <c r="U36" s="1240"/>
      <c r="V36" s="1243"/>
      <c r="W36" s="1241"/>
      <c r="X36" s="1243"/>
      <c r="Y36" s="1240"/>
      <c r="Z36" s="1238"/>
    </row>
    <row r="37" spans="1:26">
      <c r="A37" s="1239"/>
      <c r="B37" s="1240"/>
      <c r="C37" s="1240"/>
      <c r="D37" s="1240"/>
      <c r="E37" s="1241"/>
      <c r="F37" s="1241"/>
      <c r="G37" s="1241"/>
      <c r="H37" s="1241"/>
      <c r="I37" s="1240"/>
      <c r="J37" s="1240"/>
      <c r="K37" s="1240"/>
      <c r="L37" s="1242"/>
      <c r="M37" s="1240"/>
      <c r="N37" s="1240"/>
      <c r="O37" s="1240"/>
      <c r="P37" s="1240"/>
      <c r="Q37" s="1241"/>
      <c r="R37" s="1241"/>
      <c r="S37" s="1241"/>
      <c r="T37" s="1241"/>
      <c r="U37" s="1240"/>
      <c r="V37" s="1243"/>
      <c r="W37" s="1241"/>
      <c r="X37" s="1243"/>
      <c r="Y37" s="1240"/>
      <c r="Z37" s="1238"/>
    </row>
    <row r="38" spans="1:26">
      <c r="A38" s="1239"/>
      <c r="B38" s="1240"/>
      <c r="C38" s="1240"/>
      <c r="D38" s="1240"/>
      <c r="E38" s="1241"/>
      <c r="F38" s="1241"/>
      <c r="G38" s="1241"/>
      <c r="H38" s="1241"/>
      <c r="I38" s="1240"/>
      <c r="J38" s="1240"/>
      <c r="K38" s="1240"/>
      <c r="L38" s="1242"/>
      <c r="M38" s="1240"/>
      <c r="N38" s="1240"/>
      <c r="O38" s="1240"/>
      <c r="P38" s="1240"/>
      <c r="Q38" s="1241"/>
      <c r="R38" s="1241"/>
      <c r="S38" s="1241"/>
      <c r="T38" s="1241"/>
      <c r="U38" s="1240"/>
      <c r="V38" s="1243"/>
      <c r="W38" s="1241"/>
      <c r="X38" s="1243"/>
      <c r="Y38" s="1240"/>
      <c r="Z38" s="1238"/>
    </row>
    <row r="39" spans="1:26">
      <c r="A39" s="1239"/>
      <c r="B39" s="1240"/>
      <c r="C39" s="1240"/>
      <c r="D39" s="1240"/>
      <c r="E39" s="1241"/>
      <c r="F39" s="1241"/>
      <c r="G39" s="1241"/>
      <c r="H39" s="1241"/>
      <c r="I39" s="1240"/>
      <c r="J39" s="1240"/>
      <c r="K39" s="1240"/>
      <c r="L39" s="1242"/>
      <c r="M39" s="1240"/>
      <c r="N39" s="1240"/>
      <c r="O39" s="1240"/>
      <c r="P39" s="1240"/>
      <c r="Q39" s="1241"/>
      <c r="R39" s="1241"/>
      <c r="S39" s="1241"/>
      <c r="T39" s="1241"/>
      <c r="U39" s="1240"/>
      <c r="V39" s="1243"/>
      <c r="W39" s="1241"/>
      <c r="X39" s="1243"/>
      <c r="Y39" s="1240"/>
      <c r="Z39" s="1238"/>
    </row>
    <row r="40" spans="1:26">
      <c r="A40" s="1239"/>
      <c r="B40" s="1240"/>
      <c r="C40" s="1240"/>
      <c r="D40" s="1240"/>
      <c r="E40" s="1241"/>
      <c r="F40" s="1241"/>
      <c r="G40" s="1241"/>
      <c r="H40" s="1241"/>
      <c r="I40" s="1240"/>
      <c r="J40" s="1240"/>
      <c r="K40" s="1240"/>
      <c r="L40" s="1242"/>
      <c r="M40" s="1240"/>
      <c r="N40" s="1240"/>
      <c r="O40" s="1240"/>
      <c r="P40" s="1240"/>
      <c r="Q40" s="1241"/>
      <c r="R40" s="1241"/>
      <c r="S40" s="1241"/>
      <c r="T40" s="1241"/>
      <c r="U40" s="1240"/>
      <c r="V40" s="1243"/>
      <c r="W40" s="1241"/>
      <c r="X40" s="1243"/>
      <c r="Y40" s="1240"/>
      <c r="Z40" s="1238"/>
    </row>
    <row r="41" spans="1:26">
      <c r="A41" s="1239"/>
      <c r="B41" s="1240"/>
      <c r="C41" s="1240"/>
      <c r="D41" s="1240"/>
      <c r="E41" s="1241"/>
      <c r="F41" s="1241"/>
      <c r="G41" s="1241"/>
      <c r="H41" s="1241"/>
      <c r="I41" s="1240"/>
      <c r="J41" s="1240"/>
      <c r="K41" s="1240"/>
      <c r="L41" s="1242"/>
      <c r="M41" s="1240"/>
      <c r="N41" s="1240"/>
      <c r="O41" s="1240"/>
      <c r="P41" s="1240"/>
      <c r="Q41" s="1241"/>
      <c r="R41" s="1241"/>
      <c r="S41" s="1241"/>
      <c r="T41" s="1241"/>
      <c r="U41" s="1240"/>
      <c r="V41" s="1243"/>
      <c r="W41" s="1241"/>
      <c r="X41" s="1243"/>
      <c r="Y41" s="1240"/>
      <c r="Z41" s="1238"/>
    </row>
    <row r="42" spans="1:26">
      <c r="A42" s="1239"/>
      <c r="B42" s="1240"/>
      <c r="C42" s="1240"/>
      <c r="D42" s="1240"/>
      <c r="E42" s="1241"/>
      <c r="F42" s="1241"/>
      <c r="G42" s="1241"/>
      <c r="H42" s="1241"/>
      <c r="I42" s="1240"/>
      <c r="J42" s="1240"/>
      <c r="K42" s="1240"/>
      <c r="L42" s="1242"/>
      <c r="M42" s="1240"/>
      <c r="N42" s="1240"/>
      <c r="O42" s="1240"/>
      <c r="P42" s="1240"/>
      <c r="Q42" s="1241"/>
      <c r="R42" s="1241"/>
      <c r="S42" s="1241"/>
      <c r="T42" s="1241"/>
      <c r="U42" s="1240"/>
      <c r="V42" s="1243"/>
      <c r="W42" s="1241"/>
      <c r="X42" s="1243"/>
      <c r="Y42" s="1240"/>
      <c r="Z42" s="1238"/>
    </row>
    <row r="43" spans="1:26">
      <c r="A43" s="1239"/>
      <c r="B43" s="1240"/>
      <c r="C43" s="1240"/>
      <c r="D43" s="1240"/>
      <c r="E43" s="1241"/>
      <c r="F43" s="1241"/>
      <c r="G43" s="1241"/>
      <c r="H43" s="1241"/>
      <c r="I43" s="1240"/>
      <c r="J43" s="1240"/>
      <c r="K43" s="1240"/>
      <c r="L43" s="1242"/>
      <c r="M43" s="1240"/>
      <c r="N43" s="1240"/>
      <c r="O43" s="1240"/>
      <c r="P43" s="1240"/>
      <c r="Q43" s="1241"/>
      <c r="R43" s="1241"/>
      <c r="S43" s="1241"/>
      <c r="T43" s="1241"/>
      <c r="U43" s="1240"/>
      <c r="V43" s="1243"/>
      <c r="W43" s="1241"/>
      <c r="X43" s="1243"/>
      <c r="Y43" s="1240"/>
      <c r="Z43" s="1238"/>
    </row>
    <row r="44" spans="1:26">
      <c r="A44" s="1239"/>
      <c r="B44" s="1240"/>
      <c r="C44" s="1240"/>
      <c r="D44" s="1240"/>
      <c r="E44" s="1241"/>
      <c r="F44" s="1241"/>
      <c r="G44" s="1241"/>
      <c r="H44" s="1241"/>
      <c r="I44" s="1240"/>
      <c r="J44" s="1240"/>
      <c r="K44" s="1240"/>
      <c r="L44" s="1242"/>
      <c r="M44" s="1240"/>
      <c r="N44" s="1240"/>
      <c r="O44" s="1240"/>
      <c r="P44" s="1240"/>
      <c r="Q44" s="1241"/>
      <c r="R44" s="1241"/>
      <c r="S44" s="1241"/>
      <c r="T44" s="1241"/>
      <c r="U44" s="1240"/>
      <c r="V44" s="1243"/>
      <c r="W44" s="1241"/>
      <c r="X44" s="1243"/>
      <c r="Y44" s="1240"/>
      <c r="Z44" s="1238"/>
    </row>
    <row r="45" spans="1:26">
      <c r="A45" s="1239"/>
      <c r="B45" s="1240"/>
      <c r="C45" s="1240"/>
      <c r="D45" s="1240"/>
      <c r="E45" s="1241"/>
      <c r="F45" s="1241"/>
      <c r="G45" s="1241"/>
      <c r="H45" s="1241"/>
      <c r="I45" s="1240"/>
      <c r="J45" s="1240"/>
      <c r="K45" s="1240"/>
      <c r="L45" s="1242"/>
      <c r="M45" s="1240"/>
      <c r="N45" s="1240"/>
      <c r="O45" s="1240"/>
      <c r="P45" s="1240"/>
      <c r="Q45" s="1241"/>
      <c r="R45" s="1241"/>
      <c r="S45" s="1241"/>
      <c r="T45" s="1241"/>
      <c r="U45" s="1240"/>
      <c r="V45" s="1243"/>
      <c r="W45" s="1241"/>
      <c r="X45" s="1243"/>
      <c r="Y45" s="1240"/>
      <c r="Z45" s="1238"/>
    </row>
    <row r="46" spans="1:26">
      <c r="A46" s="1239"/>
      <c r="B46" s="1240"/>
      <c r="C46" s="1240"/>
      <c r="D46" s="1240"/>
      <c r="E46" s="1241"/>
      <c r="F46" s="1241"/>
      <c r="G46" s="1241"/>
      <c r="H46" s="1241"/>
      <c r="I46" s="1240"/>
      <c r="J46" s="1240"/>
      <c r="K46" s="1240"/>
      <c r="L46" s="1242"/>
      <c r="M46" s="1240"/>
      <c r="N46" s="1240"/>
      <c r="O46" s="1240"/>
      <c r="P46" s="1240"/>
      <c r="Q46" s="1241"/>
      <c r="R46" s="1241"/>
      <c r="S46" s="1241"/>
      <c r="T46" s="1241"/>
      <c r="U46" s="1240"/>
      <c r="V46" s="1243"/>
      <c r="W46" s="1241"/>
      <c r="X46" s="1243"/>
      <c r="Y46" s="1240"/>
      <c r="Z46" s="1238"/>
    </row>
    <row r="47" spans="1:26">
      <c r="A47" s="1239"/>
      <c r="B47" s="1240"/>
      <c r="C47" s="1240"/>
      <c r="D47" s="1240"/>
      <c r="E47" s="1241"/>
      <c r="F47" s="1241"/>
      <c r="G47" s="1241"/>
      <c r="H47" s="1241"/>
      <c r="I47" s="1240"/>
      <c r="J47" s="1240"/>
      <c r="K47" s="1240"/>
      <c r="L47" s="1242"/>
      <c r="M47" s="1240"/>
      <c r="N47" s="1240"/>
      <c r="O47" s="1240"/>
      <c r="P47" s="1240"/>
      <c r="Q47" s="1241"/>
      <c r="R47" s="1241"/>
      <c r="S47" s="1241"/>
      <c r="T47" s="1241"/>
      <c r="U47" s="1240"/>
      <c r="V47" s="1243"/>
      <c r="W47" s="1241"/>
      <c r="X47" s="1243"/>
      <c r="Y47" s="1240"/>
      <c r="Z47" s="1238"/>
    </row>
    <row r="48" spans="1:26">
      <c r="A48" s="1239"/>
      <c r="B48" s="1240"/>
      <c r="C48" s="1240"/>
      <c r="D48" s="1240"/>
      <c r="E48" s="1241"/>
      <c r="F48" s="1241"/>
      <c r="G48" s="1241"/>
      <c r="H48" s="1241"/>
      <c r="I48" s="1240"/>
      <c r="J48" s="1240"/>
      <c r="K48" s="1240"/>
      <c r="L48" s="1242"/>
      <c r="M48" s="1240"/>
      <c r="N48" s="1240"/>
      <c r="O48" s="1240"/>
      <c r="P48" s="1240"/>
      <c r="Q48" s="1241"/>
      <c r="R48" s="1241"/>
      <c r="S48" s="1241"/>
      <c r="T48" s="1241"/>
      <c r="U48" s="1240"/>
      <c r="V48" s="1243"/>
      <c r="W48" s="1241"/>
      <c r="X48" s="1243"/>
      <c r="Y48" s="1240"/>
      <c r="Z48" s="1238"/>
    </row>
    <row r="49" spans="1:26">
      <c r="A49" s="1239"/>
      <c r="B49" s="1240"/>
      <c r="C49" s="1240"/>
      <c r="D49" s="1240"/>
      <c r="E49" s="1241"/>
      <c r="F49" s="1241"/>
      <c r="G49" s="1241"/>
      <c r="H49" s="1241"/>
      <c r="I49" s="1240"/>
      <c r="J49" s="1240"/>
      <c r="K49" s="1240"/>
      <c r="L49" s="1242"/>
      <c r="M49" s="1240"/>
      <c r="N49" s="1240"/>
      <c r="O49" s="1240"/>
      <c r="P49" s="1240"/>
      <c r="Q49" s="1241"/>
      <c r="R49" s="1241"/>
      <c r="S49" s="1241"/>
      <c r="T49" s="1241"/>
      <c r="U49" s="1240"/>
      <c r="V49" s="1243"/>
      <c r="W49" s="1241"/>
      <c r="X49" s="1243"/>
      <c r="Y49" s="1240"/>
      <c r="Z49" s="1238"/>
    </row>
    <row r="50" spans="1:26">
      <c r="A50" s="1239"/>
      <c r="B50" s="1240"/>
      <c r="C50" s="1240"/>
      <c r="D50" s="1240"/>
      <c r="E50" s="1241"/>
      <c r="F50" s="1241"/>
      <c r="G50" s="1241"/>
      <c r="H50" s="1241"/>
      <c r="I50" s="1240"/>
      <c r="J50" s="1240"/>
      <c r="K50" s="1240"/>
      <c r="L50" s="1242"/>
      <c r="M50" s="1240"/>
      <c r="N50" s="1240"/>
      <c r="O50" s="1240"/>
      <c r="P50" s="1240"/>
      <c r="Q50" s="1241"/>
      <c r="R50" s="1241"/>
      <c r="S50" s="1241"/>
      <c r="T50" s="1241"/>
      <c r="U50" s="1240"/>
      <c r="V50" s="1243"/>
      <c r="W50" s="1241"/>
      <c r="X50" s="1243"/>
      <c r="Y50" s="1240"/>
      <c r="Z50" s="1238"/>
    </row>
    <row r="51" spans="1:26">
      <c r="A51" s="1239"/>
      <c r="B51" s="1240"/>
      <c r="C51" s="1240"/>
      <c r="D51" s="1240"/>
      <c r="E51" s="1241"/>
      <c r="F51" s="1241"/>
      <c r="G51" s="1241"/>
      <c r="H51" s="1241"/>
      <c r="I51" s="1240"/>
      <c r="J51" s="1240"/>
      <c r="K51" s="1240"/>
      <c r="L51" s="1242"/>
      <c r="M51" s="1240"/>
      <c r="N51" s="1240"/>
      <c r="O51" s="1240"/>
      <c r="P51" s="1240"/>
      <c r="Q51" s="1241"/>
      <c r="R51" s="1241"/>
      <c r="S51" s="1241"/>
      <c r="T51" s="1241"/>
      <c r="U51" s="1240"/>
      <c r="V51" s="1243"/>
      <c r="W51" s="1241"/>
      <c r="X51" s="1243"/>
      <c r="Y51" s="1240"/>
      <c r="Z51" s="1238"/>
    </row>
    <row r="52" spans="1:26">
      <c r="A52" s="1239"/>
      <c r="B52" s="1240"/>
      <c r="C52" s="1240"/>
      <c r="D52" s="1240"/>
      <c r="E52" s="1241"/>
      <c r="F52" s="1241"/>
      <c r="G52" s="1241"/>
      <c r="H52" s="1241"/>
      <c r="I52" s="1240"/>
      <c r="J52" s="1240"/>
      <c r="K52" s="1240"/>
      <c r="L52" s="1242"/>
      <c r="M52" s="1240"/>
      <c r="N52" s="1240"/>
      <c r="O52" s="1240"/>
      <c r="P52" s="1240"/>
      <c r="Q52" s="1241"/>
      <c r="R52" s="1241"/>
      <c r="S52" s="1241"/>
      <c r="T52" s="1241"/>
      <c r="U52" s="1240"/>
      <c r="V52" s="1243"/>
      <c r="W52" s="1241"/>
      <c r="X52" s="1243"/>
      <c r="Y52" s="1240"/>
      <c r="Z52" s="1238"/>
    </row>
    <row r="53" spans="1:26">
      <c r="A53" s="1239"/>
      <c r="B53" s="1240"/>
      <c r="C53" s="1240"/>
      <c r="D53" s="1240"/>
      <c r="E53" s="1241"/>
      <c r="F53" s="1241"/>
      <c r="G53" s="1241"/>
      <c r="H53" s="1241"/>
      <c r="I53" s="1240"/>
      <c r="J53" s="1240"/>
      <c r="K53" s="1240"/>
      <c r="L53" s="1242"/>
      <c r="M53" s="1240"/>
      <c r="N53" s="1240"/>
      <c r="O53" s="1240"/>
      <c r="P53" s="1240"/>
      <c r="Q53" s="1241"/>
      <c r="R53" s="1241"/>
      <c r="S53" s="1241"/>
      <c r="T53" s="1241"/>
      <c r="U53" s="1240"/>
      <c r="V53" s="1243"/>
      <c r="W53" s="1241"/>
      <c r="X53" s="1243"/>
      <c r="Y53" s="1240"/>
      <c r="Z53" s="1238"/>
    </row>
    <row r="54" spans="1:26">
      <c r="A54" s="1239"/>
      <c r="B54" s="1240"/>
      <c r="C54" s="1240"/>
      <c r="D54" s="1240"/>
      <c r="E54" s="1241"/>
      <c r="F54" s="1241"/>
      <c r="G54" s="1241"/>
      <c r="H54" s="1241"/>
      <c r="I54" s="1240"/>
      <c r="J54" s="1240"/>
      <c r="K54" s="1240"/>
      <c r="L54" s="1242"/>
      <c r="M54" s="1240"/>
      <c r="N54" s="1240"/>
      <c r="O54" s="1240"/>
      <c r="P54" s="1240"/>
      <c r="Q54" s="1241"/>
      <c r="R54" s="1241"/>
      <c r="S54" s="1241"/>
      <c r="T54" s="1241"/>
      <c r="U54" s="1240"/>
      <c r="V54" s="1243"/>
      <c r="W54" s="1241"/>
      <c r="X54" s="1243"/>
      <c r="Y54" s="1240"/>
      <c r="Z54" s="1238"/>
    </row>
    <row r="55" spans="1:26">
      <c r="A55" s="1239"/>
      <c r="B55" s="1240"/>
      <c r="C55" s="1240"/>
      <c r="D55" s="1240"/>
      <c r="E55" s="1241"/>
      <c r="F55" s="1241"/>
      <c r="G55" s="1241"/>
      <c r="H55" s="1241"/>
      <c r="I55" s="1240"/>
      <c r="J55" s="1240"/>
      <c r="K55" s="1240"/>
      <c r="L55" s="1242"/>
      <c r="M55" s="1240"/>
      <c r="N55" s="1240"/>
      <c r="O55" s="1240"/>
      <c r="P55" s="1240"/>
      <c r="Q55" s="1241"/>
      <c r="R55" s="1241"/>
      <c r="S55" s="1241"/>
      <c r="T55" s="1241"/>
      <c r="U55" s="1240"/>
      <c r="V55" s="1243"/>
      <c r="W55" s="1241"/>
      <c r="X55" s="1243"/>
      <c r="Y55" s="1240"/>
      <c r="Z55" s="1238"/>
    </row>
    <row r="56" spans="1:26">
      <c r="A56" s="1239"/>
      <c r="B56" s="1240"/>
      <c r="C56" s="1240"/>
      <c r="D56" s="1240"/>
      <c r="E56" s="1241"/>
      <c r="F56" s="1241"/>
      <c r="G56" s="1241"/>
      <c r="H56" s="1241"/>
      <c r="I56" s="1240"/>
      <c r="J56" s="1240"/>
      <c r="K56" s="1240"/>
      <c r="L56" s="1242"/>
      <c r="M56" s="1240"/>
      <c r="N56" s="1240"/>
      <c r="O56" s="1240"/>
      <c r="P56" s="1240"/>
      <c r="Q56" s="1241"/>
      <c r="R56" s="1241"/>
      <c r="S56" s="1241"/>
      <c r="T56" s="1241"/>
      <c r="U56" s="1240"/>
      <c r="V56" s="1243"/>
      <c r="W56" s="1241"/>
      <c r="X56" s="1243"/>
      <c r="Y56" s="1240"/>
      <c r="Z56" s="1238"/>
    </row>
    <row r="57" spans="1:26">
      <c r="A57" s="1239"/>
      <c r="B57" s="1240"/>
      <c r="C57" s="1240"/>
      <c r="D57" s="1240"/>
      <c r="E57" s="1241"/>
      <c r="F57" s="1241"/>
      <c r="G57" s="1241"/>
      <c r="H57" s="1241"/>
      <c r="I57" s="1240"/>
      <c r="J57" s="1240"/>
      <c r="K57" s="1240"/>
      <c r="L57" s="1242"/>
      <c r="M57" s="1240"/>
      <c r="N57" s="1240"/>
      <c r="O57" s="1240"/>
      <c r="P57" s="1240"/>
      <c r="Q57" s="1241"/>
      <c r="R57" s="1241"/>
      <c r="S57" s="1241"/>
      <c r="T57" s="1241"/>
      <c r="U57" s="1240"/>
      <c r="V57" s="1243"/>
      <c r="W57" s="1241"/>
      <c r="X57" s="1243"/>
      <c r="Y57" s="1240"/>
      <c r="Z57" s="1238"/>
    </row>
    <row r="58" spans="1:26">
      <c r="A58" s="1239"/>
      <c r="B58" s="1240"/>
      <c r="C58" s="1240"/>
      <c r="D58" s="1240"/>
      <c r="E58" s="1241"/>
      <c r="F58" s="1241"/>
      <c r="G58" s="1241"/>
      <c r="H58" s="1241"/>
      <c r="I58" s="1240"/>
      <c r="J58" s="1240"/>
      <c r="K58" s="1240"/>
      <c r="L58" s="1242"/>
      <c r="M58" s="1240"/>
      <c r="N58" s="1240"/>
      <c r="O58" s="1240"/>
      <c r="P58" s="1240"/>
      <c r="Q58" s="1241"/>
      <c r="R58" s="1241"/>
      <c r="S58" s="1241"/>
      <c r="T58" s="1241"/>
      <c r="U58" s="1240"/>
      <c r="V58" s="1243"/>
      <c r="W58" s="1241"/>
      <c r="X58" s="1243"/>
      <c r="Y58" s="1240"/>
      <c r="Z58" s="1238"/>
    </row>
    <row r="59" spans="1:26">
      <c r="A59" s="1239"/>
      <c r="B59" s="1252"/>
      <c r="C59" s="1240"/>
      <c r="D59" s="1240"/>
      <c r="E59" s="1241"/>
      <c r="F59" s="1241"/>
      <c r="G59" s="1241"/>
      <c r="H59" s="1241"/>
      <c r="I59" s="1240"/>
      <c r="J59" s="1240"/>
      <c r="K59" s="1240"/>
      <c r="L59" s="1242"/>
      <c r="M59" s="1240"/>
      <c r="N59" s="1240"/>
      <c r="O59" s="1240"/>
      <c r="P59" s="1240"/>
      <c r="Q59" s="1241"/>
      <c r="R59" s="1241"/>
      <c r="S59" s="1241"/>
      <c r="T59" s="1241"/>
      <c r="U59" s="1240"/>
      <c r="V59" s="1243"/>
      <c r="W59" s="1241"/>
      <c r="X59" s="1243"/>
      <c r="Y59" s="1240"/>
      <c r="Z59" s="1238"/>
    </row>
    <row r="60" spans="1:26">
      <c r="A60" s="1239"/>
      <c r="B60" s="1240"/>
      <c r="C60" s="1240"/>
      <c r="D60" s="1240"/>
      <c r="E60" s="1241"/>
      <c r="F60" s="1241"/>
      <c r="G60" s="1241"/>
      <c r="H60" s="1241"/>
      <c r="I60" s="1240"/>
      <c r="J60" s="1240"/>
      <c r="K60" s="1240"/>
      <c r="L60" s="1242"/>
      <c r="M60" s="1240"/>
      <c r="N60" s="1240"/>
      <c r="O60" s="1240"/>
      <c r="P60" s="1240"/>
      <c r="Q60" s="1241"/>
      <c r="R60" s="1241"/>
      <c r="S60" s="1241"/>
      <c r="T60" s="1241"/>
      <c r="U60" s="1240"/>
      <c r="V60" s="1243"/>
      <c r="W60" s="1241"/>
      <c r="X60" s="1243"/>
      <c r="Y60" s="1240"/>
      <c r="Z60" s="1238"/>
    </row>
    <row r="61" spans="1:26">
      <c r="A61" s="1239"/>
      <c r="B61" s="1240"/>
      <c r="C61" s="1240"/>
      <c r="D61" s="1240"/>
      <c r="E61" s="1241"/>
      <c r="F61" s="1241"/>
      <c r="G61" s="1241"/>
      <c r="H61" s="1241"/>
      <c r="I61" s="1240"/>
      <c r="J61" s="1240"/>
      <c r="K61" s="1240"/>
      <c r="L61" s="1242"/>
      <c r="M61" s="1240"/>
      <c r="N61" s="1240"/>
      <c r="O61" s="1240"/>
      <c r="P61" s="1240"/>
      <c r="Q61" s="1241"/>
      <c r="R61" s="1241"/>
      <c r="S61" s="1241"/>
      <c r="T61" s="1241"/>
      <c r="U61" s="1240"/>
      <c r="V61" s="1243"/>
      <c r="W61" s="1241"/>
      <c r="X61" s="1243"/>
      <c r="Y61" s="1240"/>
      <c r="Z61" s="1238"/>
    </row>
    <row r="62" spans="1:26">
      <c r="A62" s="1239"/>
      <c r="B62" s="1240"/>
      <c r="C62" s="1240"/>
      <c r="D62" s="1240"/>
      <c r="E62" s="1241"/>
      <c r="F62" s="1241"/>
      <c r="G62" s="1241"/>
      <c r="H62" s="1241"/>
      <c r="I62" s="1240"/>
      <c r="J62" s="1240"/>
      <c r="K62" s="1240"/>
      <c r="L62" s="1242"/>
      <c r="M62" s="1240"/>
      <c r="N62" s="1240"/>
      <c r="O62" s="1240"/>
      <c r="P62" s="1240"/>
      <c r="Q62" s="1241"/>
      <c r="R62" s="1241"/>
      <c r="S62" s="1241"/>
      <c r="T62" s="1241"/>
      <c r="U62" s="1240"/>
      <c r="V62" s="1243"/>
      <c r="W62" s="1241"/>
      <c r="X62" s="1243"/>
      <c r="Y62" s="1240"/>
      <c r="Z62" s="1238"/>
    </row>
    <row r="63" spans="1:26">
      <c r="A63" s="1239"/>
      <c r="B63" s="1240"/>
      <c r="C63" s="1240"/>
      <c r="D63" s="1240"/>
      <c r="E63" s="1241"/>
      <c r="F63" s="1241"/>
      <c r="G63" s="1241"/>
      <c r="H63" s="1241"/>
      <c r="I63" s="1240"/>
      <c r="J63" s="1240"/>
      <c r="K63" s="1240"/>
      <c r="L63" s="1242"/>
      <c r="M63" s="1240"/>
      <c r="N63" s="1240"/>
      <c r="O63" s="1240"/>
      <c r="P63" s="1240"/>
      <c r="Q63" s="1241"/>
      <c r="R63" s="1241"/>
      <c r="S63" s="1241"/>
      <c r="T63" s="1241"/>
      <c r="U63" s="1240"/>
      <c r="V63" s="1243"/>
      <c r="W63" s="1241"/>
      <c r="X63" s="1243"/>
      <c r="Y63" s="1240"/>
      <c r="Z63" s="1238"/>
    </row>
    <row r="64" spans="1:26">
      <c r="A64" s="1239"/>
      <c r="B64" s="1240"/>
      <c r="C64" s="1240"/>
      <c r="D64" s="1240"/>
      <c r="E64" s="1241"/>
      <c r="F64" s="1241"/>
      <c r="G64" s="1241"/>
      <c r="H64" s="1241"/>
      <c r="I64" s="1240"/>
      <c r="J64" s="1240"/>
      <c r="K64" s="1240"/>
      <c r="L64" s="1242"/>
      <c r="M64" s="1240"/>
      <c r="N64" s="1240"/>
      <c r="O64" s="1240"/>
      <c r="P64" s="1240"/>
      <c r="Q64" s="1241"/>
      <c r="R64" s="1241"/>
      <c r="S64" s="1241"/>
      <c r="T64" s="1241"/>
      <c r="U64" s="1240"/>
      <c r="V64" s="1243"/>
      <c r="W64" s="1241"/>
      <c r="X64" s="1243"/>
      <c r="Y64" s="1240"/>
      <c r="Z64" s="1238"/>
    </row>
    <row r="65" spans="1:26">
      <c r="A65" s="1239"/>
      <c r="B65" s="1240"/>
      <c r="C65" s="1240"/>
      <c r="D65" s="1240"/>
      <c r="E65" s="1241"/>
      <c r="F65" s="1241"/>
      <c r="G65" s="1241"/>
      <c r="H65" s="1241"/>
      <c r="I65" s="1240"/>
      <c r="J65" s="1240"/>
      <c r="K65" s="1240"/>
      <c r="L65" s="1242"/>
      <c r="M65" s="1240"/>
      <c r="N65" s="1240"/>
      <c r="O65" s="1240"/>
      <c r="P65" s="1240"/>
      <c r="Q65" s="1241"/>
      <c r="R65" s="1241"/>
      <c r="S65" s="1241"/>
      <c r="T65" s="1241"/>
      <c r="U65" s="1240"/>
      <c r="V65" s="1243"/>
      <c r="W65" s="1241"/>
      <c r="X65" s="1243"/>
      <c r="Y65" s="1240"/>
      <c r="Z65" s="1238"/>
    </row>
    <row r="66" spans="1:26">
      <c r="A66" s="1239"/>
      <c r="B66" s="1240"/>
      <c r="C66" s="1240"/>
      <c r="D66" s="1240"/>
      <c r="E66" s="1241"/>
      <c r="F66" s="1241"/>
      <c r="G66" s="1241"/>
      <c r="H66" s="1241"/>
      <c r="I66" s="1240"/>
      <c r="J66" s="1240"/>
      <c r="K66" s="1240"/>
      <c r="L66" s="1242"/>
      <c r="M66" s="1240"/>
      <c r="N66" s="1240"/>
      <c r="O66" s="1240"/>
      <c r="P66" s="1240"/>
      <c r="Q66" s="1241"/>
      <c r="R66" s="1241"/>
      <c r="S66" s="1241"/>
      <c r="T66" s="1241"/>
      <c r="U66" s="1240"/>
      <c r="V66" s="1243"/>
      <c r="W66" s="1241"/>
      <c r="X66" s="1243"/>
      <c r="Y66" s="1240"/>
      <c r="Z66" s="1238"/>
    </row>
    <row r="67" spans="1:26">
      <c r="A67" s="1239"/>
      <c r="B67" s="1240"/>
      <c r="C67" s="1240"/>
      <c r="D67" s="1240"/>
      <c r="E67" s="1241"/>
      <c r="F67" s="1241"/>
      <c r="G67" s="1241"/>
      <c r="H67" s="1241"/>
      <c r="I67" s="1240"/>
      <c r="J67" s="1240"/>
      <c r="K67" s="1240"/>
      <c r="L67" s="1242"/>
      <c r="M67" s="1240"/>
      <c r="N67" s="1240"/>
      <c r="O67" s="1240"/>
      <c r="P67" s="1240"/>
      <c r="Q67" s="1241"/>
      <c r="R67" s="1241"/>
      <c r="S67" s="1241"/>
      <c r="T67" s="1241"/>
      <c r="U67" s="1240"/>
      <c r="V67" s="1243"/>
      <c r="W67" s="1241"/>
      <c r="X67" s="1243"/>
      <c r="Y67" s="1240"/>
      <c r="Z67" s="1238"/>
    </row>
    <row r="68" spans="1:26">
      <c r="A68" s="1239"/>
      <c r="B68" s="1240"/>
      <c r="C68" s="1240"/>
      <c r="D68" s="1240"/>
      <c r="E68" s="1241"/>
      <c r="F68" s="1241"/>
      <c r="G68" s="1241"/>
      <c r="H68" s="1241"/>
      <c r="I68" s="1240"/>
      <c r="J68" s="1240"/>
      <c r="K68" s="1240"/>
      <c r="L68" s="1242"/>
      <c r="M68" s="1240"/>
      <c r="N68" s="1240"/>
      <c r="O68" s="1240"/>
      <c r="P68" s="1240"/>
      <c r="Q68" s="1241"/>
      <c r="R68" s="1241"/>
      <c r="S68" s="1241"/>
      <c r="T68" s="1241"/>
      <c r="U68" s="1240"/>
      <c r="V68" s="1243"/>
      <c r="W68" s="1241"/>
      <c r="X68" s="1243"/>
      <c r="Y68" s="1240"/>
      <c r="Z68" s="1238"/>
    </row>
    <row r="69" spans="1:26">
      <c r="A69" s="1239"/>
      <c r="B69" s="1240"/>
      <c r="C69" s="1240"/>
      <c r="D69" s="1240"/>
      <c r="E69" s="1241"/>
      <c r="F69" s="1241"/>
      <c r="G69" s="1241"/>
      <c r="H69" s="1241"/>
      <c r="I69" s="1240"/>
      <c r="J69" s="1240"/>
      <c r="K69" s="1240"/>
      <c r="L69" s="1242"/>
      <c r="M69" s="1240"/>
      <c r="N69" s="1240"/>
      <c r="O69" s="1240"/>
      <c r="P69" s="1240"/>
      <c r="Q69" s="1241"/>
      <c r="R69" s="1241"/>
      <c r="S69" s="1241"/>
      <c r="T69" s="1241"/>
      <c r="U69" s="1240"/>
      <c r="V69" s="1243"/>
      <c r="W69" s="1241"/>
      <c r="X69" s="1243"/>
      <c r="Y69" s="1240"/>
      <c r="Z69" s="1238"/>
    </row>
    <row r="70" spans="1:26">
      <c r="A70" s="1239"/>
      <c r="B70" s="1240"/>
      <c r="C70" s="1240"/>
      <c r="D70" s="1240"/>
      <c r="E70" s="1241"/>
      <c r="F70" s="1241"/>
      <c r="G70" s="1241"/>
      <c r="H70" s="1241"/>
      <c r="I70" s="1240"/>
      <c r="J70" s="1240"/>
      <c r="K70" s="1240"/>
      <c r="L70" s="1242"/>
      <c r="M70" s="1240"/>
      <c r="N70" s="1240"/>
      <c r="O70" s="1240"/>
      <c r="P70" s="1240"/>
      <c r="Q70" s="1241"/>
      <c r="R70" s="1241"/>
      <c r="S70" s="1241"/>
      <c r="T70" s="1241"/>
      <c r="U70" s="1240"/>
      <c r="V70" s="1243"/>
      <c r="W70" s="1241"/>
      <c r="X70" s="1243"/>
      <c r="Y70" s="1240"/>
      <c r="Z70" s="1238"/>
    </row>
    <row r="71" spans="1:26">
      <c r="A71" s="1239"/>
      <c r="B71" s="1240"/>
      <c r="C71" s="1240"/>
      <c r="D71" s="1240"/>
      <c r="E71" s="1241"/>
      <c r="F71" s="1241"/>
      <c r="G71" s="1241"/>
      <c r="H71" s="1241"/>
      <c r="I71" s="1240"/>
      <c r="J71" s="1240"/>
      <c r="K71" s="1240"/>
      <c r="L71" s="1242"/>
      <c r="M71" s="1240"/>
      <c r="N71" s="1240"/>
      <c r="O71" s="1240"/>
      <c r="P71" s="1240"/>
      <c r="Q71" s="1241"/>
      <c r="R71" s="1241"/>
      <c r="S71" s="1241"/>
      <c r="T71" s="1241"/>
      <c r="U71" s="1240"/>
      <c r="V71" s="1243"/>
      <c r="W71" s="1241"/>
      <c r="X71" s="1243"/>
      <c r="Y71" s="1240"/>
      <c r="Z71" s="1238"/>
    </row>
    <row r="72" spans="1:26">
      <c r="A72" s="1239"/>
      <c r="B72" s="1240"/>
      <c r="C72" s="1240"/>
      <c r="D72" s="1240"/>
      <c r="E72" s="1241"/>
      <c r="F72" s="1241"/>
      <c r="G72" s="1241"/>
      <c r="H72" s="1241"/>
      <c r="I72" s="1240"/>
      <c r="J72" s="1240"/>
      <c r="K72" s="1240"/>
      <c r="L72" s="1242"/>
      <c r="M72" s="1240"/>
      <c r="N72" s="1240"/>
      <c r="O72" s="1240"/>
      <c r="P72" s="1240"/>
      <c r="Q72" s="1241"/>
      <c r="R72" s="1241"/>
      <c r="S72" s="1241"/>
      <c r="T72" s="1241"/>
      <c r="U72" s="1240"/>
      <c r="V72" s="1243"/>
      <c r="W72" s="1241"/>
      <c r="X72" s="1243"/>
      <c r="Y72" s="1240"/>
      <c r="Z72" s="1238"/>
    </row>
    <row r="73" spans="1:26">
      <c r="A73" s="1239"/>
      <c r="B73" s="1240"/>
      <c r="C73" s="1240"/>
      <c r="D73" s="1240"/>
      <c r="E73" s="1241"/>
      <c r="F73" s="1241"/>
      <c r="G73" s="1241"/>
      <c r="H73" s="1241"/>
      <c r="I73" s="1240"/>
      <c r="J73" s="1240"/>
      <c r="K73" s="1240"/>
      <c r="L73" s="1242"/>
      <c r="M73" s="1240"/>
      <c r="N73" s="1240"/>
      <c r="O73" s="1240"/>
      <c r="P73" s="1240"/>
      <c r="Q73" s="1241"/>
      <c r="R73" s="1241"/>
      <c r="S73" s="1241"/>
      <c r="T73" s="1241"/>
      <c r="U73" s="1240"/>
      <c r="V73" s="1243"/>
      <c r="W73" s="1241"/>
      <c r="X73" s="1243"/>
      <c r="Y73" s="1240"/>
      <c r="Z73" s="1238"/>
    </row>
    <row r="74" spans="1:26">
      <c r="A74" s="1239"/>
      <c r="B74" s="1240"/>
      <c r="C74" s="1240"/>
      <c r="D74" s="1240"/>
      <c r="E74" s="1241"/>
      <c r="F74" s="1241"/>
      <c r="G74" s="1241"/>
      <c r="H74" s="1241"/>
      <c r="I74" s="1240"/>
      <c r="J74" s="1240"/>
      <c r="K74" s="1240"/>
      <c r="L74" s="1242"/>
      <c r="M74" s="1240"/>
      <c r="N74" s="1240"/>
      <c r="O74" s="1240"/>
      <c r="P74" s="1240"/>
      <c r="Q74" s="1241"/>
      <c r="R74" s="1241"/>
      <c r="S74" s="1241"/>
      <c r="T74" s="1241"/>
      <c r="U74" s="1240"/>
      <c r="V74" s="1243"/>
      <c r="W74" s="1241"/>
      <c r="X74" s="1243"/>
      <c r="Y74" s="1240"/>
      <c r="Z74" s="1238"/>
    </row>
    <row r="75" spans="1:26">
      <c r="A75" s="1239"/>
      <c r="B75" s="1240"/>
      <c r="C75" s="1240"/>
      <c r="D75" s="1240"/>
      <c r="E75" s="1241"/>
      <c r="F75" s="1241"/>
      <c r="G75" s="1241"/>
      <c r="H75" s="1241"/>
      <c r="I75" s="1240"/>
      <c r="J75" s="1240"/>
      <c r="K75" s="1240"/>
      <c r="L75" s="1242"/>
      <c r="M75" s="1240"/>
      <c r="N75" s="1240"/>
      <c r="O75" s="1240"/>
      <c r="P75" s="1240"/>
      <c r="Q75" s="1241"/>
      <c r="R75" s="1241"/>
      <c r="S75" s="1241"/>
      <c r="T75" s="1241"/>
      <c r="U75" s="1240"/>
      <c r="V75" s="1243"/>
      <c r="W75" s="1241"/>
      <c r="X75" s="1243"/>
      <c r="Y75" s="1240"/>
      <c r="Z75" s="1238"/>
    </row>
    <row r="76" spans="1:26">
      <c r="A76" s="1239"/>
      <c r="B76" s="1240"/>
      <c r="C76" s="1240"/>
      <c r="D76" s="1240"/>
      <c r="E76" s="1241"/>
      <c r="F76" s="1241"/>
      <c r="G76" s="1241"/>
      <c r="H76" s="1241"/>
      <c r="I76" s="1240"/>
      <c r="J76" s="1240"/>
      <c r="K76" s="1240"/>
      <c r="L76" s="1242"/>
      <c r="M76" s="1240"/>
      <c r="N76" s="1240"/>
      <c r="O76" s="1240"/>
      <c r="P76" s="1240"/>
      <c r="Q76" s="1241"/>
      <c r="R76" s="1241"/>
      <c r="S76" s="1241"/>
      <c r="T76" s="1241"/>
      <c r="U76" s="1240"/>
      <c r="V76" s="1243"/>
      <c r="W76" s="1241"/>
      <c r="X76" s="1243"/>
      <c r="Y76" s="1240"/>
      <c r="Z76" s="1238"/>
    </row>
    <row r="77" spans="1:26">
      <c r="A77" s="1239"/>
      <c r="B77" s="1240"/>
      <c r="C77" s="1240"/>
      <c r="D77" s="1240"/>
      <c r="E77" s="1241"/>
      <c r="F77" s="1241"/>
      <c r="G77" s="1241"/>
      <c r="H77" s="1241"/>
      <c r="I77" s="1240"/>
      <c r="J77" s="1240"/>
      <c r="K77" s="1240"/>
      <c r="L77" s="1242"/>
      <c r="M77" s="1240"/>
      <c r="N77" s="1240"/>
      <c r="O77" s="1240"/>
      <c r="P77" s="1240"/>
      <c r="Q77" s="1241"/>
      <c r="R77" s="1241"/>
      <c r="S77" s="1241"/>
      <c r="T77" s="1241"/>
      <c r="U77" s="1240"/>
      <c r="V77" s="1243"/>
      <c r="W77" s="1241"/>
      <c r="X77" s="1243"/>
      <c r="Y77" s="1240"/>
      <c r="Z77" s="1238"/>
    </row>
    <row r="78" spans="1:26">
      <c r="A78" s="1239"/>
      <c r="B78" s="1240"/>
      <c r="C78" s="1240"/>
      <c r="D78" s="1240"/>
      <c r="E78" s="1241"/>
      <c r="F78" s="1241"/>
      <c r="G78" s="1241"/>
      <c r="H78" s="1241"/>
      <c r="I78" s="1240"/>
      <c r="J78" s="1240"/>
      <c r="K78" s="1240"/>
      <c r="L78" s="1242"/>
      <c r="M78" s="1240"/>
      <c r="N78" s="1240"/>
      <c r="O78" s="1240"/>
      <c r="P78" s="1240"/>
      <c r="Q78" s="1241"/>
      <c r="R78" s="1241"/>
      <c r="S78" s="1241"/>
      <c r="T78" s="1241"/>
      <c r="U78" s="1240"/>
      <c r="V78" s="1243"/>
      <c r="W78" s="1241"/>
      <c r="X78" s="1243"/>
      <c r="Y78" s="1240"/>
      <c r="Z78" s="1238"/>
    </row>
    <row r="79" spans="1:26">
      <c r="A79" s="1239"/>
      <c r="B79" s="1240"/>
      <c r="C79" s="1240"/>
      <c r="D79" s="1240"/>
      <c r="E79" s="1241"/>
      <c r="F79" s="1241"/>
      <c r="G79" s="1241"/>
      <c r="H79" s="1241"/>
      <c r="I79" s="1240"/>
      <c r="J79" s="1240"/>
      <c r="K79" s="1240"/>
      <c r="L79" s="1242"/>
      <c r="M79" s="1240"/>
      <c r="N79" s="1240"/>
      <c r="O79" s="1240"/>
      <c r="P79" s="1240"/>
      <c r="Q79" s="1241"/>
      <c r="R79" s="1241"/>
      <c r="S79" s="1241"/>
      <c r="T79" s="1241"/>
      <c r="U79" s="1240"/>
      <c r="V79" s="1243"/>
      <c r="W79" s="1241"/>
      <c r="X79" s="1243"/>
      <c r="Y79" s="1240"/>
      <c r="Z79" s="1238"/>
    </row>
    <row r="80" spans="1:26">
      <c r="A80" s="1239"/>
      <c r="B80" s="1240"/>
      <c r="C80" s="1240"/>
      <c r="D80" s="1240"/>
      <c r="E80" s="1241"/>
      <c r="F80" s="1241"/>
      <c r="G80" s="1241"/>
      <c r="H80" s="1241"/>
      <c r="I80" s="1240"/>
      <c r="J80" s="1240"/>
      <c r="K80" s="1240"/>
      <c r="L80" s="1242"/>
      <c r="M80" s="1240"/>
      <c r="N80" s="1240"/>
      <c r="O80" s="1240"/>
      <c r="P80" s="1240"/>
      <c r="Q80" s="1241"/>
      <c r="R80" s="1241"/>
      <c r="S80" s="1241"/>
      <c r="T80" s="1241"/>
      <c r="U80" s="1240"/>
      <c r="V80" s="1243"/>
      <c r="W80" s="1241"/>
      <c r="X80" s="1243"/>
      <c r="Y80" s="1240"/>
      <c r="Z80" s="1238"/>
    </row>
    <row r="81" spans="1:26">
      <c r="A81" s="1239"/>
      <c r="B81" s="1240"/>
      <c r="C81" s="1240"/>
      <c r="D81" s="1240"/>
      <c r="E81" s="1241"/>
      <c r="F81" s="1241"/>
      <c r="G81" s="1241"/>
      <c r="H81" s="1241"/>
      <c r="I81" s="1240"/>
      <c r="J81" s="1240"/>
      <c r="K81" s="1240"/>
      <c r="L81" s="1242"/>
      <c r="M81" s="1240"/>
      <c r="N81" s="1240"/>
      <c r="O81" s="1240"/>
      <c r="P81" s="1240"/>
      <c r="Q81" s="1241"/>
      <c r="R81" s="1241"/>
      <c r="S81" s="1241"/>
      <c r="T81" s="1241"/>
      <c r="U81" s="1240"/>
      <c r="V81" s="1243"/>
      <c r="W81" s="1241"/>
      <c r="X81" s="1243"/>
      <c r="Y81" s="1240"/>
      <c r="Z81" s="1238"/>
    </row>
    <row r="82" spans="1:26">
      <c r="A82" s="1239"/>
      <c r="B82" s="1240"/>
      <c r="C82" s="1240"/>
      <c r="D82" s="1240"/>
      <c r="E82" s="1241"/>
      <c r="F82" s="1241"/>
      <c r="G82" s="1241"/>
      <c r="H82" s="1241"/>
      <c r="I82" s="1240"/>
      <c r="J82" s="1240"/>
      <c r="K82" s="1240"/>
      <c r="L82" s="1242"/>
      <c r="M82" s="1240"/>
      <c r="N82" s="1240"/>
      <c r="O82" s="1240"/>
      <c r="P82" s="1240"/>
      <c r="Q82" s="1241"/>
      <c r="R82" s="1241"/>
      <c r="S82" s="1241"/>
      <c r="T82" s="1241"/>
      <c r="U82" s="1240"/>
      <c r="V82" s="1243"/>
      <c r="W82" s="1241"/>
      <c r="X82" s="1243"/>
      <c r="Y82" s="1240"/>
      <c r="Z82" s="1238"/>
    </row>
    <row r="83" spans="1:26">
      <c r="A83" s="1239"/>
      <c r="B83" s="1240"/>
      <c r="C83" s="1240"/>
      <c r="D83" s="1240"/>
      <c r="E83" s="1241"/>
      <c r="F83" s="1241"/>
      <c r="G83" s="1241"/>
      <c r="H83" s="1241"/>
      <c r="I83" s="1240"/>
      <c r="J83" s="1240"/>
      <c r="K83" s="1240"/>
      <c r="L83" s="1242"/>
      <c r="M83" s="1240"/>
      <c r="N83" s="1240"/>
      <c r="O83" s="1240"/>
      <c r="P83" s="1240"/>
      <c r="Q83" s="1241"/>
      <c r="R83" s="1241"/>
      <c r="S83" s="1241"/>
      <c r="T83" s="1241"/>
      <c r="U83" s="1240"/>
      <c r="V83" s="1243"/>
      <c r="W83" s="1241"/>
      <c r="X83" s="1243"/>
      <c r="Y83" s="1240"/>
      <c r="Z83" s="1238"/>
    </row>
    <row r="84" spans="1:26">
      <c r="A84" s="1239"/>
      <c r="B84" s="1240"/>
      <c r="C84" s="1240"/>
      <c r="D84" s="1240"/>
      <c r="E84" s="1241"/>
      <c r="F84" s="1241"/>
      <c r="G84" s="1241"/>
      <c r="H84" s="1241"/>
      <c r="I84" s="1240"/>
      <c r="J84" s="1240"/>
      <c r="K84" s="1240"/>
      <c r="L84" s="1242"/>
      <c r="M84" s="1240"/>
      <c r="N84" s="1240"/>
      <c r="O84" s="1240"/>
      <c r="P84" s="1240"/>
      <c r="Q84" s="1241"/>
      <c r="R84" s="1241"/>
      <c r="S84" s="1241"/>
      <c r="T84" s="1241"/>
      <c r="U84" s="1240"/>
      <c r="V84" s="1243"/>
      <c r="W84" s="1241"/>
      <c r="X84" s="1243"/>
      <c r="Y84" s="1240"/>
      <c r="Z84" s="1238"/>
    </row>
    <row r="85" spans="1:26">
      <c r="A85" s="1239"/>
      <c r="B85" s="1240"/>
      <c r="C85" s="1240"/>
      <c r="D85" s="1240"/>
      <c r="E85" s="1241"/>
      <c r="F85" s="1241"/>
      <c r="G85" s="1241"/>
      <c r="H85" s="1241"/>
      <c r="I85" s="1240"/>
      <c r="J85" s="1240"/>
      <c r="K85" s="1240"/>
      <c r="L85" s="1242"/>
      <c r="M85" s="1240"/>
      <c r="N85" s="1240"/>
      <c r="O85" s="1240"/>
      <c r="P85" s="1240"/>
      <c r="Q85" s="1241"/>
      <c r="R85" s="1241"/>
      <c r="S85" s="1241"/>
      <c r="T85" s="1241"/>
      <c r="U85" s="1240"/>
      <c r="V85" s="1243"/>
      <c r="W85" s="1241"/>
      <c r="X85" s="1243"/>
      <c r="Y85" s="1240"/>
      <c r="Z85" s="1238"/>
    </row>
    <row r="86" spans="1:26">
      <c r="A86" s="1239"/>
      <c r="B86" s="1240"/>
      <c r="C86" s="1240"/>
      <c r="D86" s="1240"/>
      <c r="E86" s="1241"/>
      <c r="F86" s="1241"/>
      <c r="G86" s="1241"/>
      <c r="H86" s="1241"/>
      <c r="I86" s="1240"/>
      <c r="J86" s="1240"/>
      <c r="K86" s="1240"/>
      <c r="L86" s="1242"/>
      <c r="M86" s="1240"/>
      <c r="N86" s="1240"/>
      <c r="O86" s="1240"/>
      <c r="P86" s="1240"/>
      <c r="Q86" s="1241"/>
      <c r="R86" s="1241"/>
      <c r="S86" s="1241"/>
      <c r="T86" s="1241"/>
      <c r="U86" s="1240"/>
      <c r="V86" s="1243"/>
      <c r="W86" s="1241"/>
      <c r="X86" s="1243"/>
      <c r="Y86" s="1240"/>
      <c r="Z86" s="1238"/>
    </row>
    <row r="87" spans="1:26">
      <c r="A87" s="1239"/>
      <c r="B87" s="1240"/>
      <c r="C87" s="1240"/>
      <c r="D87" s="1240"/>
      <c r="E87" s="1241"/>
      <c r="F87" s="1241"/>
      <c r="G87" s="1241"/>
      <c r="H87" s="1241"/>
      <c r="I87" s="1240"/>
      <c r="J87" s="1240"/>
      <c r="K87" s="1240"/>
      <c r="L87" s="1242"/>
      <c r="M87" s="1240"/>
      <c r="N87" s="1240"/>
      <c r="O87" s="1240"/>
      <c r="P87" s="1240"/>
      <c r="Q87" s="1241"/>
      <c r="R87" s="1241"/>
      <c r="S87" s="1241"/>
      <c r="T87" s="1241"/>
      <c r="U87" s="1240"/>
      <c r="V87" s="1243"/>
      <c r="W87" s="1241"/>
      <c r="X87" s="1243"/>
      <c r="Y87" s="1240"/>
      <c r="Z87" s="1238"/>
    </row>
    <row r="88" spans="1:26">
      <c r="A88" s="1239"/>
      <c r="B88" s="1240"/>
      <c r="C88" s="1240"/>
      <c r="D88" s="1240"/>
      <c r="E88" s="1241"/>
      <c r="F88" s="1241"/>
      <c r="G88" s="1241"/>
      <c r="H88" s="1241"/>
      <c r="I88" s="1240"/>
      <c r="J88" s="1240"/>
      <c r="K88" s="1240"/>
      <c r="L88" s="1242"/>
      <c r="M88" s="1240"/>
      <c r="N88" s="1240"/>
      <c r="O88" s="1240"/>
      <c r="P88" s="1240"/>
      <c r="Q88" s="1241"/>
      <c r="R88" s="1241"/>
      <c r="S88" s="1241"/>
      <c r="T88" s="1241"/>
      <c r="U88" s="1240"/>
      <c r="V88" s="1243"/>
      <c r="W88" s="1241"/>
      <c r="X88" s="1243"/>
      <c r="Y88" s="1240"/>
      <c r="Z88" s="1238"/>
    </row>
    <row r="89" spans="1:26">
      <c r="A89" s="1239"/>
      <c r="B89" s="1240"/>
      <c r="C89" s="1240"/>
      <c r="D89" s="1240"/>
      <c r="E89" s="1241"/>
      <c r="F89" s="1241"/>
      <c r="G89" s="1241"/>
      <c r="H89" s="1241"/>
      <c r="I89" s="1240"/>
      <c r="J89" s="1240"/>
      <c r="K89" s="1240"/>
      <c r="L89" s="1242"/>
      <c r="M89" s="1240"/>
      <c r="N89" s="1240"/>
      <c r="O89" s="1240"/>
      <c r="P89" s="1240"/>
      <c r="Q89" s="1241"/>
      <c r="R89" s="1241"/>
      <c r="S89" s="1241"/>
      <c r="T89" s="1241"/>
      <c r="U89" s="1240"/>
      <c r="V89" s="1243"/>
      <c r="W89" s="1241"/>
      <c r="X89" s="1243"/>
      <c r="Y89" s="1240"/>
      <c r="Z89" s="1238"/>
    </row>
    <row r="90" spans="1:26">
      <c r="A90" s="1239"/>
      <c r="B90" s="1240"/>
      <c r="C90" s="1240"/>
      <c r="D90" s="1240"/>
      <c r="E90" s="1241"/>
      <c r="F90" s="1241"/>
      <c r="G90" s="1241"/>
      <c r="H90" s="1241"/>
      <c r="I90" s="1240"/>
      <c r="J90" s="1240"/>
      <c r="K90" s="1240"/>
      <c r="L90" s="1242"/>
      <c r="M90" s="1240"/>
      <c r="N90" s="1240"/>
      <c r="O90" s="1240"/>
      <c r="P90" s="1240"/>
      <c r="Q90" s="1241"/>
      <c r="R90" s="1241"/>
      <c r="S90" s="1241"/>
      <c r="T90" s="1241"/>
      <c r="U90" s="1240"/>
      <c r="V90" s="1243"/>
      <c r="W90" s="1241"/>
      <c r="X90" s="1243"/>
      <c r="Y90" s="1240"/>
      <c r="Z90" s="1238"/>
    </row>
    <row r="91" spans="1:26">
      <c r="A91" s="1239"/>
      <c r="B91" s="1240"/>
      <c r="C91" s="1240"/>
      <c r="D91" s="1240"/>
      <c r="E91" s="1241"/>
      <c r="F91" s="1241"/>
      <c r="G91" s="1241"/>
      <c r="H91" s="1241"/>
      <c r="I91" s="1240"/>
      <c r="J91" s="1240"/>
      <c r="K91" s="1240"/>
      <c r="L91" s="1242"/>
      <c r="M91" s="1240"/>
      <c r="N91" s="1240"/>
      <c r="O91" s="1240"/>
      <c r="P91" s="1240"/>
      <c r="Q91" s="1241"/>
      <c r="R91" s="1241"/>
      <c r="S91" s="1241"/>
      <c r="T91" s="1241"/>
      <c r="U91" s="1240"/>
      <c r="V91" s="1243"/>
      <c r="W91" s="1241"/>
      <c r="X91" s="1243"/>
      <c r="Y91" s="1240"/>
      <c r="Z91" s="1238"/>
    </row>
    <row r="92" spans="1:26">
      <c r="A92" s="1239"/>
      <c r="B92" s="1240"/>
      <c r="C92" s="1240"/>
      <c r="D92" s="1240"/>
      <c r="E92" s="1241"/>
      <c r="F92" s="1241"/>
      <c r="G92" s="1241"/>
      <c r="H92" s="1241"/>
      <c r="I92" s="1240"/>
      <c r="J92" s="1240"/>
      <c r="K92" s="1240"/>
      <c r="L92" s="1242"/>
      <c r="M92" s="1240"/>
      <c r="N92" s="1240"/>
      <c r="O92" s="1240"/>
      <c r="P92" s="1240"/>
      <c r="Q92" s="1241"/>
      <c r="R92" s="1241"/>
      <c r="S92" s="1241"/>
      <c r="T92" s="1241"/>
      <c r="U92" s="1240"/>
      <c r="V92" s="1243"/>
      <c r="W92" s="1241"/>
      <c r="X92" s="1243"/>
      <c r="Y92" s="1240"/>
      <c r="Z92" s="1238"/>
    </row>
    <row r="93" spans="1:26">
      <c r="A93" s="1239"/>
      <c r="B93" s="1240"/>
      <c r="C93" s="1240"/>
      <c r="D93" s="1240"/>
      <c r="E93" s="1241"/>
      <c r="F93" s="1241"/>
      <c r="G93" s="1241"/>
      <c r="H93" s="1241"/>
      <c r="I93" s="1240"/>
      <c r="J93" s="1240"/>
      <c r="K93" s="1240"/>
      <c r="L93" s="1242"/>
      <c r="M93" s="1240"/>
      <c r="N93" s="1240"/>
      <c r="O93" s="1240"/>
      <c r="P93" s="1240"/>
      <c r="Q93" s="1241"/>
      <c r="R93" s="1241"/>
      <c r="S93" s="1241"/>
      <c r="T93" s="1241"/>
      <c r="U93" s="1240"/>
      <c r="V93" s="1243"/>
      <c r="W93" s="1241"/>
      <c r="X93" s="1243"/>
      <c r="Y93" s="1240"/>
      <c r="Z93" s="1238"/>
    </row>
    <row r="94" spans="1:26">
      <c r="A94" s="1239"/>
      <c r="B94" s="1240"/>
      <c r="C94" s="1240"/>
      <c r="D94" s="1240"/>
      <c r="E94" s="1241"/>
      <c r="F94" s="1241"/>
      <c r="G94" s="1241"/>
      <c r="H94" s="1241"/>
      <c r="I94" s="1240"/>
      <c r="J94" s="1240"/>
      <c r="K94" s="1240"/>
      <c r="L94" s="1242"/>
      <c r="M94" s="1240"/>
      <c r="N94" s="1240"/>
      <c r="O94" s="1240"/>
      <c r="P94" s="1240"/>
      <c r="Q94" s="1241"/>
      <c r="R94" s="1241"/>
      <c r="S94" s="1241"/>
      <c r="T94" s="1241"/>
      <c r="U94" s="1240"/>
      <c r="V94" s="1243"/>
      <c r="W94" s="1241"/>
      <c r="X94" s="1243"/>
      <c r="Y94" s="1240"/>
      <c r="Z94" s="1238"/>
    </row>
    <row r="95" spans="1:26">
      <c r="A95" s="1239"/>
      <c r="B95" s="1240"/>
      <c r="C95" s="1240"/>
      <c r="D95" s="1240"/>
      <c r="E95" s="1241"/>
      <c r="F95" s="1241"/>
      <c r="G95" s="1241"/>
      <c r="H95" s="1241"/>
      <c r="I95" s="1240"/>
      <c r="J95" s="1240"/>
      <c r="K95" s="1240"/>
      <c r="L95" s="1242"/>
      <c r="M95" s="1240"/>
      <c r="N95" s="1240"/>
      <c r="O95" s="1240"/>
      <c r="P95" s="1240"/>
      <c r="Q95" s="1241"/>
      <c r="R95" s="1241"/>
      <c r="S95" s="1241"/>
      <c r="T95" s="1241"/>
      <c r="U95" s="1240"/>
      <c r="V95" s="1243"/>
      <c r="W95" s="1241"/>
      <c r="X95" s="1243"/>
      <c r="Y95" s="1240"/>
      <c r="Z95" s="1238"/>
    </row>
    <row r="96" spans="1:26">
      <c r="A96" s="1239"/>
      <c r="B96" s="1240"/>
      <c r="C96" s="1240"/>
      <c r="D96" s="1240"/>
      <c r="E96" s="1241"/>
      <c r="F96" s="1241"/>
      <c r="G96" s="1241"/>
      <c r="H96" s="1241"/>
      <c r="I96" s="1240"/>
      <c r="J96" s="1240"/>
      <c r="K96" s="1240"/>
      <c r="L96" s="1242"/>
      <c r="M96" s="1240"/>
      <c r="N96" s="1240"/>
      <c r="O96" s="1240"/>
      <c r="P96" s="1240"/>
      <c r="Q96" s="1241"/>
      <c r="R96" s="1241"/>
      <c r="S96" s="1241"/>
      <c r="T96" s="1241"/>
      <c r="U96" s="1240"/>
      <c r="V96" s="1243"/>
      <c r="W96" s="1241"/>
      <c r="X96" s="1243"/>
      <c r="Y96" s="1240"/>
      <c r="Z96" s="1238"/>
    </row>
    <row r="97" spans="1:26">
      <c r="A97" s="1239"/>
      <c r="B97" s="1240"/>
      <c r="C97" s="1240"/>
      <c r="D97" s="1240"/>
      <c r="E97" s="1241"/>
      <c r="F97" s="1241"/>
      <c r="G97" s="1241"/>
      <c r="H97" s="1241"/>
      <c r="I97" s="1240"/>
      <c r="J97" s="1240"/>
      <c r="K97" s="1240"/>
      <c r="L97" s="1242"/>
      <c r="M97" s="1240"/>
      <c r="N97" s="1240"/>
      <c r="O97" s="1240"/>
      <c r="P97" s="1240"/>
      <c r="Q97" s="1241"/>
      <c r="R97" s="1241"/>
      <c r="S97" s="1241"/>
      <c r="T97" s="1241"/>
      <c r="U97" s="1240"/>
      <c r="V97" s="1243"/>
      <c r="W97" s="1241"/>
      <c r="X97" s="1243"/>
      <c r="Y97" s="1240"/>
      <c r="Z97" s="1238"/>
    </row>
    <row r="98" spans="1:26">
      <c r="A98" s="1239"/>
      <c r="B98" s="1240"/>
      <c r="C98" s="1240"/>
      <c r="D98" s="1240"/>
      <c r="E98" s="1241"/>
      <c r="F98" s="1241"/>
      <c r="G98" s="1241"/>
      <c r="H98" s="1241"/>
      <c r="I98" s="1240"/>
      <c r="J98" s="1240"/>
      <c r="K98" s="1240"/>
      <c r="L98" s="1242"/>
      <c r="M98" s="1240"/>
      <c r="N98" s="1240"/>
      <c r="O98" s="1240"/>
      <c r="P98" s="1240"/>
      <c r="Q98" s="1241"/>
      <c r="R98" s="1241"/>
      <c r="S98" s="1241"/>
      <c r="T98" s="1241"/>
      <c r="U98" s="1240"/>
      <c r="V98" s="1243"/>
      <c r="W98" s="1241"/>
      <c r="X98" s="1243"/>
      <c r="Y98" s="1240"/>
      <c r="Z98" s="1238"/>
    </row>
    <row r="99" spans="1:26">
      <c r="A99" s="1239"/>
      <c r="B99" s="1240"/>
      <c r="C99" s="1240"/>
      <c r="D99" s="1240"/>
      <c r="E99" s="1241"/>
      <c r="F99" s="1241"/>
      <c r="G99" s="1241"/>
      <c r="H99" s="1241"/>
      <c r="I99" s="1240"/>
      <c r="J99" s="1240"/>
      <c r="K99" s="1240"/>
      <c r="L99" s="1242"/>
      <c r="M99" s="1240"/>
      <c r="N99" s="1240"/>
      <c r="O99" s="1240"/>
      <c r="P99" s="1240"/>
      <c r="Q99" s="1241"/>
      <c r="R99" s="1241"/>
      <c r="S99" s="1241"/>
      <c r="T99" s="1241"/>
      <c r="U99" s="1240"/>
      <c r="V99" s="1243"/>
      <c r="W99" s="1241"/>
      <c r="X99" s="1243"/>
      <c r="Y99" s="1240"/>
      <c r="Z99" s="1238"/>
    </row>
    <row r="100" spans="1:26">
      <c r="A100" s="1239"/>
      <c r="B100" s="1240"/>
      <c r="C100" s="1240"/>
      <c r="D100" s="1240"/>
      <c r="E100" s="1241"/>
      <c r="F100" s="1241"/>
      <c r="G100" s="1241"/>
      <c r="H100" s="1241"/>
      <c r="I100" s="1240"/>
      <c r="J100" s="1240"/>
      <c r="K100" s="1240"/>
      <c r="L100" s="1242"/>
      <c r="M100" s="1240"/>
      <c r="N100" s="1240"/>
      <c r="O100" s="1240"/>
      <c r="P100" s="1240"/>
      <c r="Q100" s="1241"/>
      <c r="R100" s="1241"/>
      <c r="S100" s="1241"/>
      <c r="T100" s="1241"/>
      <c r="U100" s="1240"/>
      <c r="V100" s="1243"/>
      <c r="W100" s="1241"/>
      <c r="X100" s="1243"/>
      <c r="Y100" s="1240"/>
      <c r="Z100" s="1238"/>
    </row>
    <row r="101" spans="1:26">
      <c r="A101" s="1239"/>
      <c r="B101" s="1240"/>
      <c r="C101" s="1240"/>
      <c r="D101" s="1240"/>
      <c r="E101" s="1241"/>
      <c r="F101" s="1241"/>
      <c r="G101" s="1241"/>
      <c r="H101" s="1241"/>
      <c r="I101" s="1240"/>
      <c r="J101" s="1240"/>
      <c r="K101" s="1240"/>
      <c r="L101" s="1242"/>
      <c r="M101" s="1240"/>
      <c r="N101" s="1240"/>
      <c r="O101" s="1240"/>
      <c r="P101" s="1240"/>
      <c r="Q101" s="1241"/>
      <c r="R101" s="1241"/>
      <c r="S101" s="1241"/>
      <c r="T101" s="1241"/>
      <c r="U101" s="1240"/>
      <c r="V101" s="1243"/>
      <c r="W101" s="1241"/>
      <c r="X101" s="1243"/>
      <c r="Y101" s="1240"/>
      <c r="Z101" s="1238"/>
    </row>
    <row r="102" spans="1:26">
      <c r="A102" s="1239"/>
      <c r="B102" s="1240"/>
      <c r="C102" s="1240"/>
      <c r="D102" s="1240"/>
      <c r="E102" s="1241"/>
      <c r="F102" s="1241"/>
      <c r="G102" s="1241"/>
      <c r="H102" s="1241"/>
      <c r="I102" s="1240"/>
      <c r="J102" s="1240"/>
      <c r="K102" s="1240"/>
      <c r="L102" s="1242"/>
      <c r="M102" s="1240"/>
      <c r="N102" s="1240"/>
      <c r="O102" s="1240"/>
      <c r="P102" s="1240"/>
      <c r="Q102" s="1241"/>
      <c r="R102" s="1241"/>
      <c r="S102" s="1241"/>
      <c r="T102" s="1241"/>
      <c r="U102" s="1240"/>
      <c r="V102" s="1243"/>
      <c r="W102" s="1241"/>
      <c r="X102" s="1243"/>
      <c r="Y102" s="1240"/>
      <c r="Z102" s="1238"/>
    </row>
    <row r="103" spans="1:26">
      <c r="A103" s="1239"/>
      <c r="B103" s="1240"/>
      <c r="C103" s="1240"/>
      <c r="D103" s="1240"/>
      <c r="E103" s="1241"/>
      <c r="F103" s="1241"/>
      <c r="G103" s="1241"/>
      <c r="H103" s="1241"/>
      <c r="I103" s="1240"/>
      <c r="J103" s="1240"/>
      <c r="K103" s="1240"/>
      <c r="L103" s="1242"/>
      <c r="M103" s="1240"/>
      <c r="N103" s="1240"/>
      <c r="O103" s="1240"/>
      <c r="P103" s="1240"/>
      <c r="Q103" s="1241"/>
      <c r="R103" s="1241"/>
      <c r="S103" s="1241"/>
      <c r="T103" s="1241"/>
      <c r="U103" s="1240"/>
      <c r="V103" s="1243"/>
      <c r="W103" s="1241"/>
      <c r="X103" s="1243"/>
      <c r="Y103" s="1240"/>
      <c r="Z103" s="1238"/>
    </row>
    <row r="104" spans="1:26">
      <c r="A104" s="1239"/>
      <c r="B104" s="1240"/>
      <c r="C104" s="1240"/>
      <c r="D104" s="1240"/>
      <c r="E104" s="1241"/>
      <c r="F104" s="1241"/>
      <c r="G104" s="1241"/>
      <c r="H104" s="1241"/>
      <c r="I104" s="1240"/>
      <c r="J104" s="1240"/>
      <c r="K104" s="1240"/>
      <c r="L104" s="1242"/>
      <c r="M104" s="1240"/>
      <c r="N104" s="1240"/>
      <c r="O104" s="1240"/>
      <c r="P104" s="1240"/>
      <c r="Q104" s="1241"/>
      <c r="R104" s="1241"/>
      <c r="S104" s="1241"/>
      <c r="T104" s="1241"/>
      <c r="U104" s="1240"/>
      <c r="V104" s="1243"/>
      <c r="W104" s="1241"/>
      <c r="X104" s="1243"/>
      <c r="Y104" s="1240"/>
      <c r="Z104" s="1238"/>
    </row>
    <row r="105" spans="1:26">
      <c r="A105" s="1239"/>
      <c r="B105" s="1240"/>
      <c r="C105" s="1240"/>
      <c r="D105" s="1240"/>
      <c r="E105" s="1241"/>
      <c r="F105" s="1241"/>
      <c r="G105" s="1241"/>
      <c r="H105" s="1241"/>
      <c r="I105" s="1240"/>
      <c r="J105" s="1240"/>
      <c r="K105" s="1240"/>
      <c r="L105" s="1242"/>
      <c r="M105" s="1240"/>
      <c r="N105" s="1240"/>
      <c r="O105" s="1240"/>
      <c r="P105" s="1240"/>
      <c r="Q105" s="1241"/>
      <c r="R105" s="1241"/>
      <c r="S105" s="1241"/>
      <c r="T105" s="1241"/>
      <c r="U105" s="1240"/>
      <c r="V105" s="1243"/>
      <c r="W105" s="1241"/>
      <c r="X105" s="1243"/>
      <c r="Y105" s="1240"/>
      <c r="Z105" s="1238"/>
    </row>
    <row r="106" spans="1:26">
      <c r="A106" s="1239"/>
      <c r="B106" s="1240"/>
      <c r="C106" s="1240"/>
      <c r="D106" s="1240"/>
      <c r="E106" s="1241"/>
      <c r="F106" s="1241"/>
      <c r="G106" s="1241"/>
      <c r="H106" s="1241"/>
      <c r="I106" s="1240"/>
      <c r="J106" s="1240"/>
      <c r="K106" s="1240"/>
      <c r="L106" s="1242"/>
      <c r="M106" s="1240"/>
      <c r="N106" s="1240"/>
      <c r="O106" s="1240"/>
      <c r="P106" s="1240"/>
      <c r="Q106" s="1241"/>
      <c r="R106" s="1241"/>
      <c r="S106" s="1241"/>
      <c r="T106" s="1241"/>
      <c r="U106" s="1240"/>
      <c r="V106" s="1243"/>
      <c r="W106" s="1241"/>
      <c r="X106" s="1243"/>
      <c r="Y106" s="1240"/>
      <c r="Z106" s="1238"/>
    </row>
    <row r="107" spans="1:26">
      <c r="A107" s="1239"/>
      <c r="B107" s="1240"/>
      <c r="C107" s="1240"/>
      <c r="D107" s="1240"/>
      <c r="E107" s="1241"/>
      <c r="F107" s="1241"/>
      <c r="G107" s="1241"/>
      <c r="H107" s="1241"/>
      <c r="I107" s="1240"/>
      <c r="J107" s="1240"/>
      <c r="K107" s="1240"/>
      <c r="L107" s="1242"/>
      <c r="M107" s="1240"/>
      <c r="N107" s="1240"/>
      <c r="O107" s="1240"/>
      <c r="P107" s="1240"/>
      <c r="Q107" s="1241"/>
      <c r="R107" s="1241"/>
      <c r="S107" s="1241"/>
      <c r="T107" s="1241"/>
      <c r="U107" s="1240"/>
      <c r="V107" s="1243"/>
      <c r="W107" s="1241"/>
      <c r="X107" s="1243"/>
      <c r="Y107" s="1240"/>
      <c r="Z107" s="1238"/>
    </row>
    <row r="108" spans="1:26">
      <c r="A108" s="1239"/>
      <c r="B108" s="1240"/>
      <c r="C108" s="1240"/>
      <c r="D108" s="1240"/>
      <c r="E108" s="1241"/>
      <c r="F108" s="1241"/>
      <c r="G108" s="1241"/>
      <c r="H108" s="1241"/>
      <c r="I108" s="1240"/>
      <c r="J108" s="1240"/>
      <c r="K108" s="1240"/>
      <c r="L108" s="1242"/>
      <c r="M108" s="1240"/>
      <c r="N108" s="1240"/>
      <c r="O108" s="1240"/>
      <c r="P108" s="1240"/>
      <c r="Q108" s="1241"/>
      <c r="R108" s="1241"/>
      <c r="S108" s="1241"/>
      <c r="T108" s="1241"/>
      <c r="U108" s="1240"/>
      <c r="V108" s="1243"/>
      <c r="W108" s="1241"/>
      <c r="X108" s="1243"/>
      <c r="Y108" s="1240"/>
      <c r="Z108" s="1238"/>
    </row>
    <row r="109" spans="1:26">
      <c r="A109" s="1239"/>
      <c r="B109" s="1240"/>
      <c r="C109" s="1240"/>
      <c r="D109" s="1240"/>
      <c r="E109" s="1241"/>
      <c r="F109" s="1241"/>
      <c r="G109" s="1241"/>
      <c r="H109" s="1241"/>
      <c r="I109" s="1240"/>
      <c r="J109" s="1240"/>
      <c r="K109" s="1240"/>
      <c r="L109" s="1242"/>
      <c r="M109" s="1240"/>
      <c r="N109" s="1240"/>
      <c r="O109" s="1240"/>
      <c r="P109" s="1240"/>
      <c r="Q109" s="1241"/>
      <c r="R109" s="1241"/>
      <c r="S109" s="1241"/>
      <c r="T109" s="1241"/>
      <c r="U109" s="1240"/>
      <c r="V109" s="1243"/>
      <c r="W109" s="1241"/>
      <c r="X109" s="1243"/>
      <c r="Y109" s="1240"/>
      <c r="Z109" s="1238"/>
    </row>
    <row r="110" spans="1:26">
      <c r="A110" s="1239"/>
      <c r="B110" s="1240"/>
      <c r="C110" s="1240"/>
      <c r="D110" s="1240"/>
      <c r="E110" s="1241"/>
      <c r="F110" s="1241"/>
      <c r="G110" s="1241"/>
      <c r="H110" s="1241"/>
      <c r="I110" s="1240"/>
      <c r="J110" s="1240"/>
      <c r="K110" s="1240"/>
      <c r="L110" s="1242"/>
      <c r="M110" s="1240"/>
      <c r="N110" s="1240"/>
      <c r="O110" s="1240"/>
      <c r="P110" s="1240"/>
      <c r="Q110" s="1241"/>
      <c r="R110" s="1241"/>
      <c r="S110" s="1241"/>
      <c r="T110" s="1241"/>
      <c r="U110" s="1240"/>
      <c r="V110" s="1243"/>
      <c r="W110" s="1241"/>
      <c r="X110" s="1243"/>
      <c r="Y110" s="1240"/>
      <c r="Z110" s="1238"/>
    </row>
    <row r="111" spans="1:26">
      <c r="A111" s="1239"/>
      <c r="B111" s="1240"/>
      <c r="C111" s="1240"/>
      <c r="D111" s="1240"/>
      <c r="E111" s="1241"/>
      <c r="F111" s="1241"/>
      <c r="G111" s="1241"/>
      <c r="H111" s="1241"/>
      <c r="I111" s="1240"/>
      <c r="J111" s="1240"/>
      <c r="K111" s="1240"/>
      <c r="L111" s="1242"/>
      <c r="M111" s="1240"/>
      <c r="N111" s="1240"/>
      <c r="O111" s="1240"/>
      <c r="P111" s="1240"/>
      <c r="Q111" s="1241"/>
      <c r="R111" s="1241"/>
      <c r="S111" s="1241"/>
      <c r="T111" s="1241"/>
      <c r="U111" s="1240"/>
      <c r="V111" s="1243"/>
      <c r="W111" s="1241"/>
      <c r="X111" s="1243"/>
      <c r="Y111" s="1240"/>
      <c r="Z111" s="1238"/>
    </row>
    <row r="112" spans="1:26">
      <c r="A112" s="1239"/>
      <c r="B112" s="1240"/>
      <c r="C112" s="1240"/>
      <c r="D112" s="1240"/>
      <c r="E112" s="1241"/>
      <c r="F112" s="1241"/>
      <c r="G112" s="1241"/>
      <c r="H112" s="1241"/>
      <c r="I112" s="1240"/>
      <c r="J112" s="1240"/>
      <c r="K112" s="1240"/>
      <c r="L112" s="1242"/>
      <c r="M112" s="1240"/>
      <c r="N112" s="1240"/>
      <c r="O112" s="1240"/>
      <c r="P112" s="1240"/>
      <c r="Q112" s="1241"/>
      <c r="R112" s="1241"/>
      <c r="S112" s="1241"/>
      <c r="T112" s="1241"/>
      <c r="U112" s="1240"/>
      <c r="V112" s="1243"/>
      <c r="W112" s="1241"/>
      <c r="X112" s="1243"/>
      <c r="Y112" s="1240"/>
      <c r="Z112" s="1238"/>
    </row>
    <row r="113" spans="1:26">
      <c r="A113" s="1239"/>
      <c r="B113" s="1240"/>
      <c r="C113" s="1240"/>
      <c r="D113" s="1240"/>
      <c r="E113" s="1241"/>
      <c r="F113" s="1241"/>
      <c r="G113" s="1241"/>
      <c r="H113" s="1241"/>
      <c r="I113" s="1240"/>
      <c r="J113" s="1240"/>
      <c r="K113" s="1240"/>
      <c r="L113" s="1242"/>
      <c r="M113" s="1240"/>
      <c r="N113" s="1240"/>
      <c r="O113" s="1240"/>
      <c r="P113" s="1240"/>
      <c r="Q113" s="1241"/>
      <c r="R113" s="1241"/>
      <c r="S113" s="1241"/>
      <c r="T113" s="1241"/>
      <c r="U113" s="1240"/>
      <c r="V113" s="1243"/>
      <c r="W113" s="1241"/>
      <c r="X113" s="1243"/>
      <c r="Y113" s="1240"/>
      <c r="Z113" s="1238"/>
    </row>
    <row r="114" spans="1:26">
      <c r="A114" s="1239"/>
      <c r="B114" s="1240"/>
      <c r="C114" s="1240"/>
      <c r="D114" s="1240"/>
      <c r="E114" s="1241"/>
      <c r="F114" s="1241"/>
      <c r="G114" s="1241"/>
      <c r="H114" s="1241"/>
      <c r="I114" s="1240"/>
      <c r="J114" s="1240"/>
      <c r="K114" s="1240"/>
      <c r="L114" s="1242"/>
      <c r="M114" s="1240"/>
      <c r="N114" s="1240"/>
      <c r="O114" s="1240"/>
      <c r="P114" s="1240"/>
      <c r="Q114" s="1241"/>
      <c r="R114" s="1241"/>
      <c r="S114" s="1241"/>
      <c r="T114" s="1241"/>
      <c r="U114" s="1240"/>
      <c r="V114" s="1243"/>
      <c r="W114" s="1241"/>
      <c r="X114" s="1243"/>
      <c r="Y114" s="1240"/>
      <c r="Z114" s="1238"/>
    </row>
    <row r="115" spans="1:26">
      <c r="A115" s="1239"/>
      <c r="B115" s="1240"/>
      <c r="C115" s="1240"/>
      <c r="D115" s="1240"/>
      <c r="E115" s="1241"/>
      <c r="F115" s="1241"/>
      <c r="G115" s="1241"/>
      <c r="H115" s="1241"/>
      <c r="I115" s="1240"/>
      <c r="J115" s="1240"/>
      <c r="K115" s="1240"/>
      <c r="L115" s="1242"/>
      <c r="M115" s="1240"/>
      <c r="N115" s="1240"/>
      <c r="O115" s="1240"/>
      <c r="P115" s="1240"/>
      <c r="Q115" s="1241"/>
      <c r="R115" s="1241"/>
      <c r="S115" s="1241"/>
      <c r="T115" s="1241"/>
      <c r="U115" s="1240"/>
      <c r="V115" s="1243"/>
      <c r="W115" s="1241"/>
      <c r="X115" s="1243"/>
      <c r="Y115" s="1240"/>
      <c r="Z115" s="1238"/>
    </row>
    <row r="116" spans="1:26">
      <c r="A116" s="1239"/>
      <c r="B116" s="1240"/>
      <c r="C116" s="1240"/>
      <c r="D116" s="1240"/>
      <c r="E116" s="1241"/>
      <c r="F116" s="1241"/>
      <c r="G116" s="1241"/>
      <c r="H116" s="1241"/>
      <c r="I116" s="1240"/>
      <c r="J116" s="1240"/>
      <c r="K116" s="1240"/>
      <c r="L116" s="1242"/>
      <c r="M116" s="1240"/>
      <c r="N116" s="1240"/>
      <c r="O116" s="1240"/>
      <c r="P116" s="1240"/>
      <c r="Q116" s="1241"/>
      <c r="R116" s="1241"/>
      <c r="S116" s="1241"/>
      <c r="T116" s="1241"/>
      <c r="U116" s="1240"/>
      <c r="V116" s="1243"/>
      <c r="W116" s="1241"/>
      <c r="X116" s="1243"/>
      <c r="Y116" s="1240"/>
      <c r="Z116" s="1238"/>
    </row>
    <row r="117" spans="1:26">
      <c r="A117" s="1239"/>
      <c r="B117" s="1240"/>
      <c r="C117" s="1240"/>
      <c r="D117" s="1240"/>
      <c r="E117" s="1241"/>
      <c r="F117" s="1241"/>
      <c r="G117" s="1241"/>
      <c r="H117" s="1241"/>
      <c r="I117" s="1240"/>
      <c r="J117" s="1240"/>
      <c r="K117" s="1240"/>
      <c r="L117" s="1242"/>
      <c r="M117" s="1240"/>
      <c r="N117" s="1240"/>
      <c r="O117" s="1240"/>
      <c r="P117" s="1240"/>
      <c r="Q117" s="1241"/>
      <c r="R117" s="1241"/>
      <c r="S117" s="1241"/>
      <c r="T117" s="1241"/>
      <c r="U117" s="1240"/>
      <c r="V117" s="1243"/>
      <c r="W117" s="1241"/>
      <c r="X117" s="1243"/>
      <c r="Y117" s="1240"/>
      <c r="Z117" s="1238"/>
    </row>
    <row r="118" spans="1:26">
      <c r="A118" s="1239"/>
      <c r="B118" s="1240"/>
      <c r="C118" s="1240"/>
      <c r="D118" s="1240"/>
      <c r="E118" s="1241"/>
      <c r="F118" s="1241"/>
      <c r="G118" s="1241"/>
      <c r="H118" s="1241"/>
      <c r="I118" s="1240"/>
      <c r="J118" s="1240"/>
      <c r="K118" s="1240"/>
      <c r="L118" s="1242"/>
      <c r="M118" s="1240"/>
      <c r="N118" s="1240"/>
      <c r="O118" s="1240"/>
      <c r="P118" s="1240"/>
      <c r="Q118" s="1241"/>
      <c r="R118" s="1241"/>
      <c r="S118" s="1241"/>
      <c r="T118" s="1241"/>
      <c r="U118" s="1240"/>
      <c r="V118" s="1243"/>
      <c r="W118" s="1241"/>
      <c r="X118" s="1243"/>
      <c r="Y118" s="1240"/>
      <c r="Z118" s="1238"/>
    </row>
    <row r="119" spans="1:26">
      <c r="A119" s="1239"/>
      <c r="B119" s="1240"/>
      <c r="C119" s="1240"/>
      <c r="D119" s="1240"/>
      <c r="E119" s="1241"/>
      <c r="F119" s="1241"/>
      <c r="G119" s="1241"/>
      <c r="H119" s="1241"/>
      <c r="I119" s="1240"/>
      <c r="J119" s="1240"/>
      <c r="K119" s="1240"/>
      <c r="L119" s="1242"/>
      <c r="M119" s="1240"/>
      <c r="N119" s="1240"/>
      <c r="O119" s="1240"/>
      <c r="P119" s="1240"/>
      <c r="Q119" s="1241"/>
      <c r="R119" s="1241"/>
      <c r="S119" s="1241"/>
      <c r="T119" s="1241"/>
      <c r="U119" s="1240"/>
      <c r="V119" s="1243"/>
      <c r="W119" s="1241"/>
      <c r="X119" s="1243"/>
      <c r="Y119" s="1240"/>
      <c r="Z119" s="1238"/>
    </row>
    <row r="120" spans="1:26">
      <c r="A120" s="1239"/>
      <c r="B120" s="1240"/>
      <c r="C120" s="1240"/>
      <c r="D120" s="1240"/>
      <c r="E120" s="1241"/>
      <c r="F120" s="1241"/>
      <c r="G120" s="1241"/>
      <c r="H120" s="1241"/>
      <c r="I120" s="1240"/>
      <c r="J120" s="1240"/>
      <c r="K120" s="1240"/>
      <c r="L120" s="1242"/>
      <c r="M120" s="1240"/>
      <c r="N120" s="1240"/>
      <c r="O120" s="1240"/>
      <c r="P120" s="1240"/>
      <c r="Q120" s="1241"/>
      <c r="R120" s="1241"/>
      <c r="S120" s="1241"/>
      <c r="T120" s="1241"/>
      <c r="U120" s="1240"/>
      <c r="V120" s="1243"/>
      <c r="W120" s="1241"/>
      <c r="X120" s="1243"/>
      <c r="Y120" s="1240"/>
      <c r="Z120" s="1238"/>
    </row>
    <row r="121" spans="1:26">
      <c r="A121" s="1239"/>
      <c r="B121" s="1240"/>
      <c r="C121" s="1240"/>
      <c r="D121" s="1240"/>
      <c r="E121" s="1241"/>
      <c r="F121" s="1241"/>
      <c r="G121" s="1241"/>
      <c r="H121" s="1241"/>
      <c r="I121" s="1240"/>
      <c r="J121" s="1240"/>
      <c r="K121" s="1240"/>
      <c r="L121" s="1242"/>
      <c r="M121" s="1240"/>
      <c r="N121" s="1240"/>
      <c r="O121" s="1240"/>
      <c r="P121" s="1240"/>
      <c r="Q121" s="1241"/>
      <c r="R121" s="1241"/>
      <c r="S121" s="1241"/>
      <c r="T121" s="1241"/>
      <c r="U121" s="1240"/>
      <c r="V121" s="1243"/>
      <c r="W121" s="1241"/>
      <c r="X121" s="1243"/>
      <c r="Y121" s="1240"/>
      <c r="Z121" s="1238"/>
    </row>
    <row r="122" spans="1:26">
      <c r="A122" s="1239"/>
      <c r="B122" s="1240"/>
      <c r="C122" s="1240"/>
      <c r="D122" s="1240"/>
      <c r="E122" s="1241"/>
      <c r="F122" s="1241"/>
      <c r="G122" s="1241"/>
      <c r="H122" s="1241"/>
      <c r="I122" s="1240"/>
      <c r="J122" s="1240"/>
      <c r="K122" s="1240"/>
      <c r="L122" s="1242"/>
      <c r="M122" s="1240"/>
      <c r="N122" s="1240"/>
      <c r="O122" s="1240"/>
      <c r="P122" s="1240"/>
      <c r="Q122" s="1241"/>
      <c r="R122" s="1241"/>
      <c r="S122" s="1241"/>
      <c r="T122" s="1241"/>
      <c r="U122" s="1240"/>
      <c r="V122" s="1243"/>
      <c r="W122" s="1241"/>
      <c r="X122" s="1243"/>
      <c r="Y122" s="1240"/>
      <c r="Z122" s="1238"/>
    </row>
    <row r="123" spans="1:26">
      <c r="A123" s="1239"/>
      <c r="B123" s="1240"/>
      <c r="C123" s="1240"/>
      <c r="D123" s="1240"/>
      <c r="E123" s="1241"/>
      <c r="F123" s="1241"/>
      <c r="G123" s="1241"/>
      <c r="H123" s="1241"/>
      <c r="I123" s="1240"/>
      <c r="J123" s="1240"/>
      <c r="K123" s="1240"/>
      <c r="L123" s="1242"/>
      <c r="M123" s="1240"/>
      <c r="N123" s="1240"/>
      <c r="O123" s="1240"/>
      <c r="P123" s="1240"/>
      <c r="Q123" s="1241"/>
      <c r="R123" s="1241"/>
      <c r="S123" s="1241"/>
      <c r="T123" s="1241"/>
      <c r="U123" s="1240"/>
      <c r="V123" s="1243"/>
      <c r="W123" s="1241"/>
      <c r="X123" s="1243"/>
      <c r="Y123" s="1240"/>
      <c r="Z123" s="1238"/>
    </row>
    <row r="124" spans="1:26">
      <c r="A124" s="1239"/>
      <c r="B124" s="1240"/>
      <c r="C124" s="1240"/>
      <c r="D124" s="1240"/>
      <c r="E124" s="1241"/>
      <c r="F124" s="1241"/>
      <c r="G124" s="1241"/>
      <c r="H124" s="1241"/>
      <c r="I124" s="1240"/>
      <c r="J124" s="1240"/>
      <c r="K124" s="1240"/>
      <c r="L124" s="1242"/>
      <c r="M124" s="1240"/>
      <c r="N124" s="1240"/>
      <c r="O124" s="1240"/>
      <c r="P124" s="1240"/>
      <c r="Q124" s="1241"/>
      <c r="R124" s="1241"/>
      <c r="S124" s="1241"/>
      <c r="T124" s="1241"/>
      <c r="U124" s="1240"/>
      <c r="V124" s="1243"/>
      <c r="W124" s="1241"/>
      <c r="X124" s="1243"/>
      <c r="Y124" s="1240"/>
      <c r="Z124" s="1238"/>
    </row>
    <row r="125" spans="1:26">
      <c r="A125" s="1239"/>
      <c r="B125" s="1240"/>
      <c r="C125" s="1240"/>
      <c r="D125" s="1240"/>
      <c r="E125" s="1241"/>
      <c r="F125" s="1241"/>
      <c r="G125" s="1241"/>
      <c r="H125" s="1241"/>
      <c r="I125" s="1240"/>
      <c r="J125" s="1240"/>
      <c r="K125" s="1240"/>
      <c r="L125" s="1242"/>
      <c r="M125" s="1240"/>
      <c r="N125" s="1240"/>
      <c r="O125" s="1240"/>
      <c r="P125" s="1240"/>
      <c r="Q125" s="1241"/>
      <c r="R125" s="1241"/>
      <c r="S125" s="1241"/>
      <c r="T125" s="1241"/>
      <c r="U125" s="1240"/>
      <c r="V125" s="1243"/>
      <c r="W125" s="1241"/>
      <c r="X125" s="1243"/>
      <c r="Y125" s="1240"/>
      <c r="Z125" s="1238"/>
    </row>
    <row r="126" spans="1:26">
      <c r="A126" s="1239"/>
      <c r="B126" s="1240"/>
      <c r="C126" s="1240"/>
      <c r="D126" s="1240"/>
      <c r="E126" s="1241"/>
      <c r="F126" s="1241"/>
      <c r="G126" s="1241"/>
      <c r="H126" s="1241"/>
      <c r="I126" s="1240"/>
      <c r="J126" s="1240"/>
      <c r="K126" s="1240"/>
      <c r="L126" s="1242"/>
      <c r="M126" s="1240"/>
      <c r="N126" s="1240"/>
      <c r="O126" s="1240"/>
      <c r="P126" s="1240"/>
      <c r="Q126" s="1241"/>
      <c r="R126" s="1241"/>
      <c r="S126" s="1241"/>
      <c r="T126" s="1241"/>
      <c r="U126" s="1240"/>
      <c r="V126" s="1243"/>
      <c r="W126" s="1241"/>
      <c r="X126" s="1243"/>
      <c r="Y126" s="1240"/>
      <c r="Z126" s="1238"/>
    </row>
    <row r="127" spans="1:26">
      <c r="A127" s="1239"/>
      <c r="B127" s="1240"/>
      <c r="C127" s="1240"/>
      <c r="D127" s="1240"/>
      <c r="E127" s="1241"/>
      <c r="F127" s="1241"/>
      <c r="G127" s="1241"/>
      <c r="H127" s="1241"/>
      <c r="I127" s="1240"/>
      <c r="J127" s="1240"/>
      <c r="K127" s="1240"/>
      <c r="L127" s="1242"/>
      <c r="M127" s="1240"/>
      <c r="N127" s="1240"/>
      <c r="O127" s="1240"/>
      <c r="P127" s="1240"/>
      <c r="Q127" s="1241"/>
      <c r="R127" s="1241"/>
      <c r="S127" s="1241"/>
      <c r="T127" s="1241"/>
      <c r="U127" s="1240"/>
      <c r="V127" s="1243"/>
      <c r="W127" s="1241"/>
      <c r="X127" s="1243"/>
      <c r="Y127" s="1240"/>
      <c r="Z127" s="1238"/>
    </row>
    <row r="128" spans="1:26">
      <c r="A128" s="1239"/>
      <c r="B128" s="1240"/>
      <c r="C128" s="1240"/>
      <c r="D128" s="1240"/>
      <c r="E128" s="1241"/>
      <c r="F128" s="1241"/>
      <c r="G128" s="1241"/>
      <c r="H128" s="1241"/>
      <c r="I128" s="1240"/>
      <c r="J128" s="1240"/>
      <c r="K128" s="1240"/>
      <c r="L128" s="1242"/>
      <c r="M128" s="1240"/>
      <c r="N128" s="1240"/>
      <c r="O128" s="1240"/>
      <c r="P128" s="1240"/>
      <c r="Q128" s="1241"/>
      <c r="R128" s="1241"/>
      <c r="S128" s="1241"/>
      <c r="T128" s="1241"/>
      <c r="U128" s="1240"/>
      <c r="V128" s="1243"/>
      <c r="W128" s="1241"/>
      <c r="X128" s="1243"/>
      <c r="Y128" s="1240"/>
      <c r="Z128" s="1238"/>
    </row>
    <row r="129" spans="1:26">
      <c r="A129" s="1239"/>
      <c r="B129" s="1240"/>
      <c r="C129" s="1240"/>
      <c r="D129" s="1240"/>
      <c r="E129" s="1241"/>
      <c r="F129" s="1241"/>
      <c r="G129" s="1241"/>
      <c r="H129" s="1241"/>
      <c r="I129" s="1240"/>
      <c r="J129" s="1240"/>
      <c r="K129" s="1240"/>
      <c r="L129" s="1242"/>
      <c r="M129" s="1240"/>
      <c r="N129" s="1240"/>
      <c r="O129" s="1240"/>
      <c r="P129" s="1240"/>
      <c r="Q129" s="1241"/>
      <c r="R129" s="1241"/>
      <c r="S129" s="1241"/>
      <c r="T129" s="1241"/>
      <c r="U129" s="1240"/>
      <c r="V129" s="1243"/>
      <c r="W129" s="1241"/>
      <c r="X129" s="1243"/>
      <c r="Y129" s="1240"/>
      <c r="Z129" s="1238"/>
    </row>
    <row r="130" spans="1:26">
      <c r="A130" s="1239"/>
      <c r="B130" s="1240"/>
      <c r="C130" s="1240"/>
      <c r="D130" s="1240"/>
      <c r="E130" s="1241"/>
      <c r="F130" s="1241"/>
      <c r="G130" s="1241"/>
      <c r="H130" s="1241"/>
      <c r="I130" s="1240"/>
      <c r="J130" s="1240"/>
      <c r="K130" s="1240"/>
      <c r="L130" s="1242"/>
      <c r="M130" s="1240"/>
      <c r="N130" s="1240"/>
      <c r="O130" s="1240"/>
      <c r="P130" s="1240"/>
      <c r="Q130" s="1241"/>
      <c r="R130" s="1241"/>
      <c r="S130" s="1241"/>
      <c r="T130" s="1241"/>
      <c r="U130" s="1240"/>
      <c r="V130" s="1243"/>
      <c r="W130" s="1241"/>
      <c r="X130" s="1243"/>
      <c r="Y130" s="1240"/>
      <c r="Z130" s="1238"/>
    </row>
    <row r="131" spans="1:26">
      <c r="A131" s="1239"/>
      <c r="B131" s="1240"/>
      <c r="C131" s="1240"/>
      <c r="D131" s="1240"/>
      <c r="E131" s="1241"/>
      <c r="F131" s="1241"/>
      <c r="G131" s="1241"/>
      <c r="H131" s="1241"/>
      <c r="I131" s="1240"/>
      <c r="J131" s="1240"/>
      <c r="K131" s="1240"/>
      <c r="L131" s="1242"/>
      <c r="M131" s="1240"/>
      <c r="N131" s="1240"/>
      <c r="O131" s="1240"/>
      <c r="P131" s="1240"/>
      <c r="Q131" s="1241"/>
      <c r="R131" s="1241"/>
      <c r="S131" s="1241"/>
      <c r="T131" s="1241"/>
      <c r="U131" s="1240"/>
      <c r="V131" s="1243"/>
      <c r="W131" s="1241"/>
      <c r="X131" s="1243"/>
      <c r="Y131" s="1240"/>
      <c r="Z131" s="1238"/>
    </row>
    <row r="132" spans="1:26">
      <c r="A132" s="1239"/>
      <c r="B132" s="1240"/>
      <c r="C132" s="1240"/>
      <c r="D132" s="1240"/>
      <c r="E132" s="1241"/>
      <c r="F132" s="1241"/>
      <c r="G132" s="1241"/>
      <c r="H132" s="1241"/>
      <c r="I132" s="1240"/>
      <c r="J132" s="1240"/>
      <c r="K132" s="1240"/>
      <c r="L132" s="1242"/>
      <c r="M132" s="1240"/>
      <c r="N132" s="1240"/>
      <c r="O132" s="1240"/>
      <c r="P132" s="1240"/>
      <c r="Q132" s="1241"/>
      <c r="R132" s="1241"/>
      <c r="S132" s="1241"/>
      <c r="T132" s="1241"/>
      <c r="U132" s="1240"/>
      <c r="V132" s="1243"/>
      <c r="W132" s="1241"/>
      <c r="X132" s="1243"/>
      <c r="Y132" s="1240"/>
      <c r="Z132" s="1238"/>
    </row>
    <row r="133" spans="1:26">
      <c r="A133" s="1244"/>
      <c r="B133" s="1245"/>
      <c r="C133" s="1245"/>
      <c r="D133" s="1245"/>
      <c r="E133" s="1246"/>
      <c r="F133" s="1246"/>
      <c r="G133" s="1246"/>
      <c r="H133" s="1246"/>
      <c r="I133" s="1245"/>
      <c r="J133" s="1245"/>
      <c r="K133" s="1245"/>
      <c r="L133" s="1247"/>
      <c r="M133" s="1245"/>
      <c r="N133" s="1245"/>
      <c r="O133" s="1245"/>
      <c r="P133" s="1245"/>
      <c r="Q133" s="1246"/>
      <c r="R133" s="1246"/>
      <c r="S133" s="1246"/>
      <c r="T133" s="1246"/>
      <c r="U133" s="1245"/>
      <c r="V133" s="1248"/>
      <c r="W133" s="1246"/>
      <c r="X133" s="1248"/>
      <c r="Y133" s="1245"/>
      <c r="Z133" s="1249"/>
    </row>
    <row r="134" spans="1:26">
      <c r="A134" s="1253"/>
      <c r="B134" s="1254"/>
      <c r="C134" s="1255"/>
      <c r="D134" s="1255"/>
      <c r="E134" s="1256"/>
      <c r="F134" s="1256"/>
      <c r="G134" s="1256"/>
      <c r="H134" s="1256"/>
      <c r="I134" s="1255"/>
      <c r="J134" s="1255"/>
      <c r="K134" s="1255"/>
      <c r="L134" s="1257"/>
      <c r="M134" s="1255"/>
      <c r="N134" s="1255"/>
      <c r="O134" s="1255"/>
      <c r="P134" s="1255"/>
      <c r="Q134" s="1256"/>
      <c r="R134" s="1256"/>
      <c r="S134" s="1256"/>
      <c r="T134" s="1256"/>
      <c r="U134" s="1255"/>
      <c r="V134" s="1258"/>
      <c r="W134" s="1256"/>
      <c r="X134" s="1258"/>
      <c r="Y134" s="1255"/>
      <c r="Z134" s="1259"/>
    </row>
    <row r="135" spans="1:26">
      <c r="A135" s="1253"/>
      <c r="B135" s="1254"/>
      <c r="C135" s="1255"/>
      <c r="D135" s="1255"/>
      <c r="E135" s="1256"/>
      <c r="F135" s="1256"/>
      <c r="G135" s="1256"/>
      <c r="H135" s="1256"/>
      <c r="I135" s="1255"/>
      <c r="J135" s="1255"/>
      <c r="K135" s="1255"/>
      <c r="L135" s="1257"/>
      <c r="M135" s="1255"/>
      <c r="N135" s="1255"/>
      <c r="O135" s="1255"/>
      <c r="P135" s="1255"/>
      <c r="Q135" s="1256"/>
      <c r="R135" s="1256"/>
      <c r="S135" s="1256"/>
      <c r="T135" s="1256"/>
      <c r="U135" s="1255"/>
      <c r="V135" s="1258"/>
      <c r="W135" s="1256"/>
      <c r="X135" s="1258"/>
      <c r="Y135" s="1255"/>
      <c r="Z135" s="1259"/>
    </row>
    <row r="136" spans="1:26">
      <c r="A136" s="1253"/>
      <c r="B136" s="1254"/>
      <c r="C136" s="1255"/>
      <c r="D136" s="1255"/>
      <c r="E136" s="1256"/>
      <c r="F136" s="1256"/>
      <c r="G136" s="1256"/>
      <c r="H136" s="1256"/>
      <c r="I136" s="1255"/>
      <c r="J136" s="1255"/>
      <c r="K136" s="1255"/>
      <c r="L136" s="1257"/>
      <c r="M136" s="1255"/>
      <c r="N136" s="1255"/>
      <c r="O136" s="1255"/>
      <c r="P136" s="1255"/>
      <c r="Q136" s="1256"/>
      <c r="R136" s="1256"/>
      <c r="S136" s="1256"/>
      <c r="T136" s="1256"/>
      <c r="U136" s="1255"/>
      <c r="V136" s="1258"/>
      <c r="W136" s="1256"/>
      <c r="X136" s="1258"/>
      <c r="Y136" s="1255"/>
      <c r="Z136" s="1259"/>
    </row>
    <row r="137" spans="1:26">
      <c r="A137" s="1260"/>
      <c r="B137" s="1261"/>
      <c r="C137" s="1262"/>
      <c r="D137" s="1262"/>
      <c r="E137" s="1263"/>
      <c r="F137" s="1263"/>
      <c r="G137" s="1263"/>
      <c r="H137" s="1263"/>
      <c r="I137" s="1262"/>
      <c r="J137" s="1262"/>
      <c r="K137" s="1262"/>
      <c r="L137" s="1264"/>
      <c r="M137" s="1262"/>
      <c r="N137" s="1262"/>
      <c r="O137" s="1262"/>
      <c r="P137" s="1262"/>
      <c r="Q137" s="1263"/>
      <c r="R137" s="1263"/>
      <c r="S137" s="1263"/>
      <c r="T137" s="1263"/>
      <c r="U137" s="1262"/>
      <c r="V137" s="1265"/>
      <c r="W137" s="1263"/>
      <c r="X137" s="1265"/>
      <c r="Y137" s="1262"/>
      <c r="Z137" s="1266"/>
    </row>
  </sheetData>
  <mergeCells count="2">
    <mergeCell ref="A1:H1"/>
    <mergeCell ref="A2:H2"/>
  </mergeCells>
  <conditionalFormatting sqref="B59">
    <cfRule type="duplicateValues" dxfId="84" priority="70"/>
    <cfRule type="duplicateValues" dxfId="83" priority="69"/>
    <cfRule type="duplicateValues" dxfId="82" priority="68"/>
    <cfRule type="duplicateValues" dxfId="81" priority="67"/>
    <cfRule type="duplicateValues" dxfId="80" priority="66"/>
    <cfRule type="duplicateValues" dxfId="79" priority="65"/>
    <cfRule type="duplicateValues" dxfId="78" priority="63"/>
    <cfRule type="duplicateValues" dxfId="77" priority="62"/>
    <cfRule type="duplicateValues" dxfId="76" priority="61"/>
    <cfRule type="duplicateValues" dxfId="75" priority="60"/>
    <cfRule type="duplicateValues" dxfId="74" priority="59"/>
    <cfRule type="duplicateValues" dxfId="73" priority="58"/>
    <cfRule type="duplicateValues" dxfId="72" priority="57"/>
    <cfRule type="duplicateValues" dxfId="71" priority="64"/>
  </conditionalFormatting>
  <conditionalFormatting sqref="B134">
    <cfRule type="duplicateValues" dxfId="70" priority="55"/>
    <cfRule type="duplicateValues" dxfId="69" priority="56"/>
    <cfRule type="duplicateValues" dxfId="68" priority="54"/>
    <cfRule type="duplicateValues" dxfId="67" priority="53"/>
    <cfRule type="duplicateValues" dxfId="66" priority="52"/>
    <cfRule type="duplicateValues" dxfId="65" priority="51"/>
    <cfRule type="duplicateValues" dxfId="64" priority="50"/>
    <cfRule type="duplicateValues" dxfId="63" priority="49"/>
    <cfRule type="duplicateValues" dxfId="62" priority="48"/>
    <cfRule type="duplicateValues" dxfId="61" priority="47"/>
    <cfRule type="duplicateValues" dxfId="60" priority="45"/>
    <cfRule type="duplicateValues" dxfId="59" priority="44"/>
    <cfRule type="duplicateValues" dxfId="58" priority="43"/>
    <cfRule type="duplicateValues" dxfId="57" priority="46"/>
  </conditionalFormatting>
  <conditionalFormatting sqref="B135">
    <cfRule type="duplicateValues" dxfId="56" priority="29"/>
    <cfRule type="duplicateValues" dxfId="55" priority="30"/>
    <cfRule type="duplicateValues" dxfId="54" priority="31"/>
    <cfRule type="duplicateValues" dxfId="53" priority="32"/>
    <cfRule type="duplicateValues" dxfId="52" priority="33"/>
    <cfRule type="duplicateValues" dxfId="51" priority="34"/>
    <cfRule type="duplicateValues" dxfId="50" priority="35"/>
    <cfRule type="duplicateValues" dxfId="49" priority="36"/>
    <cfRule type="duplicateValues" dxfId="48" priority="37"/>
    <cfRule type="duplicateValues" dxfId="47" priority="38"/>
    <cfRule type="duplicateValues" dxfId="46" priority="39"/>
    <cfRule type="duplicateValues" dxfId="45" priority="40"/>
    <cfRule type="duplicateValues" dxfId="44" priority="41"/>
    <cfRule type="duplicateValues" dxfId="43" priority="42"/>
  </conditionalFormatting>
  <conditionalFormatting sqref="B136">
    <cfRule type="duplicateValues" dxfId="42" priority="27"/>
    <cfRule type="duplicateValues" dxfId="41" priority="26"/>
    <cfRule type="duplicateValues" dxfId="40" priority="25"/>
    <cfRule type="duplicateValues" dxfId="39" priority="28"/>
    <cfRule type="duplicateValues" dxfId="38" priority="24"/>
    <cfRule type="duplicateValues" dxfId="37" priority="23"/>
    <cfRule type="duplicateValues" dxfId="36" priority="22"/>
    <cfRule type="duplicateValues" dxfId="35" priority="21"/>
    <cfRule type="duplicateValues" dxfId="34" priority="20"/>
    <cfRule type="duplicateValues" dxfId="33" priority="18"/>
    <cfRule type="duplicateValues" dxfId="32" priority="17"/>
    <cfRule type="duplicateValues" dxfId="31" priority="16"/>
    <cfRule type="duplicateValues" dxfId="30" priority="15"/>
    <cfRule type="duplicateValues" dxfId="29" priority="19"/>
  </conditionalFormatting>
  <conditionalFormatting sqref="B137">
    <cfRule type="duplicateValues" dxfId="28" priority="10"/>
    <cfRule type="duplicateValues" dxfId="27" priority="14"/>
    <cfRule type="duplicateValues" dxfId="26" priority="13"/>
    <cfRule type="duplicateValues" dxfId="25" priority="12"/>
    <cfRule type="duplicateValues" dxfId="24" priority="11"/>
    <cfRule type="duplicateValues" dxfId="23" priority="9"/>
    <cfRule type="duplicateValues" dxfId="22" priority="8"/>
    <cfRule type="duplicateValues" dxfId="21" priority="7"/>
    <cfRule type="duplicateValues" dxfId="20" priority="1"/>
    <cfRule type="duplicateValues" dxfId="19" priority="6"/>
    <cfRule type="duplicateValues" dxfId="18" priority="5"/>
    <cfRule type="duplicateValues" dxfId="17" priority="4"/>
    <cfRule type="duplicateValues" dxfId="16" priority="3"/>
    <cfRule type="duplicateValues" dxfId="15" priority="2"/>
  </conditionalFormatting>
  <conditionalFormatting sqref="T5:T137">
    <cfRule type="cellIs" dxfId="14" priority="71" operator="equal">
      <formula>"Critical"</formula>
    </cfRule>
    <cfRule type="cellIs" dxfId="13" priority="72" operator="equal">
      <formula>"High"</formula>
    </cfRule>
    <cfRule type="cellIs" dxfId="12" priority="73" operator="equal">
      <formula>"Normal"</formula>
    </cfRule>
  </conditionalFormatting>
  <pageMargins left="0.75" right="0.75" top="1" bottom="1" header="0.511811023622047" footer="0.511811023622047"/>
  <pageSetup paperSize="9" orientation="portrait" horizontalDpi="300" verticalDpi="300"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topLeftCell="A8" zoomScale="55" zoomScaleNormal="55" workbookViewId="0">
      <selection activeCell="O50" sqref="O50"/>
    </sheetView>
  </sheetViews>
  <sheetFormatPr defaultColWidth="9.109375" defaultRowHeight="14.4"/>
  <cols>
    <col min="1" max="1" width="2.44140625" style="3" customWidth="1"/>
    <col min="2" max="2" width="6.109375" style="3" customWidth="1"/>
    <col min="3" max="3" width="7.44140625" style="3" customWidth="1"/>
    <col min="4" max="4" width="40.44140625" style="3" customWidth="1"/>
    <col min="5" max="5" width="12.6640625" style="3" customWidth="1"/>
    <col min="6" max="6" width="15" style="3" customWidth="1"/>
    <col min="7" max="7" width="14.33203125" style="3" bestFit="1" customWidth="1"/>
    <col min="8" max="9" width="13.6640625" style="3" customWidth="1"/>
    <col min="10" max="10" width="18" style="3" customWidth="1"/>
    <col min="11" max="13" width="10.6640625" style="3" customWidth="1"/>
    <col min="14" max="14" width="9.109375" style="3" customWidth="1"/>
    <col min="15" max="15" width="10.6640625" style="3" customWidth="1"/>
    <col min="16" max="16" width="10.44140625" style="3" bestFit="1" customWidth="1"/>
    <col min="17" max="17" width="10.6640625" style="3" customWidth="1"/>
    <col min="18" max="18" width="12" style="3" bestFit="1" customWidth="1"/>
    <col min="19" max="19" width="13.44140625" style="3" bestFit="1" customWidth="1"/>
    <col min="20" max="20" width="12.109375" style="3" customWidth="1"/>
    <col min="21" max="21" width="8" style="3" bestFit="1" customWidth="1"/>
    <col min="22" max="23" width="12.109375" style="3" customWidth="1"/>
    <col min="24" max="24" width="15.44140625" style="3" customWidth="1"/>
    <col min="25" max="25" width="15.33203125" style="3" customWidth="1"/>
    <col min="26" max="26" width="11.44140625" style="3" customWidth="1"/>
    <col min="27" max="27" width="10.6640625" style="3" customWidth="1"/>
    <col min="28" max="28" width="16.5546875" style="3" bestFit="1" customWidth="1"/>
    <col min="29" max="29" width="9.109375" style="3"/>
    <col min="30" max="30" width="24.44140625" style="3" customWidth="1"/>
    <col min="31" max="31" width="12.44140625" style="3" bestFit="1" customWidth="1"/>
    <col min="32" max="32" width="9.109375" style="3"/>
    <col min="33" max="33" width="17.6640625" style="3" customWidth="1"/>
    <col min="34" max="34" width="14.44140625" style="3" customWidth="1"/>
    <col min="35" max="16384" width="9.109375" style="3"/>
  </cols>
  <sheetData>
    <row r="1" spans="2:36" ht="17.399999999999999">
      <c r="B1" s="2065" t="s">
        <v>581</v>
      </c>
      <c r="C1" s="2066"/>
      <c r="D1" s="2066"/>
      <c r="E1" s="2066"/>
      <c r="F1" s="2066"/>
      <c r="G1" s="2066"/>
      <c r="H1" s="2066"/>
      <c r="I1" s="2066"/>
      <c r="J1" s="2066"/>
      <c r="K1" s="2066"/>
      <c r="L1" s="2066"/>
      <c r="M1" s="2066"/>
      <c r="N1" s="2066"/>
      <c r="O1" s="2066"/>
      <c r="P1" s="2066"/>
      <c r="Q1" s="2066"/>
      <c r="R1" s="2066"/>
      <c r="S1" s="2066"/>
      <c r="T1" s="2066"/>
      <c r="U1" s="2066"/>
      <c r="V1" s="2066"/>
      <c r="W1" s="2066"/>
      <c r="X1" s="2066"/>
      <c r="Y1" s="2066"/>
      <c r="Z1" s="2066"/>
      <c r="AA1" s="2066"/>
      <c r="AB1" s="2066"/>
      <c r="AC1" s="2066"/>
      <c r="AD1" s="2066"/>
      <c r="AE1" s="2066"/>
      <c r="AJ1" s="3" t="s">
        <v>582</v>
      </c>
    </row>
    <row r="2" spans="2:36" ht="17.399999999999999">
      <c r="B2" s="2010" t="s">
        <v>583</v>
      </c>
      <c r="C2" s="2011"/>
      <c r="D2" s="2011"/>
      <c r="E2" s="2011"/>
      <c r="F2" s="2011"/>
      <c r="G2" s="2011"/>
      <c r="H2" s="2011"/>
      <c r="I2" s="2011"/>
      <c r="J2" s="2011"/>
      <c r="K2" s="2010" t="s">
        <v>584</v>
      </c>
      <c r="L2" s="2011"/>
      <c r="M2" s="2011"/>
      <c r="N2" s="2011"/>
      <c r="O2" s="2011"/>
      <c r="P2" s="2011"/>
      <c r="Q2" s="2011"/>
      <c r="R2" s="2011"/>
      <c r="S2" s="2011" t="s">
        <v>153</v>
      </c>
      <c r="T2" s="2011"/>
      <c r="U2" s="2011"/>
      <c r="V2" s="2011"/>
      <c r="W2" s="2011"/>
      <c r="X2" s="2011"/>
      <c r="Y2" s="2011"/>
      <c r="Z2" s="2011"/>
      <c r="AA2" s="2011"/>
      <c r="AB2" s="2011"/>
      <c r="AC2" s="2011" t="s">
        <v>585</v>
      </c>
      <c r="AD2" s="2011"/>
      <c r="AE2" s="2011"/>
      <c r="AJ2" s="3" t="s">
        <v>586</v>
      </c>
    </row>
    <row r="3" spans="2:36" ht="28.2" customHeight="1">
      <c r="B3" s="2006" t="s">
        <v>34</v>
      </c>
      <c r="C3" s="2007"/>
      <c r="D3" s="2007"/>
      <c r="E3" s="2018">
        <f>Progress!C41</f>
        <v>57304347.860000007</v>
      </c>
      <c r="F3" s="2019"/>
      <c r="G3" s="1620" t="s">
        <v>587</v>
      </c>
      <c r="H3" s="1621"/>
      <c r="I3" s="2018">
        <v>0</v>
      </c>
      <c r="J3" s="2031" t="s">
        <v>36</v>
      </c>
      <c r="K3" s="1620" t="s">
        <v>174</v>
      </c>
      <c r="L3" s="1621"/>
      <c r="M3" s="2008">
        <v>0</v>
      </c>
      <c r="N3" s="2009"/>
      <c r="O3" s="1620" t="s">
        <v>175</v>
      </c>
      <c r="P3" s="1621"/>
      <c r="Q3" s="1999">
        <f>E3*M3</f>
        <v>0</v>
      </c>
      <c r="R3" s="2000"/>
      <c r="S3" s="1620" t="s">
        <v>588</v>
      </c>
      <c r="T3" s="1621"/>
      <c r="U3" s="2021">
        <f>MAX($C$9:$C$46)</f>
        <v>8</v>
      </c>
      <c r="V3" s="2022"/>
      <c r="W3" s="1620" t="s">
        <v>155</v>
      </c>
      <c r="X3" s="1621"/>
      <c r="Y3" s="1999">
        <f>SUM(F9:F58)*1.15</f>
        <v>40499983.457999997</v>
      </c>
      <c r="Z3" s="2020"/>
      <c r="AA3" s="2012" t="s">
        <v>589</v>
      </c>
      <c r="AB3" s="2014">
        <f>MAX(L9:L46)</f>
        <v>46264</v>
      </c>
      <c r="AC3" s="2006" t="s">
        <v>590</v>
      </c>
      <c r="AD3" s="2007"/>
      <c r="AE3" s="529">
        <f>AVERAGE(P9:P58)</f>
        <v>0.7142857142857143</v>
      </c>
      <c r="AG3" s="2059" t="s">
        <v>591</v>
      </c>
      <c r="AH3" s="2061">
        <f>AVERAGE(F9:F58)</f>
        <v>4402172.1150000002</v>
      </c>
      <c r="AI3" s="2062"/>
    </row>
    <row r="4" spans="2:36" ht="28.2" customHeight="1">
      <c r="B4" s="2006" t="s">
        <v>45</v>
      </c>
      <c r="C4" s="2007"/>
      <c r="D4" s="2007">
        <v>21100000</v>
      </c>
      <c r="E4" s="1995">
        <f>E3</f>
        <v>57304347.860000007</v>
      </c>
      <c r="F4" s="1996" t="s">
        <v>36</v>
      </c>
      <c r="G4" s="1615" t="s">
        <v>592</v>
      </c>
      <c r="H4" s="1616"/>
      <c r="I4" s="1995">
        <v>0</v>
      </c>
      <c r="J4" s="2003" t="e">
        <f>+#REF!+#REF!+I4</f>
        <v>#REF!</v>
      </c>
      <c r="K4" s="1615" t="s">
        <v>178</v>
      </c>
      <c r="L4" s="1616"/>
      <c r="M4" s="2039">
        <v>0</v>
      </c>
      <c r="N4" s="2040"/>
      <c r="O4" s="1615" t="s">
        <v>179</v>
      </c>
      <c r="P4" s="1616"/>
      <c r="Q4" s="1999">
        <f>E3*M4</f>
        <v>0</v>
      </c>
      <c r="R4" s="2000"/>
      <c r="S4" s="1615" t="s">
        <v>593</v>
      </c>
      <c r="T4" s="1616"/>
      <c r="U4" s="2016">
        <f>COUNTIF($N$9:$N$59,"Y")</f>
        <v>8</v>
      </c>
      <c r="V4" s="2017"/>
      <c r="W4" s="1615" t="s">
        <v>594</v>
      </c>
      <c r="X4" s="1616"/>
      <c r="Y4" s="2045">
        <f>SUMIF($N$9:$N$58,"Y",$J$9:$J$58)</f>
        <v>40499983.457999997</v>
      </c>
      <c r="Z4" s="2046"/>
      <c r="AA4" s="2013"/>
      <c r="AB4" s="2015"/>
      <c r="AC4" s="2006" t="s">
        <v>595</v>
      </c>
      <c r="AD4" s="2007"/>
      <c r="AE4" s="529">
        <f>AVERAGE(W9:W58)</f>
        <v>9.8571428571428577</v>
      </c>
      <c r="AG4" s="2060"/>
      <c r="AH4" s="2063"/>
      <c r="AI4" s="2064"/>
    </row>
    <row r="5" spans="2:36" ht="28.2" customHeight="1">
      <c r="B5" s="2006" t="s">
        <v>54</v>
      </c>
      <c r="C5" s="2007"/>
      <c r="D5" s="2007">
        <v>20900000</v>
      </c>
      <c r="E5" s="1995">
        <f>E4</f>
        <v>57304347.860000007</v>
      </c>
      <c r="F5" s="1996" t="e">
        <f>+#REF!+#REF!+E5</f>
        <v>#REF!</v>
      </c>
      <c r="G5" s="1615" t="s">
        <v>46</v>
      </c>
      <c r="H5" s="1616"/>
      <c r="I5" s="2035">
        <v>5420855.1699999999</v>
      </c>
      <c r="J5" s="2036"/>
      <c r="K5" s="1615" t="s">
        <v>596</v>
      </c>
      <c r="L5" s="1616"/>
      <c r="M5" s="2041">
        <f>ABS(M6/E3)</f>
        <v>0</v>
      </c>
      <c r="N5" s="2042"/>
      <c r="O5" s="1615" t="s">
        <v>597</v>
      </c>
      <c r="P5" s="1616"/>
      <c r="Q5" s="2001">
        <f>SUM(G9:G58)</f>
        <v>0</v>
      </c>
      <c r="R5" s="2002"/>
      <c r="S5" s="1615" t="s">
        <v>598</v>
      </c>
      <c r="T5" s="1616"/>
      <c r="U5" s="2016">
        <f>COUNTIF($R$9:$R$59,"Y")</f>
        <v>7</v>
      </c>
      <c r="V5" s="2017"/>
      <c r="W5" s="1615" t="s">
        <v>599</v>
      </c>
      <c r="X5" s="1616"/>
      <c r="Y5" s="2045">
        <f>SUMIF($R$9:$R$58,"Y",$J$9:$J$58)</f>
        <v>33617268.486999996</v>
      </c>
      <c r="Z5" s="2046"/>
      <c r="AA5" s="2047" t="s">
        <v>600</v>
      </c>
      <c r="AB5" s="2043">
        <f>Y3/(E4*1.15)</f>
        <v>0.61456727517499044</v>
      </c>
      <c r="AC5" s="2032" t="s">
        <v>601</v>
      </c>
      <c r="AD5" s="2033"/>
      <c r="AE5" s="529">
        <f>AVERAGE(AA9:AA58)</f>
        <v>37</v>
      </c>
    </row>
    <row r="6" spans="2:36" ht="28.2" customHeight="1" thickBot="1">
      <c r="B6" s="2006" t="s">
        <v>62</v>
      </c>
      <c r="C6" s="2007"/>
      <c r="D6" s="2007">
        <f>D4-D5</f>
        <v>200000</v>
      </c>
      <c r="E6" s="1997">
        <f>E4-E5</f>
        <v>0</v>
      </c>
      <c r="F6" s="1998"/>
      <c r="G6" s="2032" t="s">
        <v>602</v>
      </c>
      <c r="H6" s="2033"/>
      <c r="I6" s="1997">
        <f>M6+Q6+Q5</f>
        <v>0</v>
      </c>
      <c r="J6" s="2034"/>
      <c r="K6" s="2032" t="s">
        <v>603</v>
      </c>
      <c r="L6" s="2033"/>
      <c r="M6" s="2004">
        <f>SUM(I9:I58)</f>
        <v>0</v>
      </c>
      <c r="N6" s="2005"/>
      <c r="O6" s="2032" t="s">
        <v>604</v>
      </c>
      <c r="P6" s="2033"/>
      <c r="Q6" s="2037">
        <f>SUM(H9:H58)</f>
        <v>0</v>
      </c>
      <c r="R6" s="2038"/>
      <c r="S6" s="2032" t="s">
        <v>605</v>
      </c>
      <c r="T6" s="2033"/>
      <c r="U6" s="2004">
        <f>COUNTA(X9:X58)</f>
        <v>3</v>
      </c>
      <c r="V6" s="2005"/>
      <c r="W6" s="2032" t="s">
        <v>606</v>
      </c>
      <c r="X6" s="2033"/>
      <c r="Y6" s="2037">
        <f>+Y59</f>
        <v>27469388.637499999</v>
      </c>
      <c r="Z6" s="2038"/>
      <c r="AA6" s="2047"/>
      <c r="AB6" s="2044"/>
      <c r="AC6" s="2032" t="s">
        <v>607</v>
      </c>
      <c r="AD6" s="2033"/>
      <c r="AE6" s="529">
        <f>IFERROR(AVERAGE(AC9:AC58),"")</f>
        <v>65.333333333333329</v>
      </c>
    </row>
    <row r="7" spans="2:36" ht="15" customHeight="1" thickBot="1">
      <c r="B7" s="2023" t="s">
        <v>608</v>
      </c>
      <c r="C7" s="2024"/>
      <c r="D7" s="2024"/>
      <c r="E7" s="2025"/>
      <c r="F7" s="2023" t="s">
        <v>609</v>
      </c>
      <c r="G7" s="2024"/>
      <c r="H7" s="2024"/>
      <c r="I7" s="2024"/>
      <c r="J7" s="2026"/>
      <c r="K7" s="2027" t="s">
        <v>610</v>
      </c>
      <c r="L7" s="2025"/>
      <c r="M7" s="2028" t="s">
        <v>611</v>
      </c>
      <c r="N7" s="2029"/>
      <c r="O7" s="2029"/>
      <c r="P7" s="2029"/>
      <c r="Q7" s="2028" t="s">
        <v>612</v>
      </c>
      <c r="R7" s="2029"/>
      <c r="S7" s="2029"/>
      <c r="T7" s="2029"/>
      <c r="U7" s="2029"/>
      <c r="V7" s="2029"/>
      <c r="W7" s="2030"/>
      <c r="X7" s="2028" t="s">
        <v>584</v>
      </c>
      <c r="Y7" s="2029"/>
      <c r="Z7" s="2029"/>
      <c r="AA7" s="2029"/>
      <c r="AB7" s="2030"/>
      <c r="AC7" s="2050" t="s">
        <v>613</v>
      </c>
      <c r="AD7" s="2050" t="s">
        <v>614</v>
      </c>
      <c r="AE7" s="2052"/>
    </row>
    <row r="8" spans="2:36" s="34" customFormat="1" ht="56.4" thickTop="1" thickBot="1">
      <c r="B8" s="583" t="s">
        <v>615</v>
      </c>
      <c r="C8" s="584" t="s">
        <v>616</v>
      </c>
      <c r="D8" s="584" t="s">
        <v>617</v>
      </c>
      <c r="E8" s="585" t="s">
        <v>618</v>
      </c>
      <c r="F8" s="583" t="s">
        <v>619</v>
      </c>
      <c r="G8" s="584" t="s">
        <v>620</v>
      </c>
      <c r="H8" s="584" t="s">
        <v>621</v>
      </c>
      <c r="I8" s="584" t="s">
        <v>622</v>
      </c>
      <c r="J8" s="586" t="s">
        <v>623</v>
      </c>
      <c r="K8" s="587" t="s">
        <v>624</v>
      </c>
      <c r="L8" s="585" t="s">
        <v>625</v>
      </c>
      <c r="M8" s="583" t="s">
        <v>626</v>
      </c>
      <c r="N8" s="584" t="s">
        <v>627</v>
      </c>
      <c r="O8" s="584" t="s">
        <v>628</v>
      </c>
      <c r="P8" s="586" t="s">
        <v>629</v>
      </c>
      <c r="Q8" s="583" t="s">
        <v>630</v>
      </c>
      <c r="R8" s="584" t="s">
        <v>631</v>
      </c>
      <c r="S8" s="585" t="s">
        <v>632</v>
      </c>
      <c r="T8" s="588" t="s">
        <v>633</v>
      </c>
      <c r="U8" s="584" t="s">
        <v>634</v>
      </c>
      <c r="V8" s="586" t="s">
        <v>635</v>
      </c>
      <c r="W8" s="589" t="s">
        <v>629</v>
      </c>
      <c r="X8" s="583" t="s">
        <v>636</v>
      </c>
      <c r="Y8" s="584" t="s">
        <v>637</v>
      </c>
      <c r="Z8" s="584" t="s">
        <v>638</v>
      </c>
      <c r="AA8" s="584" t="s">
        <v>639</v>
      </c>
      <c r="AB8" s="585" t="s">
        <v>640</v>
      </c>
      <c r="AC8" s="2051"/>
      <c r="AD8" s="2053"/>
      <c r="AE8" s="2054"/>
    </row>
    <row r="9" spans="2:36" ht="15" thickTop="1">
      <c r="B9" s="590">
        <v>1</v>
      </c>
      <c r="C9" s="725">
        <v>1</v>
      </c>
      <c r="D9" s="908" t="s">
        <v>1141</v>
      </c>
      <c r="E9" s="909">
        <v>0</v>
      </c>
      <c r="F9" s="727">
        <v>1746674.44</v>
      </c>
      <c r="G9" s="728">
        <f>IF(ISBLANK(F9),"",-F9*$M$3*1.15)</f>
        <v>0</v>
      </c>
      <c r="H9" s="728">
        <f>IF(ISBLANK(F9),"",-F9*$M$4*1.15)</f>
        <v>0</v>
      </c>
      <c r="I9" s="729">
        <v>0</v>
      </c>
      <c r="J9" s="730">
        <f>IF(ISBLANK(F9),"",SUM(F9:I9)+F9*0.15)</f>
        <v>2008675.6059999999</v>
      </c>
      <c r="K9" s="731">
        <v>45985</v>
      </c>
      <c r="L9" s="732">
        <v>46049</v>
      </c>
      <c r="M9" s="733">
        <v>46062</v>
      </c>
      <c r="N9" s="734" t="s">
        <v>582</v>
      </c>
      <c r="O9" s="735">
        <v>46063</v>
      </c>
      <c r="P9" s="736">
        <f t="shared" ref="P9:P12" si="0">IF(ISBLANK(O9),"",O9-M9)</f>
        <v>1</v>
      </c>
      <c r="Q9" s="733">
        <v>46069</v>
      </c>
      <c r="R9" s="737" t="s">
        <v>582</v>
      </c>
      <c r="S9" s="733">
        <v>46069</v>
      </c>
      <c r="T9" s="738">
        <f>S9+3</f>
        <v>46072</v>
      </c>
      <c r="U9" s="734"/>
      <c r="V9" s="763">
        <v>46092</v>
      </c>
      <c r="W9" s="739">
        <f>IF(ISBLANK(V9),"",V9-Q9)</f>
        <v>23</v>
      </c>
      <c r="X9" s="733">
        <v>46149</v>
      </c>
      <c r="Y9" s="729">
        <v>2008675.6059999999</v>
      </c>
      <c r="Z9" s="740">
        <f>IF(ISBLANK(Y9),"",Y9/J9)</f>
        <v>1</v>
      </c>
      <c r="AA9" s="741">
        <f>IF(ISBLANK(X9),"",X9-V9)</f>
        <v>57</v>
      </c>
      <c r="AB9" s="742">
        <f>IF(ISBLANK(Y9),"",(J9-Y9))</f>
        <v>0</v>
      </c>
      <c r="AC9" s="196">
        <f>IF(ISBLANK(X9),"",X9-M9)</f>
        <v>87</v>
      </c>
      <c r="AD9" s="2055"/>
      <c r="AE9" s="2056"/>
      <c r="AH9" s="34"/>
    </row>
    <row r="10" spans="2:36">
      <c r="B10" s="593">
        <v>2</v>
      </c>
      <c r="C10" s="743">
        <v>2</v>
      </c>
      <c r="D10" s="908" t="s">
        <v>1183</v>
      </c>
      <c r="E10" s="909">
        <v>1</v>
      </c>
      <c r="F10" s="727">
        <v>3674180.73</v>
      </c>
      <c r="G10" s="728">
        <f t="shared" ref="G10:G58" si="1">IF(ISBLANK(F10),"",-F10*$M$3*1.15)</f>
        <v>0</v>
      </c>
      <c r="H10" s="728">
        <f>IF(ISBLANK(F10),"",-F10*$M$4*1.15)</f>
        <v>0</v>
      </c>
      <c r="I10" s="729"/>
      <c r="J10" s="730">
        <f>IF(ISBLANK(F10),"",SUM(F10:I10)+F10*0.15)</f>
        <v>4225307.8394999998</v>
      </c>
      <c r="K10" s="744">
        <f t="shared" ref="K10:K15" si="2">L9+1</f>
        <v>46050</v>
      </c>
      <c r="L10" s="732">
        <v>46079</v>
      </c>
      <c r="M10" s="745">
        <v>46085</v>
      </c>
      <c r="N10" s="734" t="s">
        <v>582</v>
      </c>
      <c r="O10" s="735">
        <v>46086</v>
      </c>
      <c r="P10" s="736">
        <f t="shared" si="0"/>
        <v>1</v>
      </c>
      <c r="Q10" s="733">
        <v>46102</v>
      </c>
      <c r="R10" s="734" t="s">
        <v>582</v>
      </c>
      <c r="S10" s="733">
        <v>46102</v>
      </c>
      <c r="T10" s="738">
        <f t="shared" ref="T10:T15" si="3">S10+3</f>
        <v>46105</v>
      </c>
      <c r="U10" s="734"/>
      <c r="V10" s="763">
        <v>46114</v>
      </c>
      <c r="W10" s="739">
        <f>IF(ISBLANK(V10),"",V10-Q10)</f>
        <v>12</v>
      </c>
      <c r="X10" s="733">
        <v>46149</v>
      </c>
      <c r="Y10" s="729">
        <v>4225307.8394999998</v>
      </c>
      <c r="Z10" s="740">
        <f>IF(ISBLANK(Y10),"",Y10/J10)</f>
        <v>1</v>
      </c>
      <c r="AA10" s="741">
        <f>IF(ISBLANK(X10),"",X10-V10)</f>
        <v>35</v>
      </c>
      <c r="AB10" s="742">
        <f>IF(ISBLANK(Y10),"",(J10-Y10))</f>
        <v>0</v>
      </c>
      <c r="AC10" s="746">
        <f t="shared" ref="AC10:AC11" si="4">IF(ISBLANK(X10),"",X10-M10)</f>
        <v>64</v>
      </c>
      <c r="AD10" s="2048"/>
      <c r="AE10" s="2049"/>
      <c r="AH10" s="34"/>
    </row>
    <row r="11" spans="2:36">
      <c r="B11" s="593">
        <v>3</v>
      </c>
      <c r="C11" s="743">
        <v>3</v>
      </c>
      <c r="D11" s="908" t="s">
        <v>1191</v>
      </c>
      <c r="E11" s="909">
        <v>1</v>
      </c>
      <c r="F11" s="727">
        <v>6206943.2599999998</v>
      </c>
      <c r="G11" s="728">
        <f t="shared" si="1"/>
        <v>0</v>
      </c>
      <c r="H11" s="728">
        <f>IF(ISBLANK(F11),"",-F11*$M$4*1.15)</f>
        <v>0</v>
      </c>
      <c r="I11" s="729"/>
      <c r="J11" s="730">
        <f t="shared" ref="J11:J58" si="5">IF(ISBLANK(F11),"",SUM(F11:I11)+F11*0.15)</f>
        <v>7137984.7489999998</v>
      </c>
      <c r="K11" s="744">
        <f t="shared" si="2"/>
        <v>46080</v>
      </c>
      <c r="L11" s="732">
        <v>46131</v>
      </c>
      <c r="M11" s="745">
        <v>46131</v>
      </c>
      <c r="N11" s="734" t="s">
        <v>582</v>
      </c>
      <c r="O11" s="735">
        <v>46132</v>
      </c>
      <c r="P11" s="736">
        <f t="shared" si="0"/>
        <v>1</v>
      </c>
      <c r="Q11" s="600">
        <v>46147</v>
      </c>
      <c r="R11" s="734" t="s">
        <v>582</v>
      </c>
      <c r="S11" s="600">
        <v>46147</v>
      </c>
      <c r="T11" s="738">
        <f t="shared" si="3"/>
        <v>46150</v>
      </c>
      <c r="U11" s="734"/>
      <c r="V11" s="763">
        <v>46157</v>
      </c>
      <c r="W11" s="739">
        <f>IF(ISBLANK(V11),"",V11-Q11)</f>
        <v>10</v>
      </c>
      <c r="X11" s="733">
        <v>46176</v>
      </c>
      <c r="Y11" s="729">
        <v>7137984.7400000002</v>
      </c>
      <c r="Z11" s="740">
        <f>IF(ISBLANK(Y11),"",Y11/J11)</f>
        <v>0.99999999873914003</v>
      </c>
      <c r="AA11" s="741">
        <f t="shared" ref="AA11" si="6">IF(ISBLANK(X11),"",X11-V11)</f>
        <v>19</v>
      </c>
      <c r="AB11" s="742">
        <f t="shared" ref="AB11:AB37" si="7">IF(ISBLANK(Y11),"",(J11-Y11))</f>
        <v>8.999999612569809E-3</v>
      </c>
      <c r="AC11" s="746">
        <f t="shared" si="4"/>
        <v>45</v>
      </c>
      <c r="AD11" s="2048"/>
      <c r="AE11" s="2049"/>
      <c r="AH11" s="34"/>
    </row>
    <row r="12" spans="2:36">
      <c r="B12" s="593">
        <v>4</v>
      </c>
      <c r="C12" s="743">
        <v>4</v>
      </c>
      <c r="D12" s="908" t="s">
        <v>1197</v>
      </c>
      <c r="E12" s="909">
        <v>1</v>
      </c>
      <c r="F12" s="727">
        <v>4258632.4400000004</v>
      </c>
      <c r="G12" s="728">
        <f t="shared" si="1"/>
        <v>0</v>
      </c>
      <c r="H12" s="728">
        <f t="shared" ref="H12:H14" si="8">IF(ISBLANK(F12),"",-F12*$M$4*1.15)</f>
        <v>0</v>
      </c>
      <c r="I12" s="747"/>
      <c r="J12" s="730">
        <f t="shared" si="5"/>
        <v>4897427.3060000008</v>
      </c>
      <c r="K12" s="744">
        <f t="shared" si="2"/>
        <v>46132</v>
      </c>
      <c r="L12" s="732">
        <v>46155</v>
      </c>
      <c r="M12" s="745">
        <v>46155</v>
      </c>
      <c r="N12" s="734" t="s">
        <v>582</v>
      </c>
      <c r="O12" s="748">
        <v>46156</v>
      </c>
      <c r="P12" s="736">
        <f t="shared" si="0"/>
        <v>1</v>
      </c>
      <c r="Q12" s="600">
        <v>46156</v>
      </c>
      <c r="R12" s="734" t="s">
        <v>582</v>
      </c>
      <c r="S12" s="600">
        <v>46156</v>
      </c>
      <c r="T12" s="738">
        <f t="shared" si="3"/>
        <v>46159</v>
      </c>
      <c r="U12" s="734"/>
      <c r="V12" s="763">
        <f>T12+3</f>
        <v>46162</v>
      </c>
      <c r="W12" s="606">
        <f t="shared" ref="W12:W19" si="9">IF(ISBLANK(V12),"",V12-Q12)</f>
        <v>6</v>
      </c>
      <c r="X12" s="600"/>
      <c r="Y12" s="729">
        <f>J12</f>
        <v>4897427.3060000008</v>
      </c>
      <c r="Z12" s="740">
        <f>IF(ISBLANK(Y12),"",Y12/J12)</f>
        <v>1</v>
      </c>
      <c r="AA12" s="608" t="str">
        <f>IF(ISBLANK(X12),"",X12-V12)</f>
        <v/>
      </c>
      <c r="AB12" s="742">
        <f t="shared" si="7"/>
        <v>0</v>
      </c>
      <c r="AC12" s="746" t="str">
        <f t="shared" ref="AC12:AC59" si="10">IF(ISBLANK(X12),"",X12-M12)</f>
        <v/>
      </c>
      <c r="AD12" s="2048"/>
      <c r="AE12" s="2049"/>
    </row>
    <row r="13" spans="2:36">
      <c r="B13" s="593">
        <v>5</v>
      </c>
      <c r="C13" s="743">
        <v>5</v>
      </c>
      <c r="D13" s="908" t="s">
        <v>1198</v>
      </c>
      <c r="E13" s="909">
        <v>0</v>
      </c>
      <c r="F13" s="591">
        <v>2976928.82</v>
      </c>
      <c r="G13" s="592">
        <f t="shared" si="1"/>
        <v>0</v>
      </c>
      <c r="H13" s="610">
        <f t="shared" si="8"/>
        <v>0</v>
      </c>
      <c r="I13" s="596"/>
      <c r="J13" s="730">
        <f t="shared" si="5"/>
        <v>3423468.1429999997</v>
      </c>
      <c r="K13" s="744">
        <f t="shared" si="2"/>
        <v>46156</v>
      </c>
      <c r="L13" s="732">
        <v>46184</v>
      </c>
      <c r="M13" s="745">
        <v>46184</v>
      </c>
      <c r="N13" s="601" t="s">
        <v>582</v>
      </c>
      <c r="O13" s="748">
        <v>46184</v>
      </c>
      <c r="P13" s="603">
        <f t="shared" ref="P13:P17" si="11">IF(ISBLANK(O13),"",O13-M13)</f>
        <v>0</v>
      </c>
      <c r="Q13" s="600">
        <v>46184</v>
      </c>
      <c r="R13" s="734" t="s">
        <v>582</v>
      </c>
      <c r="S13" s="600">
        <v>46184</v>
      </c>
      <c r="T13" s="738">
        <f t="shared" si="3"/>
        <v>46187</v>
      </c>
      <c r="U13" s="734"/>
      <c r="V13" s="763">
        <f t="shared" ref="V13:V15" si="12">T13+3</f>
        <v>46190</v>
      </c>
      <c r="W13" s="606">
        <f t="shared" si="9"/>
        <v>6</v>
      </c>
      <c r="X13" s="600"/>
      <c r="Y13" s="729">
        <f>J13</f>
        <v>3423468.1429999997</v>
      </c>
      <c r="Z13" s="740">
        <f t="shared" ref="Z13:Z35" si="13">IF(ISBLANK(Y13),"",Y13/J13)</f>
        <v>1</v>
      </c>
      <c r="AA13" s="608" t="str">
        <f t="shared" ref="AA13:AA15" si="14">IF(ISBLANK(X13),"",X13-V13)</f>
        <v/>
      </c>
      <c r="AB13" s="742">
        <f t="shared" si="7"/>
        <v>0</v>
      </c>
      <c r="AC13" s="746" t="str">
        <f t="shared" si="10"/>
        <v/>
      </c>
      <c r="AD13" s="2048"/>
      <c r="AE13" s="2049"/>
    </row>
    <row r="14" spans="2:36">
      <c r="B14" s="593">
        <v>6</v>
      </c>
      <c r="C14" s="743">
        <v>6</v>
      </c>
      <c r="D14" s="908" t="s">
        <v>1208</v>
      </c>
      <c r="E14" s="909">
        <v>0</v>
      </c>
      <c r="F14" s="591">
        <v>5023065.22</v>
      </c>
      <c r="G14" s="592">
        <f t="shared" si="1"/>
        <v>0</v>
      </c>
      <c r="H14" s="610">
        <f t="shared" si="8"/>
        <v>0</v>
      </c>
      <c r="I14" s="596"/>
      <c r="J14" s="730">
        <f t="shared" si="5"/>
        <v>5776525.0029999996</v>
      </c>
      <c r="K14" s="744">
        <f t="shared" si="2"/>
        <v>46185</v>
      </c>
      <c r="L14" s="732">
        <v>46207</v>
      </c>
      <c r="M14" s="745">
        <v>46207</v>
      </c>
      <c r="N14" s="734" t="s">
        <v>582</v>
      </c>
      <c r="O14" s="745">
        <v>46208</v>
      </c>
      <c r="P14" s="603">
        <f t="shared" si="11"/>
        <v>1</v>
      </c>
      <c r="Q14" s="600">
        <v>46208</v>
      </c>
      <c r="R14" s="734" t="s">
        <v>582</v>
      </c>
      <c r="S14" s="600">
        <v>46208</v>
      </c>
      <c r="T14" s="738">
        <f t="shared" si="3"/>
        <v>46211</v>
      </c>
      <c r="U14" s="734"/>
      <c r="V14" s="763">
        <f t="shared" si="12"/>
        <v>46214</v>
      </c>
      <c r="W14" s="606">
        <f t="shared" si="9"/>
        <v>6</v>
      </c>
      <c r="X14" s="600"/>
      <c r="Y14" s="729">
        <f>J14</f>
        <v>5776525.0029999996</v>
      </c>
      <c r="Z14" s="740">
        <f t="shared" si="13"/>
        <v>1</v>
      </c>
      <c r="AA14" s="608" t="str">
        <f t="shared" si="14"/>
        <v/>
      </c>
      <c r="AB14" s="742">
        <f t="shared" si="7"/>
        <v>0</v>
      </c>
      <c r="AC14" s="746" t="str">
        <f t="shared" si="10"/>
        <v/>
      </c>
      <c r="AD14" s="2048"/>
      <c r="AE14" s="2049"/>
    </row>
    <row r="15" spans="2:36">
      <c r="B15" s="593">
        <v>7</v>
      </c>
      <c r="C15" s="743">
        <v>7</v>
      </c>
      <c r="D15" s="908" t="s">
        <v>1209</v>
      </c>
      <c r="E15" s="909">
        <v>0</v>
      </c>
      <c r="F15" s="609">
        <v>5345982.47</v>
      </c>
      <c r="G15" s="592">
        <f t="shared" ref="G15:G40" si="15">IF(ISBLANK(F15),"",-F15*$M$3*1.15)</f>
        <v>0</v>
      </c>
      <c r="H15" s="610">
        <f t="shared" ref="H15:H16" si="16">IF(ISBLANK(F15),"",-F15*$M$4)</f>
        <v>0</v>
      </c>
      <c r="I15" s="596"/>
      <c r="J15" s="730">
        <f t="shared" si="5"/>
        <v>6147879.8404999999</v>
      </c>
      <c r="K15" s="744">
        <f t="shared" si="2"/>
        <v>46208</v>
      </c>
      <c r="L15" s="732">
        <v>46226</v>
      </c>
      <c r="M15" s="745">
        <v>46226</v>
      </c>
      <c r="N15" s="734" t="s">
        <v>582</v>
      </c>
      <c r="O15" s="745">
        <v>46226</v>
      </c>
      <c r="P15" s="603">
        <f t="shared" si="11"/>
        <v>0</v>
      </c>
      <c r="Q15" s="600">
        <v>46226</v>
      </c>
      <c r="R15" s="734" t="s">
        <v>582</v>
      </c>
      <c r="S15" s="600">
        <v>46226</v>
      </c>
      <c r="T15" s="738">
        <f t="shared" si="3"/>
        <v>46229</v>
      </c>
      <c r="U15" s="734"/>
      <c r="V15" s="763">
        <f t="shared" si="12"/>
        <v>46232</v>
      </c>
      <c r="W15" s="606">
        <f t="shared" si="9"/>
        <v>6</v>
      </c>
      <c r="X15" s="600"/>
      <c r="Y15" s="729"/>
      <c r="Z15" s="740" t="str">
        <f t="shared" si="13"/>
        <v/>
      </c>
      <c r="AA15" s="608" t="str">
        <f t="shared" si="14"/>
        <v/>
      </c>
      <c r="AB15" s="742" t="str">
        <f t="shared" si="7"/>
        <v/>
      </c>
      <c r="AC15" s="746" t="str">
        <f t="shared" si="10"/>
        <v/>
      </c>
      <c r="AD15" s="2048"/>
      <c r="AE15" s="2049"/>
    </row>
    <row r="16" spans="2:36">
      <c r="B16" s="593">
        <v>8</v>
      </c>
      <c r="C16" s="743">
        <v>8</v>
      </c>
      <c r="D16" s="908" t="s">
        <v>1274</v>
      </c>
      <c r="E16" s="909">
        <v>0</v>
      </c>
      <c r="F16" s="609">
        <v>5984969.54</v>
      </c>
      <c r="G16" s="592">
        <f t="shared" si="15"/>
        <v>0</v>
      </c>
      <c r="H16" s="610">
        <f t="shared" si="16"/>
        <v>0</v>
      </c>
      <c r="I16" s="596"/>
      <c r="J16" s="730">
        <f t="shared" si="5"/>
        <v>6882714.9709999999</v>
      </c>
      <c r="K16" s="598">
        <v>46227</v>
      </c>
      <c r="L16" s="599">
        <v>46264</v>
      </c>
      <c r="M16" s="600">
        <v>46264</v>
      </c>
      <c r="N16" s="734" t="s">
        <v>582</v>
      </c>
      <c r="O16" s="602"/>
      <c r="P16" s="603" t="str">
        <f t="shared" si="11"/>
        <v/>
      </c>
      <c r="Q16" s="600"/>
      <c r="R16" s="601"/>
      <c r="S16" s="599"/>
      <c r="T16" s="738"/>
      <c r="U16" s="734"/>
      <c r="V16" s="763"/>
      <c r="W16" s="606" t="str">
        <f t="shared" ref="W16" si="17">IF(ISBLANK(V16),"",V16-Q16)</f>
        <v/>
      </c>
      <c r="X16" s="600"/>
      <c r="Y16" s="729"/>
      <c r="Z16" s="740" t="str">
        <f t="shared" ref="Z16" si="18">IF(ISBLANK(Y16),"",Y16/J16)</f>
        <v/>
      </c>
      <c r="AA16" s="608" t="str">
        <f t="shared" ref="AA16:AA19" si="19">IF(ISBLANK(X16),"",X16-V16)</f>
        <v/>
      </c>
      <c r="AB16" s="742" t="str">
        <f t="shared" si="7"/>
        <v/>
      </c>
      <c r="AC16" s="746" t="str">
        <f t="shared" si="10"/>
        <v/>
      </c>
      <c r="AD16" s="2048"/>
      <c r="AE16" s="2049"/>
    </row>
    <row r="17" spans="2:31">
      <c r="B17" s="593">
        <v>9</v>
      </c>
      <c r="C17" s="743"/>
      <c r="D17" s="908"/>
      <c r="E17" s="909"/>
      <c r="F17" s="609"/>
      <c r="G17" s="592" t="str">
        <f t="shared" si="15"/>
        <v/>
      </c>
      <c r="H17" s="610" t="str">
        <f t="shared" ref="H17:H23" si="20">IF(ISBLANK(F17),"",-F17*$M$4)</f>
        <v/>
      </c>
      <c r="I17" s="596"/>
      <c r="J17" s="730" t="str">
        <f t="shared" si="5"/>
        <v/>
      </c>
      <c r="K17" s="598"/>
      <c r="L17" s="599"/>
      <c r="M17" s="600"/>
      <c r="N17" s="601"/>
      <c r="O17" s="602"/>
      <c r="P17" s="603" t="str">
        <f t="shared" si="11"/>
        <v/>
      </c>
      <c r="Q17" s="600"/>
      <c r="R17" s="601"/>
      <c r="S17" s="599"/>
      <c r="T17" s="738"/>
      <c r="U17" s="734"/>
      <c r="V17" s="763"/>
      <c r="W17" s="606" t="str">
        <f t="shared" ref="W17" si="21">IF(ISBLANK(V17),"",V17-Q17)</f>
        <v/>
      </c>
      <c r="X17" s="600"/>
      <c r="Y17" s="729"/>
      <c r="Z17" s="740" t="str">
        <f t="shared" ref="Z17" si="22">IF(ISBLANK(Y17),"",Y17/J17)</f>
        <v/>
      </c>
      <c r="AA17" s="608" t="str">
        <f t="shared" si="19"/>
        <v/>
      </c>
      <c r="AB17" s="742" t="str">
        <f t="shared" si="7"/>
        <v/>
      </c>
      <c r="AC17" s="746" t="str">
        <f t="shared" si="10"/>
        <v/>
      </c>
      <c r="AD17" s="2048"/>
      <c r="AE17" s="2049"/>
    </row>
    <row r="18" spans="2:31">
      <c r="B18" s="593">
        <v>10</v>
      </c>
      <c r="C18" s="594"/>
      <c r="D18" s="908"/>
      <c r="E18" s="909"/>
      <c r="F18" s="609"/>
      <c r="G18" s="592" t="str">
        <f>IF(ISBLANK(F18),"",-F18*$M$3*1.15)</f>
        <v/>
      </c>
      <c r="H18" s="610" t="str">
        <f t="shared" si="20"/>
        <v/>
      </c>
      <c r="I18" s="596"/>
      <c r="J18" s="730" t="str">
        <f t="shared" si="5"/>
        <v/>
      </c>
      <c r="K18" s="598"/>
      <c r="L18" s="599"/>
      <c r="M18" s="600"/>
      <c r="N18" s="601"/>
      <c r="O18" s="602"/>
      <c r="P18" s="603" t="str">
        <f t="shared" ref="P18:P59" si="23">IF(ISBLANK(O18),"",O18-M18)</f>
        <v/>
      </c>
      <c r="Q18" s="600"/>
      <c r="R18" s="601"/>
      <c r="S18" s="599"/>
      <c r="T18" s="604"/>
      <c r="U18" s="601"/>
      <c r="V18" s="605"/>
      <c r="W18" s="606" t="str">
        <f t="shared" ref="W18" si="24">IF(ISBLANK(V18),"",V18-Q18)</f>
        <v/>
      </c>
      <c r="X18" s="600"/>
      <c r="Y18" s="729"/>
      <c r="Z18" s="740" t="str">
        <f t="shared" si="13"/>
        <v/>
      </c>
      <c r="AA18" s="608" t="str">
        <f t="shared" si="19"/>
        <v/>
      </c>
      <c r="AB18" s="742" t="str">
        <f t="shared" si="7"/>
        <v/>
      </c>
      <c r="AC18" s="746" t="str">
        <f t="shared" si="10"/>
        <v/>
      </c>
      <c r="AD18" s="2048"/>
      <c r="AE18" s="2049"/>
    </row>
    <row r="19" spans="2:31">
      <c r="B19" s="593">
        <v>11</v>
      </c>
      <c r="C19" s="594"/>
      <c r="D19" s="908"/>
      <c r="E19" s="909"/>
      <c r="F19" s="609"/>
      <c r="G19" s="592" t="str">
        <f t="shared" si="15"/>
        <v/>
      </c>
      <c r="H19" s="610" t="str">
        <f t="shared" si="20"/>
        <v/>
      </c>
      <c r="I19" s="596"/>
      <c r="J19" s="730" t="str">
        <f>IF(ISBLANK(F19),"",SUM(F19:I19)+F19*0.15)</f>
        <v/>
      </c>
      <c r="K19" s="598"/>
      <c r="L19" s="599"/>
      <c r="M19" s="600"/>
      <c r="N19" s="601"/>
      <c r="O19" s="602"/>
      <c r="P19" s="603" t="str">
        <f t="shared" si="23"/>
        <v/>
      </c>
      <c r="Q19" s="600"/>
      <c r="R19" s="601"/>
      <c r="S19" s="599"/>
      <c r="T19" s="604"/>
      <c r="U19" s="601"/>
      <c r="V19" s="605"/>
      <c r="W19" s="606" t="str">
        <f t="shared" si="9"/>
        <v/>
      </c>
      <c r="X19" s="600"/>
      <c r="Y19" s="729"/>
      <c r="Z19" s="740" t="str">
        <f t="shared" si="13"/>
        <v/>
      </c>
      <c r="AA19" s="608" t="str">
        <f t="shared" si="19"/>
        <v/>
      </c>
      <c r="AB19" s="742" t="str">
        <f t="shared" si="7"/>
        <v/>
      </c>
      <c r="AC19" s="746" t="str">
        <f t="shared" si="10"/>
        <v/>
      </c>
      <c r="AD19" s="2048"/>
      <c r="AE19" s="2049"/>
    </row>
    <row r="20" spans="2:31">
      <c r="B20" s="593">
        <v>12</v>
      </c>
      <c r="C20" s="594"/>
      <c r="D20" s="908"/>
      <c r="E20" s="909"/>
      <c r="F20" s="609"/>
      <c r="G20" s="592" t="str">
        <f t="shared" si="15"/>
        <v/>
      </c>
      <c r="H20" s="610" t="str">
        <f t="shared" si="20"/>
        <v/>
      </c>
      <c r="I20" s="596"/>
      <c r="J20" s="730" t="str">
        <f t="shared" si="5"/>
        <v/>
      </c>
      <c r="K20" s="598"/>
      <c r="L20" s="599"/>
      <c r="M20" s="600"/>
      <c r="N20" s="601"/>
      <c r="O20" s="602"/>
      <c r="P20" s="603" t="str">
        <f t="shared" si="23"/>
        <v/>
      </c>
      <c r="Q20" s="600"/>
      <c r="R20" s="601"/>
      <c r="S20" s="599"/>
      <c r="T20" s="604"/>
      <c r="U20" s="601"/>
      <c r="V20" s="605"/>
      <c r="W20" s="606" t="str">
        <f t="shared" ref="W20:W59" si="25">IF(ISBLANK(V20),"",V20-Q20)</f>
        <v/>
      </c>
      <c r="X20" s="600"/>
      <c r="Y20" s="729"/>
      <c r="Z20" s="740" t="str">
        <f t="shared" si="13"/>
        <v/>
      </c>
      <c r="AA20" s="608" t="str">
        <f t="shared" ref="AA20:AA59" si="26">IF(ISBLANK(X20),"",X20-V20)</f>
        <v/>
      </c>
      <c r="AB20" s="742" t="str">
        <f t="shared" si="7"/>
        <v/>
      </c>
      <c r="AC20" s="746" t="str">
        <f t="shared" si="10"/>
        <v/>
      </c>
      <c r="AD20" s="2048"/>
      <c r="AE20" s="2049"/>
    </row>
    <row r="21" spans="2:31">
      <c r="B21" s="593">
        <v>13</v>
      </c>
      <c r="C21" s="594"/>
      <c r="D21" s="908"/>
      <c r="E21" s="909"/>
      <c r="F21" s="609"/>
      <c r="G21" s="592" t="str">
        <f t="shared" si="15"/>
        <v/>
      </c>
      <c r="H21" s="610" t="str">
        <f t="shared" si="20"/>
        <v/>
      </c>
      <c r="I21" s="596"/>
      <c r="J21" s="730" t="str">
        <f t="shared" si="5"/>
        <v/>
      </c>
      <c r="K21" s="598"/>
      <c r="L21" s="599"/>
      <c r="M21" s="600"/>
      <c r="N21" s="601"/>
      <c r="O21" s="602"/>
      <c r="P21" s="603" t="str">
        <f t="shared" si="23"/>
        <v/>
      </c>
      <c r="Q21" s="600"/>
      <c r="R21" s="601"/>
      <c r="S21" s="599"/>
      <c r="T21" s="604"/>
      <c r="U21" s="601"/>
      <c r="V21" s="605"/>
      <c r="W21" s="606" t="str">
        <f t="shared" si="25"/>
        <v/>
      </c>
      <c r="X21" s="600"/>
      <c r="Y21" s="729"/>
      <c r="Z21" s="740" t="str">
        <f t="shared" si="13"/>
        <v/>
      </c>
      <c r="AA21" s="608" t="str">
        <f t="shared" si="26"/>
        <v/>
      </c>
      <c r="AB21" s="742" t="str">
        <f t="shared" si="7"/>
        <v/>
      </c>
      <c r="AC21" s="746" t="str">
        <f t="shared" si="10"/>
        <v/>
      </c>
      <c r="AD21" s="2048"/>
      <c r="AE21" s="2049"/>
    </row>
    <row r="22" spans="2:31">
      <c r="B22" s="593">
        <v>14</v>
      </c>
      <c r="C22" s="594"/>
      <c r="D22" s="908"/>
      <c r="E22" s="909"/>
      <c r="F22" s="609"/>
      <c r="G22" s="592" t="str">
        <f t="shared" si="15"/>
        <v/>
      </c>
      <c r="H22" s="610" t="str">
        <f t="shared" si="20"/>
        <v/>
      </c>
      <c r="I22" s="596"/>
      <c r="J22" s="730" t="str">
        <f t="shared" si="5"/>
        <v/>
      </c>
      <c r="K22" s="598"/>
      <c r="L22" s="599"/>
      <c r="M22" s="600"/>
      <c r="N22" s="601"/>
      <c r="O22" s="602"/>
      <c r="P22" s="603" t="str">
        <f t="shared" si="23"/>
        <v/>
      </c>
      <c r="Q22" s="600"/>
      <c r="R22" s="601"/>
      <c r="S22" s="599"/>
      <c r="T22" s="604"/>
      <c r="U22" s="601"/>
      <c r="V22" s="605"/>
      <c r="W22" s="606" t="str">
        <f>IF(ISBLANK(V22),"",V22-Q22)</f>
        <v/>
      </c>
      <c r="X22" s="600"/>
      <c r="Y22" s="596"/>
      <c r="Z22" s="740" t="str">
        <f t="shared" si="13"/>
        <v/>
      </c>
      <c r="AA22" s="608" t="str">
        <f t="shared" si="26"/>
        <v/>
      </c>
      <c r="AB22" s="742" t="str">
        <f t="shared" si="7"/>
        <v/>
      </c>
      <c r="AC22" s="746" t="str">
        <f t="shared" si="10"/>
        <v/>
      </c>
      <c r="AD22" s="2048"/>
      <c r="AE22" s="2049"/>
    </row>
    <row r="23" spans="2:31">
      <c r="B23" s="593">
        <v>15</v>
      </c>
      <c r="C23" s="594"/>
      <c r="D23" s="594"/>
      <c r="E23" s="726"/>
      <c r="F23" s="609"/>
      <c r="G23" s="592" t="str">
        <f t="shared" si="15"/>
        <v/>
      </c>
      <c r="H23" s="610" t="str">
        <f t="shared" si="20"/>
        <v/>
      </c>
      <c r="I23" s="596"/>
      <c r="J23" s="730" t="str">
        <f t="shared" si="5"/>
        <v/>
      </c>
      <c r="K23" s="598"/>
      <c r="L23" s="599"/>
      <c r="M23" s="600"/>
      <c r="N23" s="601"/>
      <c r="O23" s="602"/>
      <c r="P23" s="603" t="str">
        <f t="shared" si="23"/>
        <v/>
      </c>
      <c r="Q23" s="600"/>
      <c r="R23" s="601"/>
      <c r="S23" s="599"/>
      <c r="T23" s="604"/>
      <c r="U23" s="601"/>
      <c r="V23" s="605"/>
      <c r="W23" s="606" t="str">
        <f t="shared" si="25"/>
        <v/>
      </c>
      <c r="X23" s="600"/>
      <c r="Y23" s="596"/>
      <c r="Z23" s="740" t="str">
        <f t="shared" si="13"/>
        <v/>
      </c>
      <c r="AA23" s="608" t="str">
        <f t="shared" si="26"/>
        <v/>
      </c>
      <c r="AB23" s="742" t="str">
        <f t="shared" si="7"/>
        <v/>
      </c>
      <c r="AC23" s="746" t="str">
        <f t="shared" si="10"/>
        <v/>
      </c>
      <c r="AD23" s="2048"/>
      <c r="AE23" s="2049"/>
    </row>
    <row r="24" spans="2:31">
      <c r="B24" s="593">
        <v>16</v>
      </c>
      <c r="C24" s="594"/>
      <c r="D24" s="594"/>
      <c r="E24" s="726"/>
      <c r="F24" s="609"/>
      <c r="G24" s="592" t="str">
        <f t="shared" si="15"/>
        <v/>
      </c>
      <c r="H24" s="610" t="str">
        <f>IF(ISBLANK(F24),"",-F24*$M$4)</f>
        <v/>
      </c>
      <c r="I24" s="596"/>
      <c r="J24" s="730" t="str">
        <f t="shared" si="5"/>
        <v/>
      </c>
      <c r="K24" s="598"/>
      <c r="L24" s="599"/>
      <c r="M24" s="600"/>
      <c r="N24" s="601"/>
      <c r="O24" s="602"/>
      <c r="P24" s="603" t="str">
        <f t="shared" si="23"/>
        <v/>
      </c>
      <c r="Q24" s="600"/>
      <c r="R24" s="601"/>
      <c r="S24" s="599"/>
      <c r="T24" s="604"/>
      <c r="U24" s="601"/>
      <c r="V24" s="605"/>
      <c r="W24" s="606" t="str">
        <f t="shared" si="25"/>
        <v/>
      </c>
      <c r="X24" s="600"/>
      <c r="Y24" s="596"/>
      <c r="Z24" s="740" t="str">
        <f t="shared" si="13"/>
        <v/>
      </c>
      <c r="AA24" s="608" t="str">
        <f t="shared" si="26"/>
        <v/>
      </c>
      <c r="AB24" s="742" t="str">
        <f t="shared" si="7"/>
        <v/>
      </c>
      <c r="AC24" s="746" t="str">
        <f t="shared" si="10"/>
        <v/>
      </c>
      <c r="AD24" s="2048"/>
      <c r="AE24" s="2049"/>
    </row>
    <row r="25" spans="2:31">
      <c r="B25" s="593">
        <v>17</v>
      </c>
      <c r="C25" s="594"/>
      <c r="D25" s="594"/>
      <c r="E25" s="726"/>
      <c r="F25" s="609"/>
      <c r="G25" s="592" t="str">
        <f t="shared" si="15"/>
        <v/>
      </c>
      <c r="H25" s="610" t="str">
        <f t="shared" ref="H25:H58" si="27">IF(ISBLANK(F25),"",-F25*$M$4)</f>
        <v/>
      </c>
      <c r="I25" s="596"/>
      <c r="J25" s="730" t="str">
        <f t="shared" si="5"/>
        <v/>
      </c>
      <c r="K25" s="598"/>
      <c r="L25" s="599"/>
      <c r="M25" s="600"/>
      <c r="N25" s="601"/>
      <c r="O25" s="602"/>
      <c r="P25" s="603" t="str">
        <f t="shared" si="23"/>
        <v/>
      </c>
      <c r="Q25" s="600"/>
      <c r="R25" s="601"/>
      <c r="S25" s="599"/>
      <c r="T25" s="604"/>
      <c r="U25" s="601"/>
      <c r="V25" s="605"/>
      <c r="W25" s="606" t="str">
        <f t="shared" si="25"/>
        <v/>
      </c>
      <c r="X25" s="600"/>
      <c r="Y25" s="596"/>
      <c r="Z25" s="740" t="str">
        <f t="shared" si="13"/>
        <v/>
      </c>
      <c r="AA25" s="608" t="str">
        <f t="shared" si="26"/>
        <v/>
      </c>
      <c r="AB25" s="742" t="str">
        <f t="shared" si="7"/>
        <v/>
      </c>
      <c r="AC25" s="746" t="str">
        <f t="shared" si="10"/>
        <v/>
      </c>
      <c r="AD25" s="2048"/>
      <c r="AE25" s="2049"/>
    </row>
    <row r="26" spans="2:31">
      <c r="B26" s="593">
        <v>18</v>
      </c>
      <c r="C26" s="594"/>
      <c r="D26" s="594"/>
      <c r="E26" s="726"/>
      <c r="F26" s="609"/>
      <c r="G26" s="592" t="str">
        <f t="shared" si="15"/>
        <v/>
      </c>
      <c r="H26" s="610" t="str">
        <f t="shared" si="27"/>
        <v/>
      </c>
      <c r="I26" s="596"/>
      <c r="J26" s="730" t="str">
        <f t="shared" si="5"/>
        <v/>
      </c>
      <c r="K26" s="598"/>
      <c r="L26" s="599"/>
      <c r="M26" s="600"/>
      <c r="N26" s="601"/>
      <c r="O26" s="602"/>
      <c r="P26" s="603" t="str">
        <f t="shared" si="23"/>
        <v/>
      </c>
      <c r="Q26" s="600"/>
      <c r="R26" s="601"/>
      <c r="S26" s="599"/>
      <c r="T26" s="604"/>
      <c r="U26" s="601"/>
      <c r="V26" s="605"/>
      <c r="W26" s="606" t="str">
        <f t="shared" si="25"/>
        <v/>
      </c>
      <c r="X26" s="600"/>
      <c r="Y26" s="596"/>
      <c r="Z26" s="740" t="str">
        <f t="shared" si="13"/>
        <v/>
      </c>
      <c r="AA26" s="608" t="str">
        <f t="shared" si="26"/>
        <v/>
      </c>
      <c r="AB26" s="742" t="str">
        <f t="shared" si="7"/>
        <v/>
      </c>
      <c r="AC26" s="746" t="str">
        <f t="shared" si="10"/>
        <v/>
      </c>
      <c r="AD26" s="2048"/>
      <c r="AE26" s="2049"/>
    </row>
    <row r="27" spans="2:31">
      <c r="B27" s="593">
        <v>19</v>
      </c>
      <c r="C27" s="594"/>
      <c r="D27" s="594"/>
      <c r="E27" s="726"/>
      <c r="F27" s="609"/>
      <c r="G27" s="592" t="str">
        <f t="shared" si="15"/>
        <v/>
      </c>
      <c r="H27" s="610" t="str">
        <f t="shared" si="27"/>
        <v/>
      </c>
      <c r="I27" s="596"/>
      <c r="J27" s="730" t="str">
        <f t="shared" si="5"/>
        <v/>
      </c>
      <c r="K27" s="598"/>
      <c r="L27" s="599"/>
      <c r="M27" s="600"/>
      <c r="N27" s="601"/>
      <c r="O27" s="602"/>
      <c r="P27" s="603" t="str">
        <f t="shared" si="23"/>
        <v/>
      </c>
      <c r="Q27" s="600"/>
      <c r="R27" s="601"/>
      <c r="S27" s="599"/>
      <c r="T27" s="604"/>
      <c r="U27" s="601"/>
      <c r="V27" s="605"/>
      <c r="W27" s="606" t="str">
        <f t="shared" si="25"/>
        <v/>
      </c>
      <c r="X27" s="600"/>
      <c r="Y27" s="596"/>
      <c r="Z27" s="740" t="str">
        <f t="shared" si="13"/>
        <v/>
      </c>
      <c r="AA27" s="608" t="str">
        <f t="shared" si="26"/>
        <v/>
      </c>
      <c r="AB27" s="742" t="str">
        <f t="shared" si="7"/>
        <v/>
      </c>
      <c r="AC27" s="746" t="str">
        <f t="shared" si="10"/>
        <v/>
      </c>
      <c r="AD27" s="2048"/>
      <c r="AE27" s="2049"/>
    </row>
    <row r="28" spans="2:31">
      <c r="B28" s="593">
        <v>20</v>
      </c>
      <c r="C28" s="594"/>
      <c r="D28" s="594"/>
      <c r="E28" s="726"/>
      <c r="F28" s="609"/>
      <c r="G28" s="592" t="str">
        <f t="shared" si="15"/>
        <v/>
      </c>
      <c r="H28" s="610" t="str">
        <f t="shared" si="27"/>
        <v/>
      </c>
      <c r="I28" s="596"/>
      <c r="J28" s="730" t="str">
        <f t="shared" si="5"/>
        <v/>
      </c>
      <c r="K28" s="598"/>
      <c r="L28" s="599"/>
      <c r="M28" s="600"/>
      <c r="N28" s="601"/>
      <c r="O28" s="602"/>
      <c r="P28" s="603" t="str">
        <f t="shared" si="23"/>
        <v/>
      </c>
      <c r="Q28" s="600"/>
      <c r="R28" s="601"/>
      <c r="S28" s="599"/>
      <c r="T28" s="604"/>
      <c r="U28" s="601"/>
      <c r="V28" s="605"/>
      <c r="W28" s="606" t="str">
        <f t="shared" si="25"/>
        <v/>
      </c>
      <c r="X28" s="600"/>
      <c r="Y28" s="596"/>
      <c r="Z28" s="740" t="str">
        <f t="shared" si="13"/>
        <v/>
      </c>
      <c r="AA28" s="608" t="str">
        <f t="shared" si="26"/>
        <v/>
      </c>
      <c r="AB28" s="742" t="str">
        <f t="shared" si="7"/>
        <v/>
      </c>
      <c r="AC28" s="746" t="str">
        <f t="shared" si="10"/>
        <v/>
      </c>
      <c r="AD28" s="2048"/>
      <c r="AE28" s="2049"/>
    </row>
    <row r="29" spans="2:31">
      <c r="B29" s="593">
        <v>21</v>
      </c>
      <c r="C29" s="594"/>
      <c r="D29" s="594"/>
      <c r="E29" s="726"/>
      <c r="F29" s="609"/>
      <c r="G29" s="592" t="str">
        <f t="shared" si="15"/>
        <v/>
      </c>
      <c r="H29" s="610" t="str">
        <f t="shared" si="27"/>
        <v/>
      </c>
      <c r="I29" s="596"/>
      <c r="J29" s="730" t="str">
        <f t="shared" si="5"/>
        <v/>
      </c>
      <c r="K29" s="598"/>
      <c r="L29" s="599"/>
      <c r="M29" s="600"/>
      <c r="N29" s="601"/>
      <c r="O29" s="602"/>
      <c r="P29" s="603" t="str">
        <f t="shared" si="23"/>
        <v/>
      </c>
      <c r="Q29" s="600"/>
      <c r="R29" s="601"/>
      <c r="S29" s="599"/>
      <c r="T29" s="604"/>
      <c r="U29" s="601"/>
      <c r="V29" s="605"/>
      <c r="W29" s="606" t="str">
        <f t="shared" si="25"/>
        <v/>
      </c>
      <c r="X29" s="600"/>
      <c r="Y29" s="596"/>
      <c r="Z29" s="740" t="str">
        <f t="shared" si="13"/>
        <v/>
      </c>
      <c r="AA29" s="608" t="str">
        <f t="shared" si="26"/>
        <v/>
      </c>
      <c r="AB29" s="742" t="str">
        <f t="shared" si="7"/>
        <v/>
      </c>
      <c r="AC29" s="746" t="str">
        <f t="shared" si="10"/>
        <v/>
      </c>
      <c r="AD29" s="2048"/>
      <c r="AE29" s="2049"/>
    </row>
    <row r="30" spans="2:31">
      <c r="B30" s="593">
        <v>22</v>
      </c>
      <c r="C30" s="594"/>
      <c r="D30" s="594"/>
      <c r="E30" s="726"/>
      <c r="F30" s="609"/>
      <c r="G30" s="592" t="str">
        <f t="shared" si="15"/>
        <v/>
      </c>
      <c r="H30" s="610" t="str">
        <f t="shared" si="27"/>
        <v/>
      </c>
      <c r="I30" s="596"/>
      <c r="J30" s="730" t="str">
        <f t="shared" si="5"/>
        <v/>
      </c>
      <c r="K30" s="598"/>
      <c r="L30" s="599"/>
      <c r="M30" s="600"/>
      <c r="N30" s="601"/>
      <c r="O30" s="602"/>
      <c r="P30" s="603" t="str">
        <f t="shared" si="23"/>
        <v/>
      </c>
      <c r="Q30" s="600"/>
      <c r="R30" s="601"/>
      <c r="S30" s="599"/>
      <c r="T30" s="604"/>
      <c r="U30" s="601"/>
      <c r="V30" s="605"/>
      <c r="W30" s="606" t="str">
        <f t="shared" si="25"/>
        <v/>
      </c>
      <c r="X30" s="600"/>
      <c r="Y30" s="596"/>
      <c r="Z30" s="740" t="str">
        <f t="shared" si="13"/>
        <v/>
      </c>
      <c r="AA30" s="608" t="str">
        <f t="shared" si="26"/>
        <v/>
      </c>
      <c r="AB30" s="742" t="str">
        <f t="shared" si="7"/>
        <v/>
      </c>
      <c r="AC30" s="746" t="str">
        <f t="shared" si="10"/>
        <v/>
      </c>
      <c r="AD30" s="2048"/>
      <c r="AE30" s="2049"/>
    </row>
    <row r="31" spans="2:31">
      <c r="B31" s="593">
        <v>23</v>
      </c>
      <c r="C31" s="594"/>
      <c r="D31" s="594"/>
      <c r="E31" s="595"/>
      <c r="F31" s="609"/>
      <c r="G31" s="592" t="str">
        <f t="shared" si="15"/>
        <v/>
      </c>
      <c r="H31" s="610" t="str">
        <f t="shared" si="27"/>
        <v/>
      </c>
      <c r="I31" s="596"/>
      <c r="J31" s="730" t="str">
        <f t="shared" si="5"/>
        <v/>
      </c>
      <c r="K31" s="598"/>
      <c r="L31" s="599"/>
      <c r="M31" s="600"/>
      <c r="N31" s="601"/>
      <c r="O31" s="602"/>
      <c r="P31" s="603" t="str">
        <f t="shared" si="23"/>
        <v/>
      </c>
      <c r="Q31" s="600"/>
      <c r="R31" s="601"/>
      <c r="S31" s="599"/>
      <c r="T31" s="604"/>
      <c r="U31" s="601"/>
      <c r="V31" s="605"/>
      <c r="W31" s="606" t="str">
        <f t="shared" si="25"/>
        <v/>
      </c>
      <c r="X31" s="600"/>
      <c r="Y31" s="596"/>
      <c r="Z31" s="740" t="str">
        <f t="shared" si="13"/>
        <v/>
      </c>
      <c r="AA31" s="608" t="str">
        <f t="shared" si="26"/>
        <v/>
      </c>
      <c r="AB31" s="742" t="str">
        <f t="shared" si="7"/>
        <v/>
      </c>
      <c r="AC31" s="746" t="str">
        <f t="shared" si="10"/>
        <v/>
      </c>
      <c r="AD31" s="2048"/>
      <c r="AE31" s="2049"/>
    </row>
    <row r="32" spans="2:31">
      <c r="B32" s="593">
        <v>24</v>
      </c>
      <c r="C32" s="594"/>
      <c r="D32" s="594"/>
      <c r="E32" s="595"/>
      <c r="F32" s="609"/>
      <c r="G32" s="592" t="str">
        <f t="shared" si="15"/>
        <v/>
      </c>
      <c r="H32" s="610" t="str">
        <f t="shared" si="27"/>
        <v/>
      </c>
      <c r="I32" s="596"/>
      <c r="J32" s="730" t="str">
        <f t="shared" si="5"/>
        <v/>
      </c>
      <c r="K32" s="598"/>
      <c r="L32" s="599"/>
      <c r="M32" s="600"/>
      <c r="N32" s="601"/>
      <c r="O32" s="602"/>
      <c r="P32" s="603" t="str">
        <f t="shared" si="23"/>
        <v/>
      </c>
      <c r="Q32" s="600"/>
      <c r="R32" s="601"/>
      <c r="S32" s="599"/>
      <c r="T32" s="604"/>
      <c r="U32" s="601"/>
      <c r="V32" s="605"/>
      <c r="W32" s="606" t="str">
        <f t="shared" si="25"/>
        <v/>
      </c>
      <c r="X32" s="600"/>
      <c r="Y32" s="596"/>
      <c r="Z32" s="740" t="str">
        <f t="shared" si="13"/>
        <v/>
      </c>
      <c r="AA32" s="608" t="str">
        <f t="shared" si="26"/>
        <v/>
      </c>
      <c r="AB32" s="742" t="str">
        <f t="shared" si="7"/>
        <v/>
      </c>
      <c r="AC32" s="746" t="str">
        <f t="shared" si="10"/>
        <v/>
      </c>
      <c r="AD32" s="2048"/>
      <c r="AE32" s="2049"/>
    </row>
    <row r="33" spans="2:31">
      <c r="B33" s="593">
        <v>25</v>
      </c>
      <c r="C33" s="594"/>
      <c r="D33" s="594"/>
      <c r="E33" s="595"/>
      <c r="F33" s="609"/>
      <c r="G33" s="592" t="str">
        <f t="shared" si="15"/>
        <v/>
      </c>
      <c r="H33" s="610" t="str">
        <f t="shared" si="27"/>
        <v/>
      </c>
      <c r="I33" s="596"/>
      <c r="J33" s="730" t="str">
        <f t="shared" si="5"/>
        <v/>
      </c>
      <c r="K33" s="598"/>
      <c r="L33" s="599"/>
      <c r="M33" s="600"/>
      <c r="N33" s="601"/>
      <c r="O33" s="602"/>
      <c r="P33" s="603" t="str">
        <f t="shared" si="23"/>
        <v/>
      </c>
      <c r="Q33" s="600"/>
      <c r="R33" s="601"/>
      <c r="S33" s="599"/>
      <c r="T33" s="604"/>
      <c r="U33" s="601"/>
      <c r="V33" s="605"/>
      <c r="W33" s="606" t="str">
        <f t="shared" si="25"/>
        <v/>
      </c>
      <c r="X33" s="600"/>
      <c r="Y33" s="596"/>
      <c r="Z33" s="740" t="str">
        <f t="shared" si="13"/>
        <v/>
      </c>
      <c r="AA33" s="608" t="str">
        <f t="shared" si="26"/>
        <v/>
      </c>
      <c r="AB33" s="742" t="str">
        <f t="shared" si="7"/>
        <v/>
      </c>
      <c r="AC33" s="746" t="str">
        <f t="shared" si="10"/>
        <v/>
      </c>
      <c r="AD33" s="2048"/>
      <c r="AE33" s="2049"/>
    </row>
    <row r="34" spans="2:31">
      <c r="B34" s="593">
        <v>26</v>
      </c>
      <c r="C34" s="594"/>
      <c r="D34" s="594"/>
      <c r="E34" s="595"/>
      <c r="F34" s="609"/>
      <c r="G34" s="592" t="str">
        <f t="shared" si="15"/>
        <v/>
      </c>
      <c r="H34" s="610" t="str">
        <f t="shared" si="27"/>
        <v/>
      </c>
      <c r="I34" s="596"/>
      <c r="J34" s="730" t="str">
        <f t="shared" si="5"/>
        <v/>
      </c>
      <c r="K34" s="598"/>
      <c r="L34" s="599"/>
      <c r="M34" s="600"/>
      <c r="N34" s="601"/>
      <c r="O34" s="602"/>
      <c r="P34" s="603" t="str">
        <f t="shared" si="23"/>
        <v/>
      </c>
      <c r="Q34" s="600"/>
      <c r="R34" s="601"/>
      <c r="S34" s="599"/>
      <c r="T34" s="604"/>
      <c r="U34" s="601"/>
      <c r="V34" s="605"/>
      <c r="W34" s="606" t="str">
        <f t="shared" si="25"/>
        <v/>
      </c>
      <c r="X34" s="600"/>
      <c r="Y34" s="596"/>
      <c r="Z34" s="740" t="str">
        <f t="shared" si="13"/>
        <v/>
      </c>
      <c r="AA34" s="608" t="str">
        <f t="shared" si="26"/>
        <v/>
      </c>
      <c r="AB34" s="742" t="str">
        <f t="shared" si="7"/>
        <v/>
      </c>
      <c r="AC34" s="746" t="str">
        <f t="shared" si="10"/>
        <v/>
      </c>
      <c r="AD34" s="2048"/>
      <c r="AE34" s="2049"/>
    </row>
    <row r="35" spans="2:31">
      <c r="B35" s="593">
        <v>27</v>
      </c>
      <c r="C35" s="594"/>
      <c r="D35" s="594"/>
      <c r="E35" s="595"/>
      <c r="F35" s="609"/>
      <c r="G35" s="592" t="str">
        <f t="shared" si="15"/>
        <v/>
      </c>
      <c r="H35" s="610" t="str">
        <f t="shared" si="27"/>
        <v/>
      </c>
      <c r="I35" s="596"/>
      <c r="J35" s="730" t="str">
        <f t="shared" si="5"/>
        <v/>
      </c>
      <c r="K35" s="598"/>
      <c r="L35" s="599"/>
      <c r="M35" s="600"/>
      <c r="N35" s="601"/>
      <c r="O35" s="602"/>
      <c r="P35" s="603" t="str">
        <f t="shared" si="23"/>
        <v/>
      </c>
      <c r="Q35" s="600"/>
      <c r="R35" s="601"/>
      <c r="S35" s="599"/>
      <c r="T35" s="604"/>
      <c r="U35" s="601"/>
      <c r="V35" s="605"/>
      <c r="W35" s="606" t="str">
        <f t="shared" si="25"/>
        <v/>
      </c>
      <c r="X35" s="600"/>
      <c r="Y35" s="596"/>
      <c r="Z35" s="740" t="str">
        <f t="shared" si="13"/>
        <v/>
      </c>
      <c r="AA35" s="608" t="str">
        <f t="shared" si="26"/>
        <v/>
      </c>
      <c r="AB35" s="742" t="str">
        <f t="shared" si="7"/>
        <v/>
      </c>
      <c r="AC35" s="746" t="str">
        <f t="shared" si="10"/>
        <v/>
      </c>
      <c r="AD35" s="2048"/>
      <c r="AE35" s="2049"/>
    </row>
    <row r="36" spans="2:31">
      <c r="B36" s="593">
        <v>28</v>
      </c>
      <c r="C36" s="594"/>
      <c r="D36" s="594"/>
      <c r="E36" s="595"/>
      <c r="F36" s="609"/>
      <c r="G36" s="592" t="str">
        <f t="shared" si="15"/>
        <v/>
      </c>
      <c r="H36" s="610" t="str">
        <f t="shared" si="27"/>
        <v/>
      </c>
      <c r="I36" s="596"/>
      <c r="J36" s="730" t="str">
        <f t="shared" si="5"/>
        <v/>
      </c>
      <c r="K36" s="598"/>
      <c r="L36" s="599"/>
      <c r="M36" s="600"/>
      <c r="N36" s="601"/>
      <c r="O36" s="602"/>
      <c r="P36" s="603" t="str">
        <f t="shared" si="23"/>
        <v/>
      </c>
      <c r="Q36" s="600"/>
      <c r="R36" s="601"/>
      <c r="S36" s="599"/>
      <c r="T36" s="604"/>
      <c r="U36" s="601"/>
      <c r="V36" s="605"/>
      <c r="W36" s="606" t="str">
        <f t="shared" si="25"/>
        <v/>
      </c>
      <c r="X36" s="600"/>
      <c r="Y36" s="596"/>
      <c r="Z36" s="607" t="str">
        <f t="shared" ref="Z36:Z58" si="28">IF(ISBLANK(Y36),"",Y36/F36)</f>
        <v/>
      </c>
      <c r="AA36" s="608" t="str">
        <f t="shared" si="26"/>
        <v/>
      </c>
      <c r="AB36" s="742" t="str">
        <f t="shared" si="7"/>
        <v/>
      </c>
      <c r="AC36" s="746" t="str">
        <f t="shared" si="10"/>
        <v/>
      </c>
      <c r="AD36" s="2048"/>
      <c r="AE36" s="2049"/>
    </row>
    <row r="37" spans="2:31">
      <c r="B37" s="593">
        <v>29</v>
      </c>
      <c r="C37" s="594"/>
      <c r="D37" s="594"/>
      <c r="E37" s="595"/>
      <c r="F37" s="609"/>
      <c r="G37" s="592" t="str">
        <f t="shared" si="15"/>
        <v/>
      </c>
      <c r="H37" s="610" t="str">
        <f t="shared" si="27"/>
        <v/>
      </c>
      <c r="I37" s="596"/>
      <c r="J37" s="730" t="str">
        <f t="shared" si="5"/>
        <v/>
      </c>
      <c r="K37" s="598"/>
      <c r="L37" s="599"/>
      <c r="M37" s="600"/>
      <c r="N37" s="601"/>
      <c r="O37" s="602"/>
      <c r="P37" s="603" t="str">
        <f t="shared" si="23"/>
        <v/>
      </c>
      <c r="Q37" s="600"/>
      <c r="R37" s="601"/>
      <c r="S37" s="599"/>
      <c r="T37" s="604"/>
      <c r="U37" s="601"/>
      <c r="V37" s="605"/>
      <c r="W37" s="606" t="str">
        <f t="shared" si="25"/>
        <v/>
      </c>
      <c r="X37" s="600"/>
      <c r="Y37" s="596"/>
      <c r="Z37" s="607" t="str">
        <f t="shared" si="28"/>
        <v/>
      </c>
      <c r="AA37" s="608" t="str">
        <f t="shared" si="26"/>
        <v/>
      </c>
      <c r="AB37" s="742" t="str">
        <f t="shared" si="7"/>
        <v/>
      </c>
      <c r="AC37" s="746" t="str">
        <f t="shared" si="10"/>
        <v/>
      </c>
      <c r="AD37" s="2048"/>
      <c r="AE37" s="2049"/>
    </row>
    <row r="38" spans="2:31">
      <c r="B38" s="593">
        <v>30</v>
      </c>
      <c r="C38" s="594"/>
      <c r="D38" s="594"/>
      <c r="E38" s="595"/>
      <c r="F38" s="609"/>
      <c r="G38" s="592" t="str">
        <f t="shared" si="15"/>
        <v/>
      </c>
      <c r="H38" s="610" t="str">
        <f t="shared" si="27"/>
        <v/>
      </c>
      <c r="I38" s="596"/>
      <c r="J38" s="730" t="str">
        <f t="shared" si="5"/>
        <v/>
      </c>
      <c r="K38" s="598"/>
      <c r="L38" s="599"/>
      <c r="M38" s="600"/>
      <c r="N38" s="601"/>
      <c r="O38" s="602"/>
      <c r="P38" s="603" t="str">
        <f t="shared" si="23"/>
        <v/>
      </c>
      <c r="Q38" s="600"/>
      <c r="R38" s="601"/>
      <c r="S38" s="599"/>
      <c r="T38" s="604"/>
      <c r="U38" s="601"/>
      <c r="V38" s="605"/>
      <c r="W38" s="606" t="str">
        <f t="shared" si="25"/>
        <v/>
      </c>
      <c r="X38" s="600"/>
      <c r="Y38" s="596"/>
      <c r="Z38" s="607" t="str">
        <f t="shared" si="28"/>
        <v/>
      </c>
      <c r="AA38" s="608" t="str">
        <f t="shared" si="26"/>
        <v/>
      </c>
      <c r="AB38" s="597" t="str">
        <f t="shared" ref="AB38:AB58" si="29">IF(ISBLANK(Y38),"",(F38-Y38))</f>
        <v/>
      </c>
      <c r="AC38" s="746" t="str">
        <f t="shared" si="10"/>
        <v/>
      </c>
      <c r="AD38" s="2048"/>
      <c r="AE38" s="2049"/>
    </row>
    <row r="39" spans="2:31">
      <c r="B39" s="593">
        <v>31</v>
      </c>
      <c r="C39" s="594"/>
      <c r="D39" s="594"/>
      <c r="E39" s="595"/>
      <c r="F39" s="609"/>
      <c r="G39" s="592" t="str">
        <f t="shared" si="15"/>
        <v/>
      </c>
      <c r="H39" s="610" t="str">
        <f t="shared" si="27"/>
        <v/>
      </c>
      <c r="I39" s="596"/>
      <c r="J39" s="730" t="str">
        <f t="shared" si="5"/>
        <v/>
      </c>
      <c r="K39" s="598"/>
      <c r="L39" s="599"/>
      <c r="M39" s="600"/>
      <c r="N39" s="601"/>
      <c r="O39" s="602"/>
      <c r="P39" s="603" t="str">
        <f t="shared" si="23"/>
        <v/>
      </c>
      <c r="Q39" s="600"/>
      <c r="R39" s="601"/>
      <c r="S39" s="599"/>
      <c r="T39" s="604"/>
      <c r="U39" s="601"/>
      <c r="V39" s="605"/>
      <c r="W39" s="606" t="str">
        <f t="shared" si="25"/>
        <v/>
      </c>
      <c r="X39" s="600"/>
      <c r="Y39" s="596"/>
      <c r="Z39" s="607" t="str">
        <f t="shared" si="28"/>
        <v/>
      </c>
      <c r="AA39" s="608" t="str">
        <f t="shared" si="26"/>
        <v/>
      </c>
      <c r="AB39" s="597" t="str">
        <f t="shared" si="29"/>
        <v/>
      </c>
      <c r="AC39" s="746" t="str">
        <f t="shared" si="10"/>
        <v/>
      </c>
      <c r="AD39" s="2048"/>
      <c r="AE39" s="2049"/>
    </row>
    <row r="40" spans="2:31">
      <c r="B40" s="593">
        <v>32</v>
      </c>
      <c r="C40" s="594"/>
      <c r="D40" s="594"/>
      <c r="E40" s="595"/>
      <c r="F40" s="609"/>
      <c r="G40" s="592" t="str">
        <f t="shared" si="15"/>
        <v/>
      </c>
      <c r="H40" s="610" t="str">
        <f t="shared" si="27"/>
        <v/>
      </c>
      <c r="I40" s="596"/>
      <c r="J40" s="730" t="str">
        <f t="shared" si="5"/>
        <v/>
      </c>
      <c r="K40" s="598"/>
      <c r="L40" s="599"/>
      <c r="M40" s="600"/>
      <c r="N40" s="601"/>
      <c r="O40" s="602"/>
      <c r="P40" s="603" t="str">
        <f t="shared" si="23"/>
        <v/>
      </c>
      <c r="Q40" s="600"/>
      <c r="R40" s="601"/>
      <c r="S40" s="599"/>
      <c r="T40" s="604"/>
      <c r="U40" s="601"/>
      <c r="V40" s="605"/>
      <c r="W40" s="606" t="str">
        <f t="shared" si="25"/>
        <v/>
      </c>
      <c r="X40" s="600"/>
      <c r="Y40" s="596"/>
      <c r="Z40" s="607" t="str">
        <f t="shared" si="28"/>
        <v/>
      </c>
      <c r="AA40" s="608" t="str">
        <f t="shared" si="26"/>
        <v/>
      </c>
      <c r="AB40" s="597" t="str">
        <f t="shared" si="29"/>
        <v/>
      </c>
      <c r="AC40" s="746" t="str">
        <f t="shared" si="10"/>
        <v/>
      </c>
      <c r="AD40" s="2048"/>
      <c r="AE40" s="2049"/>
    </row>
    <row r="41" spans="2:31">
      <c r="B41" s="593">
        <v>33</v>
      </c>
      <c r="C41" s="594"/>
      <c r="D41" s="594"/>
      <c r="E41" s="595"/>
      <c r="F41" s="609"/>
      <c r="G41" s="610" t="str">
        <f t="shared" si="1"/>
        <v/>
      </c>
      <c r="H41" s="610" t="str">
        <f t="shared" si="27"/>
        <v/>
      </c>
      <c r="I41" s="596"/>
      <c r="J41" s="730" t="str">
        <f t="shared" si="5"/>
        <v/>
      </c>
      <c r="K41" s="598"/>
      <c r="L41" s="599"/>
      <c r="M41" s="600"/>
      <c r="N41" s="601"/>
      <c r="O41" s="602"/>
      <c r="P41" s="603" t="str">
        <f t="shared" si="23"/>
        <v/>
      </c>
      <c r="Q41" s="600"/>
      <c r="R41" s="601"/>
      <c r="S41" s="599"/>
      <c r="T41" s="604"/>
      <c r="U41" s="601"/>
      <c r="V41" s="605"/>
      <c r="W41" s="606" t="str">
        <f t="shared" si="25"/>
        <v/>
      </c>
      <c r="X41" s="600"/>
      <c r="Y41" s="596"/>
      <c r="Z41" s="607" t="str">
        <f t="shared" si="28"/>
        <v/>
      </c>
      <c r="AA41" s="608" t="str">
        <f t="shared" si="26"/>
        <v/>
      </c>
      <c r="AB41" s="597" t="str">
        <f t="shared" si="29"/>
        <v/>
      </c>
      <c r="AC41" s="746" t="str">
        <f t="shared" si="10"/>
        <v/>
      </c>
      <c r="AD41" s="2048"/>
      <c r="AE41" s="2049"/>
    </row>
    <row r="42" spans="2:31">
      <c r="B42" s="593">
        <v>34</v>
      </c>
      <c r="C42" s="594"/>
      <c r="D42" s="594"/>
      <c r="E42" s="595"/>
      <c r="F42" s="609"/>
      <c r="G42" s="610" t="str">
        <f t="shared" si="1"/>
        <v/>
      </c>
      <c r="H42" s="610" t="str">
        <f t="shared" si="27"/>
        <v/>
      </c>
      <c r="I42" s="596"/>
      <c r="J42" s="730" t="str">
        <f t="shared" si="5"/>
        <v/>
      </c>
      <c r="K42" s="598"/>
      <c r="L42" s="599"/>
      <c r="M42" s="600"/>
      <c r="N42" s="601"/>
      <c r="O42" s="602"/>
      <c r="P42" s="603" t="str">
        <f t="shared" si="23"/>
        <v/>
      </c>
      <c r="Q42" s="600"/>
      <c r="R42" s="601"/>
      <c r="S42" s="599"/>
      <c r="T42" s="604"/>
      <c r="U42" s="601"/>
      <c r="V42" s="605"/>
      <c r="W42" s="606" t="str">
        <f t="shared" si="25"/>
        <v/>
      </c>
      <c r="X42" s="600"/>
      <c r="Y42" s="596"/>
      <c r="Z42" s="607" t="str">
        <f t="shared" si="28"/>
        <v/>
      </c>
      <c r="AA42" s="608" t="str">
        <f t="shared" si="26"/>
        <v/>
      </c>
      <c r="AB42" s="597" t="str">
        <f t="shared" si="29"/>
        <v/>
      </c>
      <c r="AC42" s="746" t="str">
        <f t="shared" si="10"/>
        <v/>
      </c>
      <c r="AD42" s="2048"/>
      <c r="AE42" s="2049"/>
    </row>
    <row r="43" spans="2:31">
      <c r="B43" s="593">
        <v>35</v>
      </c>
      <c r="C43" s="594"/>
      <c r="D43" s="594"/>
      <c r="E43" s="595"/>
      <c r="F43" s="609"/>
      <c r="G43" s="610" t="str">
        <f t="shared" si="1"/>
        <v/>
      </c>
      <c r="H43" s="610" t="str">
        <f t="shared" si="27"/>
        <v/>
      </c>
      <c r="I43" s="596"/>
      <c r="J43" s="730" t="str">
        <f t="shared" si="5"/>
        <v/>
      </c>
      <c r="K43" s="598"/>
      <c r="L43" s="599"/>
      <c r="M43" s="600"/>
      <c r="N43" s="601"/>
      <c r="O43" s="602"/>
      <c r="P43" s="603" t="str">
        <f t="shared" si="23"/>
        <v/>
      </c>
      <c r="Q43" s="600"/>
      <c r="R43" s="601"/>
      <c r="S43" s="599"/>
      <c r="T43" s="604"/>
      <c r="U43" s="601"/>
      <c r="V43" s="605"/>
      <c r="W43" s="606" t="str">
        <f t="shared" si="25"/>
        <v/>
      </c>
      <c r="X43" s="600"/>
      <c r="Y43" s="596"/>
      <c r="Z43" s="607" t="str">
        <f t="shared" si="28"/>
        <v/>
      </c>
      <c r="AA43" s="608" t="str">
        <f t="shared" si="26"/>
        <v/>
      </c>
      <c r="AB43" s="597" t="str">
        <f t="shared" si="29"/>
        <v/>
      </c>
      <c r="AC43" s="746" t="str">
        <f t="shared" si="10"/>
        <v/>
      </c>
      <c r="AD43" s="2048"/>
      <c r="AE43" s="2049"/>
    </row>
    <row r="44" spans="2:31">
      <c r="B44" s="593">
        <v>36</v>
      </c>
      <c r="C44" s="594"/>
      <c r="D44" s="594"/>
      <c r="E44" s="595"/>
      <c r="F44" s="609"/>
      <c r="G44" s="610" t="str">
        <f t="shared" si="1"/>
        <v/>
      </c>
      <c r="H44" s="610" t="str">
        <f t="shared" si="27"/>
        <v/>
      </c>
      <c r="I44" s="596"/>
      <c r="J44" s="730" t="str">
        <f t="shared" si="5"/>
        <v/>
      </c>
      <c r="K44" s="598"/>
      <c r="L44" s="599"/>
      <c r="M44" s="600"/>
      <c r="N44" s="601"/>
      <c r="O44" s="602"/>
      <c r="P44" s="603" t="str">
        <f t="shared" si="23"/>
        <v/>
      </c>
      <c r="Q44" s="600"/>
      <c r="R44" s="601"/>
      <c r="S44" s="599"/>
      <c r="T44" s="604"/>
      <c r="U44" s="601"/>
      <c r="V44" s="605"/>
      <c r="W44" s="606" t="str">
        <f t="shared" si="25"/>
        <v/>
      </c>
      <c r="X44" s="600"/>
      <c r="Y44" s="596"/>
      <c r="Z44" s="607" t="str">
        <f t="shared" si="28"/>
        <v/>
      </c>
      <c r="AA44" s="608" t="str">
        <f t="shared" si="26"/>
        <v/>
      </c>
      <c r="AB44" s="597" t="str">
        <f t="shared" si="29"/>
        <v/>
      </c>
      <c r="AC44" s="746" t="str">
        <f t="shared" si="10"/>
        <v/>
      </c>
      <c r="AD44" s="2048"/>
      <c r="AE44" s="2049"/>
    </row>
    <row r="45" spans="2:31">
      <c r="B45" s="593">
        <v>37</v>
      </c>
      <c r="C45" s="594"/>
      <c r="D45" s="594"/>
      <c r="E45" s="595"/>
      <c r="F45" s="609"/>
      <c r="G45" s="610" t="str">
        <f t="shared" si="1"/>
        <v/>
      </c>
      <c r="H45" s="610" t="str">
        <f t="shared" si="27"/>
        <v/>
      </c>
      <c r="I45" s="596"/>
      <c r="J45" s="730" t="str">
        <f t="shared" si="5"/>
        <v/>
      </c>
      <c r="K45" s="598"/>
      <c r="L45" s="599"/>
      <c r="M45" s="600"/>
      <c r="N45" s="601"/>
      <c r="O45" s="602"/>
      <c r="P45" s="603" t="str">
        <f t="shared" si="23"/>
        <v/>
      </c>
      <c r="Q45" s="600"/>
      <c r="R45" s="601"/>
      <c r="S45" s="599"/>
      <c r="T45" s="604"/>
      <c r="U45" s="601"/>
      <c r="V45" s="605"/>
      <c r="W45" s="606" t="str">
        <f t="shared" si="25"/>
        <v/>
      </c>
      <c r="X45" s="600"/>
      <c r="Y45" s="596"/>
      <c r="Z45" s="607" t="str">
        <f t="shared" si="28"/>
        <v/>
      </c>
      <c r="AA45" s="608" t="str">
        <f t="shared" si="26"/>
        <v/>
      </c>
      <c r="AB45" s="597" t="str">
        <f t="shared" si="29"/>
        <v/>
      </c>
      <c r="AC45" s="746" t="str">
        <f t="shared" si="10"/>
        <v/>
      </c>
      <c r="AD45" s="2048"/>
      <c r="AE45" s="2049"/>
    </row>
    <row r="46" spans="2:31">
      <c r="B46" s="593">
        <v>38</v>
      </c>
      <c r="C46" s="594"/>
      <c r="D46" s="594"/>
      <c r="E46" s="595"/>
      <c r="F46" s="609"/>
      <c r="G46" s="610" t="str">
        <f t="shared" si="1"/>
        <v/>
      </c>
      <c r="H46" s="610" t="str">
        <f t="shared" si="27"/>
        <v/>
      </c>
      <c r="I46" s="596"/>
      <c r="J46" s="730" t="str">
        <f>IF(ISBLANK(F46),"",SUM(F46:I46)+F46*0.15)</f>
        <v/>
      </c>
      <c r="K46" s="598"/>
      <c r="L46" s="599"/>
      <c r="M46" s="600"/>
      <c r="N46" s="601"/>
      <c r="O46" s="602"/>
      <c r="P46" s="603" t="str">
        <f t="shared" si="23"/>
        <v/>
      </c>
      <c r="Q46" s="600"/>
      <c r="R46" s="601"/>
      <c r="S46" s="599"/>
      <c r="T46" s="604"/>
      <c r="U46" s="601"/>
      <c r="V46" s="605"/>
      <c r="W46" s="606" t="str">
        <f t="shared" si="25"/>
        <v/>
      </c>
      <c r="X46" s="600"/>
      <c r="Y46" s="596"/>
      <c r="Z46" s="607" t="str">
        <f t="shared" si="28"/>
        <v/>
      </c>
      <c r="AA46" s="608" t="str">
        <f t="shared" si="26"/>
        <v/>
      </c>
      <c r="AB46" s="597" t="str">
        <f t="shared" si="29"/>
        <v/>
      </c>
      <c r="AC46" s="746" t="str">
        <f t="shared" si="10"/>
        <v/>
      </c>
      <c r="AD46" s="2048"/>
      <c r="AE46" s="2049"/>
    </row>
    <row r="47" spans="2:31">
      <c r="B47" s="611">
        <v>39</v>
      </c>
      <c r="C47" s="612"/>
      <c r="D47" s="612"/>
      <c r="E47" s="613"/>
      <c r="F47" s="614"/>
      <c r="G47" s="615" t="str">
        <f t="shared" si="1"/>
        <v/>
      </c>
      <c r="H47" s="615" t="str">
        <f t="shared" si="27"/>
        <v/>
      </c>
      <c r="I47" s="616"/>
      <c r="J47" s="730" t="str">
        <f t="shared" si="5"/>
        <v/>
      </c>
      <c r="K47" s="617"/>
      <c r="L47" s="618"/>
      <c r="M47" s="619"/>
      <c r="N47" s="620"/>
      <c r="O47" s="621"/>
      <c r="P47" s="622"/>
      <c r="Q47" s="619"/>
      <c r="R47" s="620"/>
      <c r="S47" s="618"/>
      <c r="T47" s="623"/>
      <c r="U47" s="620"/>
      <c r="V47" s="624"/>
      <c r="W47" s="625"/>
      <c r="X47" s="619"/>
      <c r="Y47" s="616"/>
      <c r="Z47" s="626" t="str">
        <f t="shared" si="28"/>
        <v/>
      </c>
      <c r="AA47" s="627"/>
      <c r="AB47" s="597" t="str">
        <f>IF(ISBLANK(Y47),"",(F47-Y47))</f>
        <v/>
      </c>
      <c r="AC47" s="201"/>
      <c r="AD47" s="2048"/>
      <c r="AE47" s="2049"/>
    </row>
    <row r="48" spans="2:31">
      <c r="B48" s="611">
        <v>40</v>
      </c>
      <c r="C48" s="612"/>
      <c r="D48" s="612"/>
      <c r="E48" s="613"/>
      <c r="F48" s="614"/>
      <c r="G48" s="615" t="str">
        <f t="shared" si="1"/>
        <v/>
      </c>
      <c r="H48" s="615" t="str">
        <f t="shared" si="27"/>
        <v/>
      </c>
      <c r="I48" s="616"/>
      <c r="J48" s="730" t="str">
        <f t="shared" si="5"/>
        <v/>
      </c>
      <c r="K48" s="617"/>
      <c r="L48" s="618"/>
      <c r="M48" s="619"/>
      <c r="N48" s="620"/>
      <c r="O48" s="621"/>
      <c r="P48" s="622"/>
      <c r="Q48" s="619"/>
      <c r="R48" s="620"/>
      <c r="S48" s="618"/>
      <c r="T48" s="623"/>
      <c r="U48" s="620"/>
      <c r="V48" s="624"/>
      <c r="W48" s="625"/>
      <c r="X48" s="619"/>
      <c r="Y48" s="616"/>
      <c r="Z48" s="626" t="str">
        <f t="shared" si="28"/>
        <v/>
      </c>
      <c r="AA48" s="627"/>
      <c r="AB48" s="597" t="str">
        <f t="shared" si="29"/>
        <v/>
      </c>
      <c r="AC48" s="201"/>
      <c r="AD48" s="2048"/>
      <c r="AE48" s="2049"/>
    </row>
    <row r="49" spans="2:31">
      <c r="B49" s="593">
        <v>41</v>
      </c>
      <c r="C49" s="612"/>
      <c r="D49" s="612"/>
      <c r="E49" s="613"/>
      <c r="F49" s="614"/>
      <c r="G49" s="615" t="str">
        <f t="shared" si="1"/>
        <v/>
      </c>
      <c r="H49" s="615" t="str">
        <f t="shared" si="27"/>
        <v/>
      </c>
      <c r="I49" s="616"/>
      <c r="J49" s="730" t="str">
        <f t="shared" si="5"/>
        <v/>
      </c>
      <c r="K49" s="617"/>
      <c r="L49" s="618"/>
      <c r="M49" s="619"/>
      <c r="N49" s="620"/>
      <c r="O49" s="621"/>
      <c r="P49" s="622"/>
      <c r="Q49" s="619"/>
      <c r="R49" s="620"/>
      <c r="S49" s="618"/>
      <c r="T49" s="623"/>
      <c r="U49" s="620"/>
      <c r="V49" s="624"/>
      <c r="W49" s="625"/>
      <c r="X49" s="619"/>
      <c r="Y49" s="616"/>
      <c r="Z49" s="626" t="str">
        <f t="shared" si="28"/>
        <v/>
      </c>
      <c r="AA49" s="627"/>
      <c r="AB49" s="597" t="str">
        <f t="shared" si="29"/>
        <v/>
      </c>
      <c r="AC49" s="201"/>
      <c r="AD49" s="2048"/>
      <c r="AE49" s="2049"/>
    </row>
    <row r="50" spans="2:31">
      <c r="B50" s="593">
        <v>42</v>
      </c>
      <c r="C50" s="612"/>
      <c r="D50" s="612"/>
      <c r="E50" s="613"/>
      <c r="F50" s="614"/>
      <c r="G50" s="615" t="str">
        <f t="shared" si="1"/>
        <v/>
      </c>
      <c r="H50" s="615" t="str">
        <f t="shared" si="27"/>
        <v/>
      </c>
      <c r="I50" s="616"/>
      <c r="J50" s="730" t="str">
        <f t="shared" si="5"/>
        <v/>
      </c>
      <c r="K50" s="617"/>
      <c r="L50" s="618"/>
      <c r="M50" s="619"/>
      <c r="N50" s="620"/>
      <c r="O50" s="621"/>
      <c r="P50" s="622"/>
      <c r="Q50" s="619"/>
      <c r="R50" s="620"/>
      <c r="S50" s="618"/>
      <c r="T50" s="623"/>
      <c r="U50" s="620"/>
      <c r="V50" s="624"/>
      <c r="W50" s="625"/>
      <c r="X50" s="619"/>
      <c r="Y50" s="616"/>
      <c r="Z50" s="626" t="str">
        <f t="shared" si="28"/>
        <v/>
      </c>
      <c r="AA50" s="627"/>
      <c r="AB50" s="597" t="str">
        <f t="shared" si="29"/>
        <v/>
      </c>
      <c r="AC50" s="201"/>
      <c r="AD50" s="2048"/>
      <c r="AE50" s="2049"/>
    </row>
    <row r="51" spans="2:31">
      <c r="B51" s="611">
        <v>43</v>
      </c>
      <c r="C51" s="612"/>
      <c r="D51" s="612"/>
      <c r="E51" s="613"/>
      <c r="F51" s="614"/>
      <c r="G51" s="615" t="str">
        <f t="shared" si="1"/>
        <v/>
      </c>
      <c r="H51" s="615" t="str">
        <f t="shared" si="27"/>
        <v/>
      </c>
      <c r="I51" s="616"/>
      <c r="J51" s="730" t="str">
        <f t="shared" si="5"/>
        <v/>
      </c>
      <c r="K51" s="617"/>
      <c r="L51" s="618"/>
      <c r="M51" s="619"/>
      <c r="N51" s="620"/>
      <c r="O51" s="621"/>
      <c r="P51" s="622"/>
      <c r="Q51" s="619"/>
      <c r="R51" s="620"/>
      <c r="S51" s="618"/>
      <c r="T51" s="623"/>
      <c r="U51" s="620"/>
      <c r="V51" s="624"/>
      <c r="W51" s="625"/>
      <c r="X51" s="619"/>
      <c r="Y51" s="616"/>
      <c r="Z51" s="626" t="str">
        <f t="shared" si="28"/>
        <v/>
      </c>
      <c r="AA51" s="627"/>
      <c r="AB51" s="597" t="str">
        <f t="shared" si="29"/>
        <v/>
      </c>
      <c r="AC51" s="201"/>
      <c r="AD51" s="2048"/>
      <c r="AE51" s="2049"/>
    </row>
    <row r="52" spans="2:31">
      <c r="B52" s="611">
        <v>44</v>
      </c>
      <c r="C52" s="612"/>
      <c r="D52" s="612"/>
      <c r="E52" s="613"/>
      <c r="F52" s="614"/>
      <c r="G52" s="615" t="str">
        <f t="shared" si="1"/>
        <v/>
      </c>
      <c r="H52" s="615" t="str">
        <f t="shared" si="27"/>
        <v/>
      </c>
      <c r="I52" s="616"/>
      <c r="J52" s="730" t="str">
        <f t="shared" si="5"/>
        <v/>
      </c>
      <c r="K52" s="617"/>
      <c r="L52" s="618"/>
      <c r="M52" s="619"/>
      <c r="N52" s="620"/>
      <c r="O52" s="621"/>
      <c r="P52" s="622"/>
      <c r="Q52" s="619"/>
      <c r="R52" s="620"/>
      <c r="S52" s="618"/>
      <c r="T52" s="623"/>
      <c r="U52" s="620"/>
      <c r="V52" s="624"/>
      <c r="W52" s="625"/>
      <c r="X52" s="619"/>
      <c r="Y52" s="616"/>
      <c r="Z52" s="626" t="str">
        <f t="shared" si="28"/>
        <v/>
      </c>
      <c r="AA52" s="627"/>
      <c r="AB52" s="597" t="str">
        <f t="shared" si="29"/>
        <v/>
      </c>
      <c r="AC52" s="201"/>
      <c r="AD52" s="2048"/>
      <c r="AE52" s="2049"/>
    </row>
    <row r="53" spans="2:31">
      <c r="B53" s="593">
        <v>45</v>
      </c>
      <c r="C53" s="612"/>
      <c r="D53" s="612"/>
      <c r="E53" s="613"/>
      <c r="F53" s="614"/>
      <c r="G53" s="615" t="str">
        <f t="shared" si="1"/>
        <v/>
      </c>
      <c r="H53" s="615" t="str">
        <f t="shared" si="27"/>
        <v/>
      </c>
      <c r="I53" s="616"/>
      <c r="J53" s="730" t="str">
        <f t="shared" si="5"/>
        <v/>
      </c>
      <c r="K53" s="617"/>
      <c r="L53" s="618"/>
      <c r="M53" s="619"/>
      <c r="N53" s="620"/>
      <c r="O53" s="621"/>
      <c r="P53" s="622"/>
      <c r="Q53" s="619"/>
      <c r="R53" s="620"/>
      <c r="S53" s="618"/>
      <c r="T53" s="623"/>
      <c r="U53" s="620"/>
      <c r="V53" s="624"/>
      <c r="W53" s="625"/>
      <c r="X53" s="619"/>
      <c r="Y53" s="616"/>
      <c r="Z53" s="626" t="str">
        <f t="shared" si="28"/>
        <v/>
      </c>
      <c r="AA53" s="627"/>
      <c r="AB53" s="597" t="str">
        <f t="shared" si="29"/>
        <v/>
      </c>
      <c r="AC53" s="201"/>
      <c r="AD53" s="2048"/>
      <c r="AE53" s="2049"/>
    </row>
    <row r="54" spans="2:31">
      <c r="B54" s="611">
        <v>46</v>
      </c>
      <c r="C54" s="612"/>
      <c r="D54" s="612"/>
      <c r="E54" s="613"/>
      <c r="F54" s="614"/>
      <c r="G54" s="615" t="str">
        <f t="shared" si="1"/>
        <v/>
      </c>
      <c r="H54" s="615" t="str">
        <f t="shared" si="27"/>
        <v/>
      </c>
      <c r="I54" s="616"/>
      <c r="J54" s="730" t="str">
        <f t="shared" si="5"/>
        <v/>
      </c>
      <c r="K54" s="617"/>
      <c r="L54" s="618"/>
      <c r="M54" s="619"/>
      <c r="N54" s="620"/>
      <c r="O54" s="621"/>
      <c r="P54" s="622"/>
      <c r="Q54" s="619"/>
      <c r="R54" s="620"/>
      <c r="S54" s="618"/>
      <c r="T54" s="623"/>
      <c r="U54" s="620"/>
      <c r="V54" s="624"/>
      <c r="W54" s="625"/>
      <c r="X54" s="619"/>
      <c r="Y54" s="616"/>
      <c r="Z54" s="626" t="str">
        <f t="shared" si="28"/>
        <v/>
      </c>
      <c r="AA54" s="627"/>
      <c r="AB54" s="597" t="str">
        <f t="shared" si="29"/>
        <v/>
      </c>
      <c r="AC54" s="201"/>
      <c r="AD54" s="2048"/>
      <c r="AE54" s="2049"/>
    </row>
    <row r="55" spans="2:31">
      <c r="B55" s="593">
        <v>47</v>
      </c>
      <c r="C55" s="612"/>
      <c r="D55" s="612"/>
      <c r="E55" s="613"/>
      <c r="F55" s="614"/>
      <c r="G55" s="615" t="str">
        <f t="shared" si="1"/>
        <v/>
      </c>
      <c r="H55" s="615" t="str">
        <f t="shared" si="27"/>
        <v/>
      </c>
      <c r="I55" s="616"/>
      <c r="J55" s="730" t="str">
        <f t="shared" si="5"/>
        <v/>
      </c>
      <c r="K55" s="617"/>
      <c r="L55" s="618"/>
      <c r="M55" s="619"/>
      <c r="N55" s="620"/>
      <c r="O55" s="621"/>
      <c r="P55" s="622"/>
      <c r="Q55" s="619"/>
      <c r="R55" s="620"/>
      <c r="S55" s="618"/>
      <c r="T55" s="623"/>
      <c r="U55" s="620"/>
      <c r="V55" s="624"/>
      <c r="W55" s="625"/>
      <c r="X55" s="619"/>
      <c r="Y55" s="616"/>
      <c r="Z55" s="626" t="str">
        <f t="shared" si="28"/>
        <v/>
      </c>
      <c r="AA55" s="627"/>
      <c r="AB55" s="597" t="str">
        <f t="shared" si="29"/>
        <v/>
      </c>
      <c r="AC55" s="201"/>
      <c r="AD55" s="2048"/>
      <c r="AE55" s="2049"/>
    </row>
    <row r="56" spans="2:31">
      <c r="B56" s="593">
        <v>48</v>
      </c>
      <c r="C56" s="612"/>
      <c r="D56" s="612"/>
      <c r="E56" s="613"/>
      <c r="F56" s="614"/>
      <c r="G56" s="615" t="str">
        <f t="shared" si="1"/>
        <v/>
      </c>
      <c r="H56" s="615" t="str">
        <f t="shared" si="27"/>
        <v/>
      </c>
      <c r="I56" s="616"/>
      <c r="J56" s="730" t="str">
        <f t="shared" si="5"/>
        <v/>
      </c>
      <c r="K56" s="617"/>
      <c r="L56" s="618"/>
      <c r="M56" s="619"/>
      <c r="N56" s="620"/>
      <c r="O56" s="621"/>
      <c r="P56" s="622"/>
      <c r="Q56" s="619"/>
      <c r="R56" s="620"/>
      <c r="S56" s="618"/>
      <c r="T56" s="623"/>
      <c r="U56" s="620"/>
      <c r="V56" s="624"/>
      <c r="W56" s="625"/>
      <c r="X56" s="619"/>
      <c r="Y56" s="616"/>
      <c r="Z56" s="626" t="str">
        <f t="shared" si="28"/>
        <v/>
      </c>
      <c r="AA56" s="627"/>
      <c r="AB56" s="597" t="str">
        <f t="shared" si="29"/>
        <v/>
      </c>
      <c r="AC56" s="201"/>
      <c r="AD56" s="2048"/>
      <c r="AE56" s="2049"/>
    </row>
    <row r="57" spans="2:31">
      <c r="B57" s="611">
        <v>49</v>
      </c>
      <c r="C57" s="612"/>
      <c r="D57" s="612"/>
      <c r="E57" s="613"/>
      <c r="F57" s="614"/>
      <c r="G57" s="615" t="str">
        <f t="shared" si="1"/>
        <v/>
      </c>
      <c r="H57" s="615" t="str">
        <f t="shared" si="27"/>
        <v/>
      </c>
      <c r="I57" s="616"/>
      <c r="J57" s="730" t="str">
        <f t="shared" si="5"/>
        <v/>
      </c>
      <c r="K57" s="617"/>
      <c r="L57" s="618"/>
      <c r="M57" s="619"/>
      <c r="N57" s="620"/>
      <c r="O57" s="621"/>
      <c r="P57" s="622"/>
      <c r="Q57" s="619"/>
      <c r="R57" s="620"/>
      <c r="S57" s="618"/>
      <c r="T57" s="623"/>
      <c r="U57" s="620"/>
      <c r="V57" s="624"/>
      <c r="W57" s="625"/>
      <c r="X57" s="619"/>
      <c r="Y57" s="616"/>
      <c r="Z57" s="626" t="str">
        <f t="shared" si="28"/>
        <v/>
      </c>
      <c r="AA57" s="627"/>
      <c r="AB57" s="597" t="str">
        <f t="shared" si="29"/>
        <v/>
      </c>
      <c r="AC57" s="201"/>
      <c r="AD57" s="2048"/>
      <c r="AE57" s="2049"/>
    </row>
    <row r="58" spans="2:31">
      <c r="B58" s="611">
        <v>50</v>
      </c>
      <c r="C58" s="612"/>
      <c r="D58" s="612"/>
      <c r="E58" s="613"/>
      <c r="F58" s="614"/>
      <c r="G58" s="615" t="str">
        <f t="shared" si="1"/>
        <v/>
      </c>
      <c r="H58" s="615" t="str">
        <f t="shared" si="27"/>
        <v/>
      </c>
      <c r="I58" s="616"/>
      <c r="J58" s="730" t="str">
        <f t="shared" si="5"/>
        <v/>
      </c>
      <c r="K58" s="617"/>
      <c r="L58" s="618"/>
      <c r="M58" s="619"/>
      <c r="N58" s="620"/>
      <c r="O58" s="621"/>
      <c r="P58" s="622"/>
      <c r="Q58" s="619"/>
      <c r="R58" s="620"/>
      <c r="S58" s="618"/>
      <c r="T58" s="623"/>
      <c r="U58" s="620"/>
      <c r="V58" s="624"/>
      <c r="W58" s="625"/>
      <c r="X58" s="619"/>
      <c r="Y58" s="616"/>
      <c r="Z58" s="626" t="str">
        <f t="shared" si="28"/>
        <v/>
      </c>
      <c r="AA58" s="627"/>
      <c r="AB58" s="597" t="str">
        <f t="shared" si="29"/>
        <v/>
      </c>
      <c r="AC58" s="201"/>
      <c r="AD58" s="2048"/>
      <c r="AE58" s="2049"/>
    </row>
    <row r="59" spans="2:31" ht="15" thickBot="1">
      <c r="B59" s="628"/>
      <c r="C59" s="629"/>
      <c r="D59" s="629"/>
      <c r="E59" s="630" t="s">
        <v>641</v>
      </c>
      <c r="F59" s="631">
        <f>SUM(F9:F58)</f>
        <v>35217376.920000002</v>
      </c>
      <c r="G59" s="632">
        <f>SUM(G9:G58)</f>
        <v>0</v>
      </c>
      <c r="H59" s="632">
        <f>SUM(H9:H58)</f>
        <v>0</v>
      </c>
      <c r="I59" s="633">
        <f>SUM(I9:I58)</f>
        <v>0</v>
      </c>
      <c r="J59" s="634">
        <f>SUM(J9:J58)</f>
        <v>40499983.457999997</v>
      </c>
      <c r="K59" s="635"/>
      <c r="L59" s="636"/>
      <c r="M59" s="637"/>
      <c r="N59" s="638"/>
      <c r="O59" s="629"/>
      <c r="P59" s="639" t="str">
        <f t="shared" si="23"/>
        <v/>
      </c>
      <c r="Q59" s="637"/>
      <c r="R59" s="638"/>
      <c r="S59" s="640"/>
      <c r="T59" s="641"/>
      <c r="U59" s="638"/>
      <c r="V59" s="642"/>
      <c r="W59" s="639" t="str">
        <f t="shared" si="25"/>
        <v/>
      </c>
      <c r="X59" s="637"/>
      <c r="Y59" s="632">
        <f>SUM(Y9:Y58)</f>
        <v>27469388.637499999</v>
      </c>
      <c r="Z59" s="643"/>
      <c r="AA59" s="644" t="str">
        <f t="shared" si="26"/>
        <v/>
      </c>
      <c r="AB59" s="634">
        <f>SUM(AB9:AB58)</f>
        <v>8.999999612569809E-3</v>
      </c>
      <c r="AC59" s="200" t="str">
        <f t="shared" si="10"/>
        <v/>
      </c>
      <c r="AD59" s="2057"/>
      <c r="AE59" s="2058"/>
    </row>
    <row r="60" spans="2:31">
      <c r="W60" s="34"/>
    </row>
    <row r="62" spans="2:31" ht="15" thickBot="1">
      <c r="J62" s="567"/>
    </row>
    <row r="63" spans="2:31" ht="15" thickBot="1">
      <c r="F63" s="781">
        <f>+F59/0.9</f>
        <v>39130418.800000004</v>
      </c>
    </row>
    <row r="65" spans="6:6">
      <c r="F65" s="917"/>
    </row>
    <row r="66" spans="6:6" ht="15" thickBot="1"/>
    <row r="67" spans="6:6" ht="15" thickBot="1">
      <c r="F67" s="781">
        <f>+F59*1.15</f>
        <v>40499983.457999997</v>
      </c>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92" type="noConversion"/>
  <conditionalFormatting sqref="E6:F6">
    <cfRule type="cellIs" dxfId="11" priority="10" operator="greaterThan">
      <formula>0</formula>
    </cfRule>
  </conditionalFormatting>
  <conditionalFormatting sqref="I6:J6">
    <cfRule type="cellIs" dxfId="10" priority="9" operator="greaterThan">
      <formula>0</formula>
    </cfRule>
  </conditionalFormatting>
  <dataValidations count="1">
    <dataValidation type="list" allowBlank="1" showInputMessage="1" showErrorMessage="1" sqref="U9:U59 N9:N59 R9:R59" xr:uid="{FFA9A080-AC6D-4466-90C3-1336783AC8EE}">
      <formula1>$AJ$1:$AJ$2</formula1>
    </dataValidation>
  </dataValidations>
  <printOptions horizontalCentered="1"/>
  <pageMargins left="0.2" right="0.2" top="0.75" bottom="0.75" header="0.3" footer="0.3"/>
  <pageSetup paperSize="8" scale="59" orientation="landscape" r:id="rId1"/>
  <headerFooter>
    <oddFooter>&amp;L_x000D_&amp;1#&amp;"Calibri"&amp;10&amp;K000000 Data sensitivity - Public</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A18" sqref="A18:XFD18"/>
    </sheetView>
  </sheetViews>
  <sheetFormatPr defaultRowHeight="14.4"/>
  <cols>
    <col min="1" max="1" width="11.33203125" customWidth="1"/>
    <col min="2" max="2" width="17.109375" customWidth="1"/>
    <col min="3" max="3" width="15.33203125" bestFit="1" customWidth="1"/>
    <col min="4" max="4" width="9" bestFit="1" customWidth="1"/>
    <col min="5" max="5" width="17.33203125" customWidth="1"/>
    <col min="6" max="6" width="14.6640625" customWidth="1"/>
    <col min="7" max="7" width="11.6640625" bestFit="1" customWidth="1"/>
    <col min="8" max="8" width="13" bestFit="1" customWidth="1"/>
    <col min="9" max="9" width="14.6640625" customWidth="1"/>
    <col min="10" max="10" width="21" bestFit="1" customWidth="1"/>
    <col min="11" max="11" width="14.6640625" customWidth="1"/>
    <col min="12" max="12" width="21.88671875" bestFit="1" customWidth="1"/>
    <col min="13" max="13" width="13.6640625" customWidth="1"/>
    <col min="14" max="14" width="15.33203125" bestFit="1" customWidth="1"/>
    <col min="15" max="15" width="15.33203125" customWidth="1"/>
    <col min="16" max="16" width="19.44140625" bestFit="1" customWidth="1"/>
    <col min="17" max="17" width="14.6640625" customWidth="1"/>
    <col min="18" max="18" width="17" customWidth="1"/>
    <col min="19" max="20" width="12" customWidth="1"/>
    <col min="21" max="21" width="18.5546875" bestFit="1" customWidth="1"/>
    <col min="22" max="22" width="21.44140625" bestFit="1" customWidth="1"/>
    <col min="23" max="23" width="17" bestFit="1" customWidth="1"/>
    <col min="24" max="29" width="12" customWidth="1"/>
    <col min="30" max="34" width="13.33203125" bestFit="1" customWidth="1"/>
    <col min="35" max="52" width="14.33203125" bestFit="1" customWidth="1"/>
  </cols>
  <sheetData>
    <row r="1" spans="1:64" ht="15" thickBot="1">
      <c r="B1" s="36">
        <f>SUM(B4:B35)</f>
        <v>57304347.829999991</v>
      </c>
      <c r="E1" s="36">
        <f>SUM(E4:E35)</f>
        <v>57304347.859999999</v>
      </c>
      <c r="K1">
        <v>0.85</v>
      </c>
    </row>
    <row r="2" spans="1:64">
      <c r="A2" s="17"/>
      <c r="B2" s="2076" t="s">
        <v>660</v>
      </c>
      <c r="C2" s="2077"/>
      <c r="D2" s="2078"/>
      <c r="E2" s="2079" t="s">
        <v>661</v>
      </c>
      <c r="F2" s="2080"/>
      <c r="G2" s="18"/>
      <c r="H2" s="2081" t="s">
        <v>662</v>
      </c>
      <c r="I2" s="2082"/>
      <c r="J2" s="18"/>
      <c r="K2" s="2074" t="s">
        <v>663</v>
      </c>
      <c r="L2" s="2075"/>
      <c r="M2" s="18"/>
      <c r="N2" s="2070" t="s">
        <v>664</v>
      </c>
      <c r="O2" s="2071"/>
      <c r="P2" s="956"/>
      <c r="Q2" s="2072" t="s">
        <v>665</v>
      </c>
      <c r="R2" s="2073"/>
      <c r="AQ2" s="94"/>
      <c r="AR2" s="95"/>
      <c r="AS2" s="95"/>
      <c r="AT2" s="95"/>
      <c r="AU2" s="95"/>
      <c r="AV2" s="95"/>
      <c r="AW2" s="95"/>
      <c r="AX2" s="95"/>
      <c r="AY2" s="95"/>
      <c r="AZ2" s="95"/>
      <c r="BA2" s="95"/>
      <c r="BB2" s="95"/>
      <c r="BC2" s="95"/>
      <c r="BD2" s="95"/>
      <c r="BE2" s="95"/>
      <c r="BF2" s="95"/>
      <c r="BG2" s="95"/>
      <c r="BH2" s="95"/>
      <c r="BI2" s="95"/>
      <c r="BJ2" s="95"/>
      <c r="BK2" s="95"/>
      <c r="BL2" s="96"/>
    </row>
    <row r="3" spans="1:64" ht="15" thickBot="1">
      <c r="A3" s="19" t="s">
        <v>666</v>
      </c>
      <c r="B3" s="28" t="s">
        <v>667</v>
      </c>
      <c r="C3" s="21" t="s">
        <v>668</v>
      </c>
      <c r="D3" s="20" t="s">
        <v>355</v>
      </c>
      <c r="E3" s="28" t="s">
        <v>667</v>
      </c>
      <c r="F3" s="21" t="s">
        <v>668</v>
      </c>
      <c r="G3" s="21" t="s">
        <v>355</v>
      </c>
      <c r="H3" s="28" t="s">
        <v>667</v>
      </c>
      <c r="I3" s="21" t="s">
        <v>668</v>
      </c>
      <c r="J3" s="21" t="s">
        <v>355</v>
      </c>
      <c r="K3" s="28" t="s">
        <v>667</v>
      </c>
      <c r="L3" s="21" t="s">
        <v>668</v>
      </c>
      <c r="M3" s="21" t="s">
        <v>355</v>
      </c>
      <c r="N3" s="28" t="s">
        <v>667</v>
      </c>
      <c r="O3" s="21" t="s">
        <v>669</v>
      </c>
      <c r="P3" s="21"/>
      <c r="Q3" s="28" t="s">
        <v>666</v>
      </c>
      <c r="R3" s="22" t="s">
        <v>668</v>
      </c>
      <c r="S3" s="957"/>
      <c r="AG3" s="4"/>
      <c r="AQ3" s="97"/>
      <c r="BL3" s="98"/>
    </row>
    <row r="4" spans="1:64">
      <c r="A4" s="958">
        <v>45981</v>
      </c>
      <c r="B4" s="29">
        <v>0</v>
      </c>
      <c r="C4" s="23">
        <f>B4</f>
        <v>0</v>
      </c>
      <c r="D4" s="1119">
        <f>C4/$B$1</f>
        <v>0</v>
      </c>
      <c r="E4" s="29">
        <v>0</v>
      </c>
      <c r="F4" s="23">
        <f>E4</f>
        <v>0</v>
      </c>
      <c r="G4" s="25">
        <v>0</v>
      </c>
      <c r="H4" s="29"/>
      <c r="I4" s="23"/>
      <c r="J4" s="25" t="str">
        <f>IF(H4="","",I4/$B$1)</f>
        <v/>
      </c>
      <c r="K4" s="41"/>
      <c r="L4" s="23"/>
      <c r="M4" s="25" t="str">
        <f>IF(K4="","",L4/$B$1)</f>
        <v/>
      </c>
      <c r="N4" s="29"/>
      <c r="O4" s="23"/>
      <c r="P4" s="25"/>
      <c r="Q4" s="29">
        <f t="shared" ref="Q4:Q9" si="0">H4-E4</f>
        <v>0</v>
      </c>
      <c r="R4" s="23">
        <f>Q4</f>
        <v>0</v>
      </c>
      <c r="T4" s="2" t="s">
        <v>670</v>
      </c>
      <c r="AQ4" s="97"/>
      <c r="BL4" s="98"/>
    </row>
    <row r="5" spans="1:64">
      <c r="A5" s="958">
        <f t="shared" ref="A5:A23" si="1">EOMONTH(A4,1)</f>
        <v>46022</v>
      </c>
      <c r="B5" s="29">
        <v>1171930.69</v>
      </c>
      <c r="C5" s="1118">
        <f>C4+B5</f>
        <v>1171930.69</v>
      </c>
      <c r="D5" s="1119">
        <f t="shared" ref="D5:D21" si="2">C5/$B$1</f>
        <v>2.0450990795265109E-2</v>
      </c>
      <c r="E5" s="29">
        <v>1544834.37</v>
      </c>
      <c r="F5" s="23">
        <f>F4+E5</f>
        <v>1544834.37</v>
      </c>
      <c r="G5" s="25">
        <f>F5/$E$1</f>
        <v>2.69584146350322E-2</v>
      </c>
      <c r="H5" s="29">
        <v>1544834.37</v>
      </c>
      <c r="I5" s="23">
        <v>1544834.37</v>
      </c>
      <c r="J5" s="25">
        <f>IF(H5="",J4,I5/$E$1)</f>
        <v>2.69584146350322E-2</v>
      </c>
      <c r="K5" s="41"/>
      <c r="L5" s="23"/>
      <c r="M5" s="25"/>
      <c r="N5" s="29"/>
      <c r="O5" s="23"/>
      <c r="P5" s="25"/>
      <c r="Q5" s="29">
        <f t="shared" si="0"/>
        <v>0</v>
      </c>
      <c r="R5" s="23">
        <f t="shared" ref="R5:R10" si="3">Q5+R4</f>
        <v>0</v>
      </c>
      <c r="AQ5" s="97"/>
      <c r="BL5" s="98"/>
    </row>
    <row r="6" spans="1:64">
      <c r="A6" s="958">
        <f t="shared" si="1"/>
        <v>46053</v>
      </c>
      <c r="B6" s="29">
        <v>5067335.2300000004</v>
      </c>
      <c r="C6" s="1118">
        <f t="shared" ref="C6:C21" si="4">C5+B6</f>
        <v>6239265.9199999999</v>
      </c>
      <c r="D6" s="1119">
        <f t="shared" si="2"/>
        <v>0.10887945079681402</v>
      </c>
      <c r="E6" s="29">
        <v>4767688.2699999996</v>
      </c>
      <c r="F6" s="23">
        <f>F5+E6</f>
        <v>6312522.6399999997</v>
      </c>
      <c r="G6" s="25">
        <f>F6/$E$1</f>
        <v>0.11015783052661372</v>
      </c>
      <c r="H6" s="29">
        <f>I6-I5</f>
        <v>4767688.2699999996</v>
      </c>
      <c r="I6" s="23">
        <v>6312522.6399999997</v>
      </c>
      <c r="J6" s="25">
        <f t="shared" ref="J6:J7" si="5">IF(H6="",J5,I6/$E$1)</f>
        <v>0.11015783052661372</v>
      </c>
      <c r="K6" s="41"/>
      <c r="L6" s="23"/>
      <c r="M6" s="25" t="str">
        <f t="shared" ref="M6:M7" si="6">IF(K6="","",L6/$B$1)</f>
        <v/>
      </c>
      <c r="N6" s="29"/>
      <c r="O6" s="23"/>
      <c r="P6" s="25"/>
      <c r="Q6" s="29">
        <f t="shared" si="0"/>
        <v>0</v>
      </c>
      <c r="R6" s="23">
        <f t="shared" si="3"/>
        <v>0</v>
      </c>
      <c r="AQ6" s="97"/>
      <c r="BL6" s="98"/>
    </row>
    <row r="7" spans="1:64">
      <c r="A7" s="958">
        <f t="shared" si="1"/>
        <v>46081</v>
      </c>
      <c r="B7" s="29">
        <v>6259862.3499999996</v>
      </c>
      <c r="C7" s="1118">
        <f t="shared" si="4"/>
        <v>12499128.27</v>
      </c>
      <c r="D7" s="1119">
        <f t="shared" si="2"/>
        <v>0.21811832336143352</v>
      </c>
      <c r="E7" s="29">
        <v>2397384.38</v>
      </c>
      <c r="F7" s="23">
        <f t="shared" ref="F7:F22" si="7">F6+E7</f>
        <v>8709907.0199999996</v>
      </c>
      <c r="G7" s="25">
        <f t="shared" ref="G7:G22" si="8">F7/$E$1</f>
        <v>0.15199382499350897</v>
      </c>
      <c r="H7" s="29">
        <f t="shared" ref="H7:H13" si="9">I7-I6</f>
        <v>3835471.4699999997</v>
      </c>
      <c r="I7" s="23">
        <v>10147994.109999999</v>
      </c>
      <c r="J7" s="25">
        <f t="shared" si="5"/>
        <v>0.17708942670096375</v>
      </c>
      <c r="K7" s="41"/>
      <c r="L7" s="23"/>
      <c r="M7" s="25" t="str">
        <f t="shared" si="6"/>
        <v/>
      </c>
      <c r="N7" s="29"/>
      <c r="O7" s="23"/>
      <c r="P7" s="25"/>
      <c r="Q7" s="29">
        <f t="shared" si="0"/>
        <v>1438087.0899999999</v>
      </c>
      <c r="R7" s="23">
        <f t="shared" si="3"/>
        <v>1438087.0899999999</v>
      </c>
      <c r="W7" s="550"/>
      <c r="AQ7" s="97"/>
      <c r="BL7" s="98"/>
    </row>
    <row r="8" spans="1:64">
      <c r="A8" s="958">
        <f t="shared" si="1"/>
        <v>46112</v>
      </c>
      <c r="B8" s="29">
        <v>5453214.0999999996</v>
      </c>
      <c r="C8" s="1118">
        <f t="shared" si="4"/>
        <v>17952342.369999997</v>
      </c>
      <c r="D8" s="1119">
        <f t="shared" si="2"/>
        <v>0.31328063314249222</v>
      </c>
      <c r="E8" s="29">
        <v>3554791.84</v>
      </c>
      <c r="F8" s="23">
        <f t="shared" si="7"/>
        <v>12264698.859999999</v>
      </c>
      <c r="G8" s="25">
        <f t="shared" si="8"/>
        <v>0.2140273699643844</v>
      </c>
      <c r="H8" s="29">
        <f t="shared" si="9"/>
        <v>4746185.4400000013</v>
      </c>
      <c r="I8" s="23">
        <v>14894179.550000001</v>
      </c>
      <c r="J8" s="1129">
        <f t="shared" ref="J8:J15" si="10">IF(H8="",J7,I8/$E$1)</f>
        <v>0.25991360352599957</v>
      </c>
      <c r="K8" s="41"/>
      <c r="L8" s="23"/>
      <c r="M8" s="25" t="str">
        <f t="shared" ref="M8" si="11">IF(K8="","",L8/$B$1)</f>
        <v/>
      </c>
      <c r="N8" s="29"/>
      <c r="O8" s="23"/>
      <c r="P8" s="1129"/>
      <c r="Q8" s="29">
        <f t="shared" si="0"/>
        <v>1191393.6000000015</v>
      </c>
      <c r="R8" s="23">
        <f t="shared" si="3"/>
        <v>2629480.6900000013</v>
      </c>
      <c r="T8" s="2" t="s">
        <v>671</v>
      </c>
      <c r="W8" s="550"/>
      <c r="AQ8" s="97"/>
      <c r="BL8" s="98"/>
    </row>
    <row r="9" spans="1:64">
      <c r="A9" s="958">
        <f t="shared" si="1"/>
        <v>46142</v>
      </c>
      <c r="B9" s="29">
        <v>3444527.22</v>
      </c>
      <c r="C9" s="1118">
        <f t="shared" si="4"/>
        <v>21396869.589999996</v>
      </c>
      <c r="D9" s="1119">
        <f t="shared" si="2"/>
        <v>0.37338998523246958</v>
      </c>
      <c r="E9" s="29">
        <v>3143582.06</v>
      </c>
      <c r="F9" s="23">
        <f t="shared" si="7"/>
        <v>15408280.92</v>
      </c>
      <c r="G9" s="25">
        <f t="shared" si="8"/>
        <v>0.26888502348275395</v>
      </c>
      <c r="H9" s="29">
        <f t="shared" si="9"/>
        <v>5971484.9399999976</v>
      </c>
      <c r="I9" s="23">
        <v>20865664.489999998</v>
      </c>
      <c r="J9" s="1129">
        <f t="shared" si="10"/>
        <v>0.36412009331258444</v>
      </c>
      <c r="K9" s="41"/>
      <c r="L9" s="23"/>
      <c r="M9" s="25" t="str">
        <f t="shared" ref="M9:M14" si="12">IF(K9="","",L9/$B$1)</f>
        <v/>
      </c>
      <c r="N9" s="29"/>
      <c r="O9" s="23"/>
      <c r="P9" s="1129"/>
      <c r="Q9" s="29">
        <f t="shared" si="0"/>
        <v>2827902.8799999976</v>
      </c>
      <c r="R9" s="23">
        <f t="shared" si="3"/>
        <v>5457383.5699999984</v>
      </c>
      <c r="W9" s="550"/>
      <c r="AQ9" s="97"/>
      <c r="BL9" s="98"/>
    </row>
    <row r="10" spans="1:64">
      <c r="A10" s="958">
        <f t="shared" si="1"/>
        <v>46173</v>
      </c>
      <c r="B10" s="29">
        <v>5598187.54</v>
      </c>
      <c r="C10" s="1118">
        <f t="shared" si="4"/>
        <v>26995057.129999995</v>
      </c>
      <c r="D10" s="1119">
        <f t="shared" si="2"/>
        <v>0.47108218053687601</v>
      </c>
      <c r="E10" s="29">
        <v>3024133.33</v>
      </c>
      <c r="F10" s="23">
        <f t="shared" si="7"/>
        <v>18432414.25</v>
      </c>
      <c r="G10" s="25">
        <f t="shared" si="8"/>
        <v>0.32165821509795645</v>
      </c>
      <c r="H10" s="29">
        <f t="shared" si="9"/>
        <v>4168106.66</v>
      </c>
      <c r="I10" s="23">
        <v>25033771.149999999</v>
      </c>
      <c r="J10" s="1129">
        <f t="shared" si="10"/>
        <v>0.43685640068987253</v>
      </c>
      <c r="K10" s="41"/>
      <c r="L10" s="23"/>
      <c r="M10" s="25" t="str">
        <f t="shared" si="12"/>
        <v/>
      </c>
      <c r="N10" s="29"/>
      <c r="O10" s="23"/>
      <c r="P10" s="25"/>
      <c r="Q10" s="29">
        <f t="shared" ref="Q10" si="13">H10-E10</f>
        <v>1143973.33</v>
      </c>
      <c r="R10" s="23">
        <f t="shared" si="3"/>
        <v>6601356.8999999985</v>
      </c>
      <c r="U10" s="756"/>
      <c r="V10" s="764"/>
      <c r="W10" s="550"/>
      <c r="AQ10" s="97"/>
      <c r="BL10" s="98"/>
    </row>
    <row r="11" spans="1:64">
      <c r="A11" s="958">
        <f t="shared" si="1"/>
        <v>46203</v>
      </c>
      <c r="B11" s="29">
        <v>6730893.9299999997</v>
      </c>
      <c r="C11" s="1118">
        <f t="shared" si="4"/>
        <v>33725951.059999995</v>
      </c>
      <c r="D11" s="1119">
        <f t="shared" si="2"/>
        <v>0.58854087581717096</v>
      </c>
      <c r="E11" s="29">
        <v>3543673.44</v>
      </c>
      <c r="F11" s="23">
        <f t="shared" si="7"/>
        <v>21976087.690000001</v>
      </c>
      <c r="G11" s="25">
        <f t="shared" si="8"/>
        <v>0.38349773639671608</v>
      </c>
      <c r="H11" s="29">
        <f t="shared" si="9"/>
        <v>5593409.9700000025</v>
      </c>
      <c r="I11" s="23">
        <v>30627181.120000001</v>
      </c>
      <c r="J11" s="1129">
        <f t="shared" si="10"/>
        <v>0.53446522408430741</v>
      </c>
      <c r="K11" s="41"/>
      <c r="L11" s="23"/>
      <c r="M11" s="25" t="str">
        <f t="shared" si="12"/>
        <v/>
      </c>
      <c r="N11" s="29"/>
      <c r="Q11" s="29">
        <f t="shared" ref="Q11" si="14">H11-E11</f>
        <v>2049736.5300000026</v>
      </c>
      <c r="R11" s="23">
        <f>Q11+R10</f>
        <v>8651093.4300000016</v>
      </c>
      <c r="U11" s="764"/>
      <c r="W11" s="550"/>
      <c r="AQ11" s="97"/>
      <c r="BL11" s="98"/>
    </row>
    <row r="12" spans="1:64">
      <c r="A12" s="958">
        <f t="shared" si="1"/>
        <v>46234</v>
      </c>
      <c r="B12" s="29">
        <v>4275796.2</v>
      </c>
      <c r="C12" s="1118">
        <f t="shared" si="4"/>
        <v>38001747.259999998</v>
      </c>
      <c r="D12" s="1119">
        <f t="shared" si="2"/>
        <v>0.66315643924151446</v>
      </c>
      <c r="E12" s="29">
        <v>4949222.37</v>
      </c>
      <c r="F12" s="23">
        <f t="shared" si="7"/>
        <v>26925310.060000002</v>
      </c>
      <c r="G12" s="25">
        <f t="shared" si="8"/>
        <v>0.46986504629249265</v>
      </c>
      <c r="H12" s="29">
        <f t="shared" si="9"/>
        <v>8087974.7300000004</v>
      </c>
      <c r="I12" s="23">
        <v>38715155.850000001</v>
      </c>
      <c r="J12" s="1129">
        <f t="shared" si="10"/>
        <v>0.67560590593552916</v>
      </c>
      <c r="K12" s="41"/>
      <c r="L12" s="23"/>
      <c r="M12" s="25" t="str">
        <f t="shared" si="12"/>
        <v/>
      </c>
      <c r="N12" s="29"/>
      <c r="O12" s="23"/>
      <c r="P12" s="1129"/>
      <c r="Q12" s="29">
        <f t="shared" ref="Q12:Q14" si="15">H12-E12</f>
        <v>3138752.3600000003</v>
      </c>
      <c r="R12" s="23">
        <f t="shared" ref="R12:R14" si="16">Q12+R11</f>
        <v>11789845.790000003</v>
      </c>
      <c r="W12" s="550"/>
      <c r="AQ12" s="97"/>
      <c r="BL12" s="98"/>
    </row>
    <row r="13" spans="1:64">
      <c r="A13" s="958">
        <f t="shared" si="1"/>
        <v>46265</v>
      </c>
      <c r="B13" s="29">
        <v>3201385.28</v>
      </c>
      <c r="C13" s="1118">
        <f t="shared" si="4"/>
        <v>41203132.539999999</v>
      </c>
      <c r="D13" s="1119">
        <f t="shared" si="2"/>
        <v>0.71902279844862527</v>
      </c>
      <c r="E13" s="29">
        <v>3786711.83</v>
      </c>
      <c r="F13" s="23">
        <f t="shared" si="7"/>
        <v>30712021.890000001</v>
      </c>
      <c r="G13" s="25">
        <f t="shared" si="8"/>
        <v>0.53594575345368922</v>
      </c>
      <c r="H13" s="29">
        <f t="shared" si="9"/>
        <v>5916442.7800000012</v>
      </c>
      <c r="I13" s="23">
        <v>44631598.630000003</v>
      </c>
      <c r="J13" s="1129">
        <f t="shared" si="10"/>
        <v>0.7788518724449891</v>
      </c>
      <c r="K13" s="41"/>
      <c r="L13" s="23"/>
      <c r="M13" s="25" t="str">
        <f t="shared" si="12"/>
        <v/>
      </c>
      <c r="N13" s="29"/>
      <c r="O13" s="23"/>
      <c r="P13" s="25"/>
      <c r="Q13" s="29">
        <f t="shared" si="15"/>
        <v>2129730.9500000011</v>
      </c>
      <c r="R13" s="23">
        <f t="shared" si="16"/>
        <v>13919576.740000004</v>
      </c>
      <c r="V13" s="764"/>
      <c r="W13" s="550"/>
      <c r="X13" s="676"/>
      <c r="AQ13" s="97"/>
      <c r="BL13" s="98"/>
    </row>
    <row r="14" spans="1:64">
      <c r="A14" s="958">
        <f t="shared" si="1"/>
        <v>46295</v>
      </c>
      <c r="B14" s="29">
        <v>3386222.64</v>
      </c>
      <c r="C14" s="1118">
        <f t="shared" si="4"/>
        <v>44589355.18</v>
      </c>
      <c r="D14" s="1119">
        <f t="shared" si="2"/>
        <v>0.77811469580422599</v>
      </c>
      <c r="E14" s="29">
        <v>2486097.98</v>
      </c>
      <c r="F14" s="23">
        <f t="shared" si="7"/>
        <v>33198119.870000001</v>
      </c>
      <c r="G14" s="25">
        <f t="shared" si="8"/>
        <v>0.57932986081799909</v>
      </c>
      <c r="H14" s="29">
        <f>I14-I13</f>
        <v>6031493.6799999997</v>
      </c>
      <c r="I14" s="23">
        <v>50663092.310000002</v>
      </c>
      <c r="J14" s="1129">
        <f t="shared" si="10"/>
        <v>0.88410555572109084</v>
      </c>
      <c r="K14" s="29"/>
      <c r="L14" s="23"/>
      <c r="M14" s="25" t="str">
        <f t="shared" si="12"/>
        <v/>
      </c>
      <c r="N14" s="29"/>
      <c r="Q14" s="29">
        <f t="shared" si="15"/>
        <v>3545395.6999999997</v>
      </c>
      <c r="R14" s="23">
        <f t="shared" si="16"/>
        <v>17464972.440000005</v>
      </c>
      <c r="V14" s="764"/>
      <c r="W14" s="550"/>
      <c r="AQ14" s="97"/>
      <c r="BL14" s="98"/>
    </row>
    <row r="15" spans="1:64">
      <c r="A15" s="958">
        <f t="shared" si="1"/>
        <v>46326</v>
      </c>
      <c r="B15" s="29">
        <v>380601.51</v>
      </c>
      <c r="C15" s="1118">
        <f t="shared" si="4"/>
        <v>44969956.689999998</v>
      </c>
      <c r="D15" s="1119">
        <f t="shared" si="2"/>
        <v>0.78475645204808198</v>
      </c>
      <c r="E15" s="29">
        <v>2989076.48</v>
      </c>
      <c r="F15" s="23">
        <f t="shared" si="7"/>
        <v>36187196.350000001</v>
      </c>
      <c r="G15" s="25">
        <f t="shared" si="8"/>
        <v>0.63149128646239516</v>
      </c>
      <c r="H15" s="29">
        <f>I15-I14</f>
        <v>2805464.0399999991</v>
      </c>
      <c r="I15" s="23">
        <v>53468556.350000001</v>
      </c>
      <c r="J15" s="1129">
        <f t="shared" si="10"/>
        <v>0.93306281890911313</v>
      </c>
      <c r="K15" s="29"/>
      <c r="L15" s="23"/>
      <c r="M15" s="25" t="str">
        <f t="shared" ref="M15" si="17">IF(K15="","",L15/$B$1)</f>
        <v/>
      </c>
      <c r="N15" s="29">
        <v>2762084.3</v>
      </c>
      <c r="O15" s="23">
        <f>I15</f>
        <v>53468556.350000001</v>
      </c>
      <c r="P15" s="1129">
        <f>IF(N15="",P13,O15/$E$1)</f>
        <v>0.93306281890911313</v>
      </c>
      <c r="Q15" s="29"/>
      <c r="R15" s="23"/>
      <c r="V15" s="764"/>
      <c r="W15" s="550"/>
      <c r="AQ15" s="97"/>
      <c r="BL15" s="98"/>
    </row>
    <row r="16" spans="1:64">
      <c r="A16" s="958">
        <f t="shared" si="1"/>
        <v>46356</v>
      </c>
      <c r="B16" s="29">
        <v>1790963.51</v>
      </c>
      <c r="C16" s="1118">
        <f t="shared" si="4"/>
        <v>46760920.199999996</v>
      </c>
      <c r="D16" s="1119">
        <f t="shared" si="2"/>
        <v>0.81600998825990834</v>
      </c>
      <c r="E16" s="29">
        <v>4160533.84</v>
      </c>
      <c r="F16" s="23">
        <f t="shared" si="7"/>
        <v>40347730.189999998</v>
      </c>
      <c r="G16" s="25">
        <f t="shared" si="8"/>
        <v>0.70409544295963999</v>
      </c>
      <c r="H16" s="29"/>
      <c r="I16" s="23"/>
      <c r="J16" s="25"/>
      <c r="K16" s="29"/>
      <c r="L16" s="23"/>
      <c r="M16" s="25"/>
      <c r="N16" s="29">
        <v>1672588.16</v>
      </c>
      <c r="O16" s="23">
        <f>N16+O15</f>
        <v>55141144.509999998</v>
      </c>
      <c r="P16" s="1129">
        <f>IF(N16="",P15,O16/$E$1)</f>
        <v>0.96225062441536002</v>
      </c>
      <c r="Q16" s="29"/>
      <c r="R16" s="23"/>
      <c r="V16" s="764"/>
      <c r="W16" s="550"/>
      <c r="AQ16" s="97"/>
      <c r="BL16" s="98"/>
    </row>
    <row r="17" spans="1:64">
      <c r="A17" s="958">
        <f t="shared" si="1"/>
        <v>46387</v>
      </c>
      <c r="B17" s="29">
        <v>754944.56</v>
      </c>
      <c r="C17" s="1118">
        <f t="shared" si="4"/>
        <v>47515864.759999998</v>
      </c>
      <c r="D17" s="1119">
        <f t="shared" si="2"/>
        <v>0.8291842863470209</v>
      </c>
      <c r="E17" s="29">
        <v>2710371.91</v>
      </c>
      <c r="F17" s="23">
        <f t="shared" si="7"/>
        <v>43058102.099999994</v>
      </c>
      <c r="G17" s="25">
        <f t="shared" si="8"/>
        <v>0.75139328354621637</v>
      </c>
      <c r="H17" s="29"/>
      <c r="I17" s="23"/>
      <c r="J17" s="25"/>
      <c r="K17" s="29"/>
      <c r="L17" s="23"/>
      <c r="M17" s="25"/>
      <c r="N17" s="29">
        <v>1580109.1000000101</v>
      </c>
      <c r="O17" s="23">
        <f>N17+O16</f>
        <v>56721253.610000007</v>
      </c>
      <c r="P17" s="1129">
        <f>IF(N17="",P16,O17/$E$1)</f>
        <v>0.98982460717597642</v>
      </c>
      <c r="Q17" s="29"/>
      <c r="R17" s="23"/>
      <c r="V17" s="764">
        <f>F7-I7</f>
        <v>-1438087.0899999999</v>
      </c>
      <c r="W17" s="550"/>
      <c r="AQ17" s="97"/>
      <c r="BL17" s="98"/>
    </row>
    <row r="18" spans="1:64">
      <c r="A18" s="958">
        <f t="shared" si="1"/>
        <v>46418</v>
      </c>
      <c r="B18" s="29">
        <v>1737470.19</v>
      </c>
      <c r="C18" s="1118">
        <f t="shared" si="4"/>
        <v>49253334.949999996</v>
      </c>
      <c r="D18" s="1119">
        <f t="shared" si="2"/>
        <v>0.85950432759684725</v>
      </c>
      <c r="E18" s="29">
        <v>3764135.9</v>
      </c>
      <c r="F18" s="23">
        <f t="shared" si="7"/>
        <v>46822237.999999993</v>
      </c>
      <c r="G18" s="25">
        <f t="shared" si="8"/>
        <v>0.81708002531310886</v>
      </c>
      <c r="H18" s="29"/>
      <c r="I18" s="23"/>
      <c r="J18" s="25"/>
      <c r="K18" s="29"/>
      <c r="L18" s="23"/>
      <c r="M18" s="25"/>
      <c r="N18" s="29">
        <v>583094.24999999139</v>
      </c>
      <c r="O18" s="23">
        <f>N18+O17</f>
        <v>57304347.859999999</v>
      </c>
      <c r="P18" s="1129">
        <f>IF(N18="",P17,O18/$E$1)</f>
        <v>1</v>
      </c>
      <c r="Q18" s="29"/>
      <c r="R18" s="23"/>
      <c r="V18" s="550"/>
      <c r="W18" s="550"/>
      <c r="AQ18" s="97"/>
      <c r="BL18" s="98"/>
    </row>
    <row r="19" spans="1:64">
      <c r="A19" s="958">
        <f t="shared" si="1"/>
        <v>46446</v>
      </c>
      <c r="B19" s="29">
        <v>2251414.44</v>
      </c>
      <c r="C19" s="1118">
        <f t="shared" si="4"/>
        <v>51504749.389999993</v>
      </c>
      <c r="D19" s="1119">
        <f t="shared" si="2"/>
        <v>0.89879304695683515</v>
      </c>
      <c r="E19" s="29">
        <v>2982461.63</v>
      </c>
      <c r="F19" s="23">
        <f t="shared" si="7"/>
        <v>49804699.629999995</v>
      </c>
      <c r="G19" s="25">
        <f t="shared" si="8"/>
        <v>0.86912601730810446</v>
      </c>
      <c r="H19" s="29"/>
      <c r="I19" s="23"/>
      <c r="J19" s="25"/>
      <c r="K19" s="29"/>
      <c r="L19" s="23"/>
      <c r="M19" s="25"/>
      <c r="N19" s="29"/>
      <c r="O19" s="23"/>
      <c r="P19" s="1129"/>
      <c r="Q19" s="29"/>
      <c r="R19" s="23"/>
      <c r="V19" s="676"/>
      <c r="AQ19" s="97"/>
      <c r="BL19" s="98"/>
    </row>
    <row r="20" spans="1:64">
      <c r="A20" s="958">
        <f t="shared" si="1"/>
        <v>46477</v>
      </c>
      <c r="B20" s="29">
        <v>2059860.79</v>
      </c>
      <c r="C20" s="1118">
        <f t="shared" si="4"/>
        <v>53564610.179999992</v>
      </c>
      <c r="D20" s="1119">
        <f t="shared" si="2"/>
        <v>0.93473902432160361</v>
      </c>
      <c r="E20" s="29">
        <v>3710101.56</v>
      </c>
      <c r="F20" s="23">
        <f t="shared" si="7"/>
        <v>53514801.189999998</v>
      </c>
      <c r="G20" s="25">
        <f t="shared" si="8"/>
        <v>0.93386982294505427</v>
      </c>
      <c r="H20" s="29"/>
      <c r="I20" s="23"/>
      <c r="J20" s="25"/>
      <c r="K20" s="29"/>
      <c r="L20" s="23"/>
      <c r="M20" s="1114"/>
      <c r="N20" s="29"/>
      <c r="O20" s="23"/>
      <c r="P20" s="1129"/>
      <c r="Q20" s="29"/>
      <c r="R20" s="23"/>
      <c r="W20" s="550"/>
      <c r="AQ20" s="97"/>
      <c r="BL20" s="98"/>
    </row>
    <row r="21" spans="1:64">
      <c r="A21" s="958">
        <f t="shared" si="1"/>
        <v>46507</v>
      </c>
      <c r="B21" s="29">
        <v>3739737.65</v>
      </c>
      <c r="C21" s="1118">
        <f t="shared" si="4"/>
        <v>57304347.829999991</v>
      </c>
      <c r="D21" s="1119">
        <f t="shared" si="2"/>
        <v>1</v>
      </c>
      <c r="E21" s="29">
        <v>2863352.06</v>
      </c>
      <c r="F21" s="23">
        <f t="shared" si="7"/>
        <v>56378153.25</v>
      </c>
      <c r="G21" s="25">
        <f t="shared" si="8"/>
        <v>0.98383727161047563</v>
      </c>
      <c r="H21" s="29"/>
      <c r="I21" s="23"/>
      <c r="J21" s="25"/>
      <c r="K21" s="29"/>
      <c r="L21" s="23"/>
      <c r="M21" s="25"/>
      <c r="N21" s="29"/>
      <c r="O21" s="23"/>
      <c r="P21" s="25"/>
      <c r="Q21" s="29"/>
      <c r="R21" s="23"/>
      <c r="V21" s="676"/>
      <c r="W21" s="550"/>
      <c r="AQ21" s="97"/>
      <c r="BL21" s="98"/>
    </row>
    <row r="22" spans="1:64">
      <c r="A22" s="958">
        <f t="shared" si="1"/>
        <v>46538</v>
      </c>
      <c r="B22" s="29"/>
      <c r="C22" s="1118"/>
      <c r="D22" s="1119"/>
      <c r="E22" s="29">
        <v>926194.61</v>
      </c>
      <c r="F22" s="23">
        <f t="shared" si="7"/>
        <v>57304347.859999999</v>
      </c>
      <c r="G22" s="25">
        <f t="shared" si="8"/>
        <v>1</v>
      </c>
      <c r="H22" s="29"/>
      <c r="I22" s="23"/>
      <c r="J22" s="25"/>
      <c r="K22" s="29"/>
      <c r="L22" s="23"/>
      <c r="M22" s="25"/>
      <c r="N22" s="29" t="s">
        <v>677</v>
      </c>
      <c r="O22" s="23"/>
      <c r="P22" s="25"/>
      <c r="Q22" s="29"/>
      <c r="R22" s="23"/>
      <c r="U22" s="2" t="s">
        <v>672</v>
      </c>
      <c r="W22" s="550"/>
      <c r="AQ22" s="97"/>
      <c r="BL22" s="98"/>
    </row>
    <row r="23" spans="1:64">
      <c r="A23" s="958">
        <f t="shared" si="1"/>
        <v>46568</v>
      </c>
      <c r="B23" s="29"/>
      <c r="D23" s="1119" t="s">
        <v>677</v>
      </c>
      <c r="E23" s="29"/>
      <c r="F23" s="23"/>
      <c r="G23" s="25"/>
      <c r="H23" s="29"/>
      <c r="I23" s="23"/>
      <c r="J23" s="24"/>
      <c r="K23" s="29"/>
      <c r="L23" s="23"/>
      <c r="M23" s="1114"/>
      <c r="N23" s="29"/>
      <c r="O23" s="23"/>
      <c r="P23" s="25"/>
      <c r="Q23" s="29"/>
      <c r="R23" s="23"/>
      <c r="W23" s="550"/>
      <c r="AQ23" s="97"/>
      <c r="BL23" s="98"/>
    </row>
    <row r="24" spans="1:64">
      <c r="A24" s="958"/>
      <c r="B24" s="29"/>
      <c r="C24" s="23"/>
      <c r="D24" s="25"/>
      <c r="E24" s="29"/>
      <c r="F24" s="23"/>
      <c r="G24" s="25"/>
      <c r="H24" s="29"/>
      <c r="I24" s="23"/>
      <c r="J24" s="24"/>
      <c r="K24" s="29"/>
      <c r="L24" s="23"/>
      <c r="M24" s="1131"/>
      <c r="N24" s="29"/>
      <c r="O24" s="23"/>
      <c r="P24" s="25"/>
      <c r="Q24" s="29"/>
      <c r="R24" s="23"/>
      <c r="W24" s="550"/>
      <c r="AQ24" s="97"/>
      <c r="BL24" s="98"/>
    </row>
    <row r="25" spans="1:64">
      <c r="A25" s="958"/>
      <c r="B25" s="29"/>
      <c r="C25" s="23"/>
      <c r="D25" s="25"/>
      <c r="E25" s="29"/>
      <c r="F25" s="23"/>
      <c r="G25" s="25"/>
      <c r="H25" s="29"/>
      <c r="I25" s="23"/>
      <c r="J25" s="24"/>
      <c r="K25" s="29"/>
      <c r="L25" s="23"/>
      <c r="M25" s="25"/>
      <c r="N25" s="29"/>
      <c r="O25" s="23"/>
      <c r="P25" s="25"/>
      <c r="Q25" s="29"/>
      <c r="R25" s="23"/>
      <c r="W25" s="764"/>
      <c r="AQ25" s="97"/>
      <c r="BL25" s="98"/>
    </row>
    <row r="26" spans="1:64">
      <c r="A26" s="958"/>
      <c r="B26" s="29"/>
      <c r="C26" s="23"/>
      <c r="D26" s="25"/>
      <c r="E26" s="29"/>
      <c r="F26" s="23"/>
      <c r="G26" s="25"/>
      <c r="H26" s="29"/>
      <c r="I26" s="23"/>
      <c r="J26" s="24"/>
      <c r="K26" s="29"/>
      <c r="L26" s="23"/>
      <c r="M26" s="25"/>
      <c r="N26" s="29"/>
      <c r="O26" s="23"/>
      <c r="P26" s="25"/>
      <c r="Q26" s="29"/>
      <c r="R26" s="23"/>
      <c r="AQ26" s="97"/>
      <c r="BL26" s="98"/>
    </row>
    <row r="27" spans="1:64">
      <c r="A27" s="958"/>
      <c r="B27" s="29"/>
      <c r="C27" s="23"/>
      <c r="D27" s="25"/>
      <c r="E27" s="29"/>
      <c r="F27" s="23"/>
      <c r="G27" s="25"/>
      <c r="H27" s="29"/>
      <c r="I27" s="23"/>
      <c r="J27" s="24"/>
      <c r="K27" s="29"/>
      <c r="L27" s="23"/>
      <c r="M27" s="1114"/>
      <c r="N27" s="29"/>
      <c r="O27" s="23"/>
      <c r="P27" s="1114"/>
      <c r="Q27" s="29"/>
      <c r="R27" s="23"/>
      <c r="V27" s="676"/>
      <c r="W27" s="550"/>
      <c r="AQ27" s="97"/>
      <c r="BL27" s="98"/>
    </row>
    <row r="28" spans="1:64">
      <c r="A28" s="958"/>
      <c r="B28" s="29"/>
      <c r="C28" s="23"/>
      <c r="D28" s="25"/>
      <c r="E28" s="29"/>
      <c r="F28" s="23"/>
      <c r="G28" s="25"/>
      <c r="H28" s="29"/>
      <c r="I28" s="23"/>
      <c r="J28" s="24"/>
      <c r="K28" s="29"/>
      <c r="L28" s="23"/>
      <c r="M28" s="1121"/>
      <c r="N28" s="29"/>
      <c r="O28" s="23"/>
      <c r="P28" s="25"/>
      <c r="Q28" s="29"/>
      <c r="R28" s="23"/>
      <c r="W28" s="550">
        <f>+Progress!I41</f>
        <v>53468556.349999994</v>
      </c>
      <c r="AQ28" s="97"/>
      <c r="BL28" s="98"/>
    </row>
    <row r="29" spans="1:64" ht="15" thickBot="1">
      <c r="A29" s="958"/>
      <c r="B29" s="29"/>
      <c r="C29" s="23"/>
      <c r="D29" s="24"/>
      <c r="E29" s="29"/>
      <c r="F29" s="23"/>
      <c r="G29" s="24"/>
      <c r="H29" s="29"/>
      <c r="I29" s="23"/>
      <c r="J29" s="24"/>
      <c r="K29" s="29"/>
      <c r="L29" s="23"/>
      <c r="M29" s="1121"/>
      <c r="N29" s="29"/>
      <c r="O29" s="23"/>
      <c r="P29" s="25"/>
      <c r="Q29" s="29"/>
      <c r="R29" s="23"/>
      <c r="V29" s="756"/>
      <c r="W29" s="676">
        <f>+W28-I7</f>
        <v>43320562.239999995</v>
      </c>
      <c r="AQ29" s="141"/>
      <c r="AR29" s="142"/>
      <c r="AS29" s="142"/>
      <c r="AT29" s="142"/>
      <c r="AU29" s="142"/>
      <c r="AV29" s="142"/>
      <c r="AW29" s="142"/>
      <c r="AX29" s="142"/>
      <c r="AY29" s="142"/>
      <c r="AZ29" s="142"/>
      <c r="BA29" s="142"/>
      <c r="BB29" s="142"/>
      <c r="BC29" s="142"/>
      <c r="BD29" s="142"/>
      <c r="BE29" s="142"/>
      <c r="BF29" s="142"/>
      <c r="BG29" s="142"/>
      <c r="BH29" s="142"/>
      <c r="BI29" s="142"/>
      <c r="BJ29" s="142"/>
      <c r="BK29" s="142"/>
      <c r="BL29" s="143"/>
    </row>
    <row r="30" spans="1:64">
      <c r="A30" s="958"/>
      <c r="B30" s="29"/>
      <c r="C30" s="23"/>
      <c r="D30" s="24"/>
      <c r="E30" s="29"/>
      <c r="F30" s="23"/>
      <c r="G30" s="24"/>
      <c r="H30" s="29"/>
      <c r="I30" s="23"/>
      <c r="J30" s="24"/>
      <c r="K30" s="29"/>
      <c r="L30" s="23"/>
      <c r="M30" s="24"/>
      <c r="N30" s="29"/>
      <c r="O30" s="23"/>
      <c r="P30" s="1114"/>
      <c r="Q30" s="29"/>
      <c r="R30" s="23"/>
      <c r="S30" s="551"/>
    </row>
    <row r="31" spans="1:64">
      <c r="A31" s="958"/>
      <c r="B31" s="29"/>
      <c r="C31" s="23"/>
      <c r="D31" s="24"/>
      <c r="E31" s="29"/>
      <c r="F31" s="23"/>
      <c r="G31" s="24"/>
      <c r="H31" s="29"/>
      <c r="I31" s="23"/>
      <c r="J31" s="24"/>
      <c r="K31" s="29"/>
      <c r="L31" s="23"/>
      <c r="M31" s="24"/>
      <c r="N31" s="29"/>
      <c r="O31" s="23"/>
      <c r="P31" s="25"/>
      <c r="Q31" s="29"/>
      <c r="R31" s="23"/>
      <c r="U31" s="756"/>
    </row>
    <row r="32" spans="1:64">
      <c r="A32" s="958"/>
      <c r="B32" s="29"/>
      <c r="C32" s="23"/>
      <c r="D32" s="24"/>
      <c r="E32" s="29"/>
      <c r="F32" s="23"/>
      <c r="G32" s="24"/>
      <c r="H32" s="29"/>
      <c r="I32" s="23"/>
      <c r="J32" s="24"/>
      <c r="K32" s="29"/>
      <c r="L32" s="23"/>
      <c r="M32" s="1130"/>
      <c r="N32" s="29"/>
      <c r="O32" s="23"/>
      <c r="P32" s="25"/>
      <c r="Q32" s="29"/>
      <c r="R32" s="23"/>
      <c r="U32" s="756"/>
    </row>
    <row r="33" spans="1:53">
      <c r="A33" s="958"/>
      <c r="B33" s="29"/>
      <c r="C33" s="23"/>
      <c r="D33" s="24"/>
      <c r="E33" s="29"/>
      <c r="F33" s="23"/>
      <c r="G33" s="24"/>
      <c r="H33" s="29"/>
      <c r="I33" s="23"/>
      <c r="J33" s="24"/>
      <c r="K33" s="29"/>
      <c r="L33" s="23"/>
      <c r="M33" s="24"/>
      <c r="N33" s="29"/>
      <c r="O33" s="23"/>
      <c r="P33" s="25"/>
      <c r="Q33" s="29"/>
      <c r="R33" s="26"/>
    </row>
    <row r="34" spans="1:53">
      <c r="A34" s="958"/>
      <c r="B34" s="29"/>
      <c r="C34" s="23"/>
      <c r="D34" s="24"/>
      <c r="E34" s="29"/>
      <c r="F34" s="23"/>
      <c r="G34" s="24"/>
      <c r="H34" s="29"/>
      <c r="I34" s="23"/>
      <c r="J34" s="24"/>
      <c r="K34" s="29"/>
      <c r="L34" s="23"/>
      <c r="M34" s="24"/>
      <c r="N34" s="29"/>
      <c r="O34" s="23"/>
      <c r="P34" s="25"/>
      <c r="Q34" s="29"/>
      <c r="R34" s="26"/>
      <c r="S34" s="676"/>
    </row>
    <row r="35" spans="1:53">
      <c r="A35" s="958"/>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 thickBot="1">
      <c r="H37" s="676"/>
    </row>
    <row r="38" spans="1:53" ht="27" thickTop="1" thickBot="1">
      <c r="A38" s="1"/>
      <c r="B38" s="2067" t="s">
        <v>673</v>
      </c>
      <c r="C38" s="2068"/>
      <c r="D38" s="2068"/>
      <c r="E38" s="2068"/>
      <c r="F38" s="2068"/>
      <c r="G38" s="2068"/>
      <c r="H38" s="2068"/>
      <c r="I38" s="2068"/>
      <c r="J38" s="2068"/>
      <c r="K38" s="2068"/>
      <c r="L38" s="2068"/>
      <c r="M38" s="2068"/>
      <c r="N38" s="2068"/>
      <c r="O38" s="2068"/>
      <c r="P38" s="2068"/>
      <c r="Q38" s="2068"/>
      <c r="R38" s="2068"/>
      <c r="S38" s="2068"/>
      <c r="T38" s="2069"/>
      <c r="U38" s="30"/>
      <c r="V38" s="30"/>
      <c r="W38" s="30"/>
      <c r="X38" s="30"/>
      <c r="Y38" s="30"/>
      <c r="Z38" s="31"/>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49"/>
      <c r="J40" s="551"/>
      <c r="K40" s="551"/>
      <c r="O40" s="470"/>
      <c r="P40" s="549"/>
    </row>
    <row r="41" spans="1:53">
      <c r="I41" s="549"/>
      <c r="J41" s="551"/>
      <c r="K41" s="551"/>
    </row>
    <row r="42" spans="1:53" ht="14.4" customHeight="1">
      <c r="B42" s="769"/>
      <c r="G42" s="36"/>
      <c r="H42" s="36"/>
      <c r="K42" s="549"/>
      <c r="L42" s="470"/>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row>
    <row r="43" spans="1:53" ht="14.4" customHeight="1">
      <c r="H43" s="83"/>
      <c r="I43" s="83"/>
      <c r="K43" s="83"/>
      <c r="L43" s="676"/>
      <c r="M43" s="531"/>
      <c r="N43" s="570"/>
      <c r="O43" s="570"/>
      <c r="P43" s="531"/>
      <c r="Q43" s="531"/>
      <c r="R43" s="531"/>
      <c r="T43" s="570"/>
      <c r="U43" s="570"/>
      <c r="W43" s="570"/>
      <c r="AC43" s="531"/>
      <c r="AD43" s="531"/>
      <c r="AE43" s="531"/>
      <c r="AF43" s="531"/>
      <c r="AG43" s="531"/>
      <c r="AH43" s="531"/>
      <c r="AI43" s="531"/>
      <c r="AJ43" s="531"/>
      <c r="AK43" s="531"/>
      <c r="AL43" s="531"/>
      <c r="AM43" s="531"/>
      <c r="AN43" s="531"/>
      <c r="AO43" s="531"/>
      <c r="AP43" s="531"/>
      <c r="AQ43" s="531"/>
      <c r="AR43" s="531"/>
      <c r="AS43" s="531"/>
      <c r="AT43" s="531"/>
      <c r="AU43" s="531"/>
      <c r="AV43" s="531"/>
      <c r="AW43" s="531"/>
      <c r="AX43" s="531"/>
      <c r="AY43" s="531"/>
      <c r="AZ43" s="531"/>
    </row>
    <row r="44" spans="1:53">
      <c r="H44" s="1115"/>
      <c r="I44" s="83"/>
      <c r="K44" s="655"/>
      <c r="M44" s="531"/>
      <c r="N44" s="570"/>
      <c r="O44" s="570">
        <v>0.02</v>
      </c>
      <c r="P44" s="531"/>
      <c r="Q44" s="531"/>
      <c r="R44" s="531"/>
      <c r="T44" s="570"/>
      <c r="U44" s="570"/>
      <c r="W44" s="570"/>
      <c r="AC44" s="531"/>
      <c r="AD44" s="531"/>
      <c r="AE44" s="531"/>
      <c r="AF44" s="531"/>
      <c r="AG44" s="531"/>
      <c r="AH44" s="531"/>
      <c r="AI44" s="531"/>
      <c r="AJ44" s="531"/>
      <c r="AK44" s="531"/>
      <c r="AL44" s="531"/>
      <c r="AM44" s="531"/>
      <c r="AN44" s="531"/>
      <c r="AO44" s="531"/>
      <c r="AP44" s="531"/>
      <c r="AQ44" s="531"/>
      <c r="AR44" s="531"/>
      <c r="AS44" s="531"/>
      <c r="AT44" s="531"/>
      <c r="AU44" s="531"/>
      <c r="AV44" s="531"/>
      <c r="AW44" s="531"/>
      <c r="AX44" s="531"/>
      <c r="AY44" s="531"/>
      <c r="AZ44" s="531"/>
      <c r="BA44" s="531"/>
    </row>
    <row r="45" spans="1:53">
      <c r="E45" s="83"/>
      <c r="F45" s="83"/>
      <c r="G45" s="549"/>
      <c r="H45" s="83"/>
      <c r="I45" s="570"/>
      <c r="J45" s="1117"/>
      <c r="K45" s="83"/>
      <c r="L45" s="531"/>
      <c r="M45" s="83"/>
      <c r="N45" s="570"/>
      <c r="O45" s="570"/>
      <c r="P45" s="83"/>
      <c r="Q45" s="83"/>
      <c r="R45" s="83"/>
      <c r="S45" s="83"/>
      <c r="T45" s="570"/>
      <c r="U45" s="570"/>
      <c r="V45" s="83"/>
      <c r="W45" s="570"/>
      <c r="X45" s="83"/>
      <c r="Y45" s="83"/>
      <c r="Z45" s="83"/>
      <c r="AA45" s="83"/>
      <c r="AB45" s="83"/>
      <c r="AC45" s="83"/>
      <c r="AD45" s="83"/>
      <c r="AE45" s="83"/>
      <c r="AF45" s="83"/>
      <c r="AG45" s="83"/>
      <c r="AH45" s="83"/>
      <c r="AI45" s="83"/>
      <c r="AJ45" s="83"/>
      <c r="AK45" s="83"/>
      <c r="AL45" s="83"/>
    </row>
    <row r="46" spans="1:53" s="549" customFormat="1">
      <c r="G46"/>
      <c r="Q46" s="1224"/>
      <c r="AA46" s="578"/>
      <c r="AB46" s="578"/>
      <c r="AC46" s="578"/>
      <c r="AD46" s="578"/>
      <c r="AE46" s="578"/>
      <c r="AF46" s="578"/>
      <c r="AG46" s="578"/>
      <c r="AH46" s="578"/>
      <c r="AI46" s="578"/>
      <c r="AJ46" s="578"/>
      <c r="AK46" s="578"/>
      <c r="AL46" s="578"/>
      <c r="AM46" s="578"/>
      <c r="AN46" s="578"/>
      <c r="AO46" s="578"/>
      <c r="AP46" s="578"/>
      <c r="AQ46" s="578"/>
      <c r="AR46" s="578"/>
      <c r="AS46" s="578"/>
      <c r="AT46" s="578"/>
      <c r="AU46" s="578"/>
      <c r="AV46" s="578"/>
      <c r="AW46" s="578"/>
      <c r="AX46" s="578"/>
      <c r="AY46" s="578"/>
      <c r="AZ46" s="578"/>
    </row>
    <row r="47" spans="1:53" s="549" customFormat="1">
      <c r="E47" s="1087"/>
      <c r="F47" s="1087"/>
      <c r="G47"/>
      <c r="H47" s="1087"/>
      <c r="I47" s="1116"/>
      <c r="J47" s="1116"/>
      <c r="K47" s="549">
        <f>K51-I7</f>
        <v>720392.74000000022</v>
      </c>
      <c r="O47" s="549">
        <f>F22-O23</f>
        <v>57304347.859999999</v>
      </c>
      <c r="Q47" s="1224"/>
    </row>
    <row r="48" spans="1:53" s="549" customFormat="1">
      <c r="G48"/>
    </row>
    <row r="49" spans="1:52" s="549" customFormat="1">
      <c r="G49"/>
    </row>
    <row r="50" spans="1:52" s="549" customFormat="1">
      <c r="G50"/>
    </row>
    <row r="51" spans="1:52">
      <c r="E51" s="549"/>
      <c r="I51" s="83"/>
      <c r="J51" s="83"/>
      <c r="K51">
        <v>10868386.85</v>
      </c>
      <c r="L51" s="470"/>
      <c r="M51" s="531"/>
      <c r="N51" s="570"/>
      <c r="O51" s="570"/>
      <c r="P51" s="531"/>
      <c r="Q51" s="531"/>
      <c r="S51" s="570"/>
      <c r="T51" s="570"/>
      <c r="V51" s="570"/>
      <c r="AB51" s="531"/>
      <c r="AC51" s="531"/>
      <c r="AD51" s="531"/>
      <c r="AE51" s="531"/>
      <c r="AF51" s="531"/>
      <c r="AG51" s="531"/>
      <c r="AH51" s="531"/>
      <c r="AI51" s="531"/>
      <c r="AJ51" s="531"/>
      <c r="AK51" s="531"/>
      <c r="AL51" s="531"/>
      <c r="AM51" s="531"/>
      <c r="AN51" s="531"/>
      <c r="AO51" s="531"/>
      <c r="AP51" s="531"/>
      <c r="AQ51" s="531"/>
      <c r="AR51" s="531"/>
      <c r="AS51" s="531"/>
      <c r="AT51" s="531"/>
      <c r="AU51" s="531"/>
      <c r="AV51" s="531"/>
      <c r="AW51" s="531"/>
      <c r="AX51" s="531"/>
      <c r="AY51" s="531"/>
    </row>
    <row r="52" spans="1:52">
      <c r="E52" s="549"/>
      <c r="I52" s="83"/>
      <c r="J52" s="83"/>
      <c r="L52" s="83"/>
      <c r="M52" s="531"/>
      <c r="N52" s="570"/>
      <c r="O52" s="570"/>
      <c r="P52" s="531"/>
      <c r="Q52" s="531"/>
      <c r="S52" s="570"/>
      <c r="T52" s="570"/>
      <c r="V52" s="570"/>
      <c r="AB52" s="531"/>
      <c r="AC52" s="531"/>
      <c r="AD52" s="531"/>
      <c r="AE52" s="531"/>
      <c r="AF52" s="531"/>
      <c r="AG52" s="531"/>
      <c r="AH52" s="531"/>
      <c r="AI52" s="531"/>
      <c r="AJ52" s="531"/>
      <c r="AK52" s="531"/>
      <c r="AL52" s="531"/>
      <c r="AM52" s="531"/>
      <c r="AN52" s="531"/>
      <c r="AO52" s="531"/>
      <c r="AP52" s="531"/>
      <c r="AQ52" s="531"/>
      <c r="AR52" s="531"/>
      <c r="AS52" s="531"/>
      <c r="AT52" s="531"/>
      <c r="AU52" s="531"/>
      <c r="AV52" s="531"/>
      <c r="AW52" s="531"/>
      <c r="AX52" s="531"/>
      <c r="AY52" s="531"/>
      <c r="AZ52" s="531"/>
    </row>
    <row r="53" spans="1:52">
      <c r="E53" s="549"/>
      <c r="I53" s="531"/>
      <c r="J53" s="83"/>
      <c r="L53" s="83"/>
      <c r="M53" s="531"/>
      <c r="N53" s="570"/>
      <c r="O53" s="570"/>
      <c r="P53" s="531"/>
      <c r="Q53" s="531"/>
      <c r="S53" s="570"/>
      <c r="T53" s="570"/>
      <c r="V53" s="570"/>
    </row>
    <row r="54" spans="1:52" ht="21">
      <c r="A54" s="8"/>
      <c r="E54" s="549"/>
      <c r="H54" s="531"/>
      <c r="I54" s="531"/>
      <c r="J54" s="83"/>
      <c r="L54" s="83"/>
      <c r="M54" s="531"/>
      <c r="N54" s="570"/>
      <c r="O54" s="570"/>
      <c r="P54" s="531"/>
      <c r="Q54" s="531"/>
      <c r="S54" s="570"/>
      <c r="T54" s="549"/>
      <c r="V54" s="570"/>
    </row>
    <row r="55" spans="1:52">
      <c r="E55" s="549"/>
      <c r="H55" s="531"/>
      <c r="I55" s="531"/>
      <c r="L55" s="83"/>
      <c r="T55" s="549"/>
    </row>
    <row r="56" spans="1:52">
      <c r="E56" s="549"/>
      <c r="H56" s="531"/>
      <c r="I56" s="531"/>
      <c r="K56" s="550"/>
      <c r="L56" s="83"/>
      <c r="T56" s="549"/>
    </row>
    <row r="57" spans="1:52">
      <c r="E57" s="549"/>
      <c r="H57" s="531"/>
      <c r="I57" s="531"/>
      <c r="K57" s="550"/>
      <c r="L57" s="83"/>
      <c r="T57" s="549"/>
    </row>
    <row r="58" spans="1:52">
      <c r="E58" s="549"/>
      <c r="H58" s="531"/>
      <c r="I58" s="531"/>
      <c r="K58" s="550"/>
      <c r="N58" s="549"/>
      <c r="T58" s="549"/>
    </row>
    <row r="59" spans="1:52">
      <c r="A59" s="13"/>
      <c r="E59" s="549"/>
      <c r="H59" s="531"/>
      <c r="I59" s="531"/>
      <c r="K59" s="550"/>
      <c r="T59" s="549"/>
    </row>
    <row r="60" spans="1:52">
      <c r="A60" s="7"/>
      <c r="E60" s="549"/>
      <c r="H60" s="531"/>
      <c r="I60" s="531"/>
      <c r="K60" s="550"/>
      <c r="T60" s="549"/>
    </row>
    <row r="61" spans="1:52">
      <c r="A61" s="7"/>
      <c r="E61" s="549"/>
      <c r="H61" s="531"/>
      <c r="I61" s="531"/>
      <c r="K61" s="550"/>
      <c r="T61" s="549"/>
    </row>
    <row r="62" spans="1:52">
      <c r="A62" s="7"/>
      <c r="E62" s="549"/>
      <c r="G62" s="83"/>
      <c r="H62" s="531"/>
      <c r="I62" s="531"/>
      <c r="K62" s="550"/>
      <c r="T62" s="549"/>
    </row>
    <row r="63" spans="1:52">
      <c r="A63" s="7"/>
      <c r="E63" s="549"/>
      <c r="G63" s="531"/>
      <c r="H63" s="531"/>
      <c r="I63" s="531"/>
      <c r="K63" s="550"/>
      <c r="T63" s="549"/>
    </row>
    <row r="64" spans="1:52">
      <c r="A64" s="7"/>
      <c r="E64" s="549"/>
      <c r="G64" s="531"/>
      <c r="H64" s="531"/>
      <c r="I64" s="531"/>
      <c r="K64" s="550"/>
      <c r="T64" s="549"/>
    </row>
    <row r="65" spans="1:20">
      <c r="A65" s="7"/>
      <c r="E65" s="549"/>
      <c r="G65" s="531"/>
      <c r="H65" s="531"/>
      <c r="I65" s="531"/>
      <c r="K65" s="550"/>
      <c r="T65" s="549"/>
    </row>
    <row r="66" spans="1:20">
      <c r="E66" s="549"/>
      <c r="H66" s="531"/>
      <c r="I66" s="531"/>
      <c r="K66" s="550"/>
      <c r="T66" s="549"/>
    </row>
    <row r="67" spans="1:20">
      <c r="A67" s="10"/>
      <c r="E67" s="549"/>
      <c r="H67" s="531"/>
      <c r="I67" s="531"/>
      <c r="K67" s="550"/>
      <c r="T67" s="549"/>
    </row>
    <row r="68" spans="1:20">
      <c r="A68" s="12"/>
      <c r="E68" s="549"/>
      <c r="H68" s="531"/>
      <c r="I68" s="531"/>
      <c r="K68" s="550"/>
      <c r="T68" s="549"/>
    </row>
    <row r="69" spans="1:20">
      <c r="A69" s="4"/>
      <c r="E69" s="549"/>
      <c r="H69" s="531"/>
      <c r="I69" s="531"/>
      <c r="K69" s="550"/>
      <c r="T69" s="549"/>
    </row>
    <row r="70" spans="1:20">
      <c r="A70" s="4"/>
      <c r="B70" s="9"/>
      <c r="C70" s="4"/>
      <c r="D70" s="9"/>
      <c r="E70" s="549"/>
      <c r="G70" s="5"/>
      <c r="H70" s="531"/>
      <c r="I70" s="531"/>
      <c r="K70" s="550"/>
      <c r="T70" s="549"/>
    </row>
    <row r="71" spans="1:20">
      <c r="A71" s="4"/>
      <c r="B71" s="9"/>
      <c r="C71" s="4"/>
      <c r="D71" s="9"/>
      <c r="E71" s="549"/>
      <c r="G71" s="5"/>
      <c r="H71" s="531"/>
      <c r="I71" s="531"/>
      <c r="K71" s="550"/>
      <c r="T71" s="549"/>
    </row>
    <row r="72" spans="1:20">
      <c r="A72" s="4"/>
      <c r="B72" s="9"/>
      <c r="C72" s="4"/>
      <c r="D72" s="9"/>
      <c r="E72" s="549"/>
      <c r="G72" s="5"/>
      <c r="H72" s="531"/>
      <c r="I72" s="531"/>
      <c r="K72" s="550"/>
      <c r="T72" s="549"/>
    </row>
    <row r="73" spans="1:20">
      <c r="A73" s="4"/>
      <c r="B73" s="15"/>
      <c r="C73" s="4"/>
      <c r="D73" s="9"/>
      <c r="G73" s="5"/>
      <c r="H73" s="531"/>
      <c r="I73" s="531"/>
      <c r="K73" s="550"/>
      <c r="T73" s="549"/>
    </row>
    <row r="74" spans="1:20">
      <c r="A74" s="4"/>
      <c r="B74" s="15"/>
      <c r="C74" s="4"/>
      <c r="D74" s="9"/>
      <c r="G74" s="5"/>
      <c r="H74" s="531"/>
      <c r="I74" s="531"/>
      <c r="K74" s="550"/>
      <c r="T74" s="549"/>
    </row>
    <row r="75" spans="1:20">
      <c r="A75" s="4"/>
      <c r="B75" s="15"/>
      <c r="C75" s="4"/>
      <c r="D75" s="9"/>
      <c r="G75" s="5"/>
      <c r="H75" s="531"/>
      <c r="I75" s="531"/>
      <c r="K75" s="550"/>
      <c r="T75" s="549"/>
    </row>
    <row r="76" spans="1:20">
      <c r="A76" s="4"/>
      <c r="B76" s="15"/>
      <c r="C76" s="4"/>
      <c r="D76" s="9"/>
      <c r="G76" s="5"/>
      <c r="H76" s="531"/>
      <c r="I76" s="531"/>
      <c r="K76" s="550"/>
    </row>
    <row r="77" spans="1:20">
      <c r="A77" s="4"/>
      <c r="B77" s="15"/>
      <c r="D77" s="16"/>
      <c r="E77" s="16"/>
      <c r="G77" s="5"/>
      <c r="H77" s="531"/>
      <c r="I77" s="531"/>
      <c r="K77" s="550"/>
    </row>
    <row r="78" spans="1:20">
      <c r="A78" s="4"/>
      <c r="B78" s="15"/>
      <c r="G78" s="5"/>
      <c r="H78" s="5"/>
      <c r="I78" s="531"/>
      <c r="K78" s="550"/>
    </row>
    <row r="79" spans="1:20">
      <c r="A79" s="4"/>
      <c r="B79" s="15"/>
      <c r="G79" s="5"/>
      <c r="H79" s="5"/>
      <c r="K79" s="550"/>
    </row>
    <row r="80" spans="1:20">
      <c r="A80" s="4"/>
      <c r="B80" s="15"/>
      <c r="G80" s="5"/>
      <c r="H80" s="5"/>
      <c r="K80" s="550"/>
    </row>
    <row r="81" spans="11:11">
      <c r="K81" s="550"/>
    </row>
    <row r="82" spans="11:11">
      <c r="K82" s="550"/>
    </row>
    <row r="83" spans="11:11">
      <c r="K83" s="550"/>
    </row>
    <row r="84" spans="11:11">
      <c r="K84" s="550"/>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sqref="A1:K9"/>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2.33203125" bestFit="1" customWidth="1"/>
  </cols>
  <sheetData>
    <row r="1" spans="1:17" ht="21.6" thickBot="1">
      <c r="A1" s="123" t="s">
        <v>744</v>
      </c>
      <c r="B1" s="124"/>
      <c r="C1" s="124"/>
      <c r="D1" s="124"/>
      <c r="E1" s="124"/>
      <c r="F1" s="124"/>
      <c r="G1" s="124"/>
      <c r="H1" s="124"/>
      <c r="I1" s="124"/>
      <c r="J1" s="124"/>
      <c r="K1" s="125"/>
      <c r="P1" s="49" t="str">
        <f>'General Information'!$K$1</f>
        <v>Data Date</v>
      </c>
      <c r="Q1" s="50">
        <f>'General Information'!$L$1</f>
        <v>46308</v>
      </c>
    </row>
    <row r="2" spans="1:17" ht="18">
      <c r="A2" s="119" t="s">
        <v>745</v>
      </c>
      <c r="B2" s="117"/>
      <c r="C2" s="117"/>
      <c r="D2" s="117"/>
      <c r="E2" s="117"/>
      <c r="F2" s="117"/>
      <c r="G2" s="117"/>
      <c r="H2" s="117"/>
      <c r="I2" s="117"/>
      <c r="J2" s="117"/>
      <c r="K2" s="118"/>
    </row>
    <row r="3" spans="1:17" ht="15.6">
      <c r="A3" s="2085" t="s">
        <v>746</v>
      </c>
      <c r="B3" s="1402"/>
      <c r="C3" s="1402"/>
      <c r="D3" s="1402"/>
      <c r="E3" s="1403"/>
      <c r="F3" s="1404" t="s">
        <v>747</v>
      </c>
      <c r="G3" s="1402"/>
      <c r="H3" s="1402"/>
      <c r="I3" s="1402"/>
      <c r="J3" s="1402"/>
      <c r="K3" s="1403"/>
    </row>
    <row r="4" spans="1:17" ht="15.6">
      <c r="A4" s="120" t="s">
        <v>748</v>
      </c>
      <c r="B4" s="107" t="s">
        <v>749</v>
      </c>
      <c r="C4" s="107" t="s">
        <v>750</v>
      </c>
      <c r="D4" s="107" t="s">
        <v>751</v>
      </c>
      <c r="E4" s="108" t="s">
        <v>355</v>
      </c>
      <c r="F4" s="106" t="s">
        <v>752</v>
      </c>
      <c r="G4" s="107" t="s">
        <v>753</v>
      </c>
      <c r="H4" s="107" t="s">
        <v>754</v>
      </c>
      <c r="I4" s="107" t="s">
        <v>755</v>
      </c>
      <c r="J4" s="107" t="s">
        <v>756</v>
      </c>
      <c r="K4" s="108"/>
    </row>
    <row r="5" spans="1:17" ht="15.6">
      <c r="A5" s="121">
        <v>1218</v>
      </c>
      <c r="B5" s="113">
        <v>24</v>
      </c>
      <c r="C5" s="113">
        <v>21</v>
      </c>
      <c r="D5" s="113">
        <v>1164</v>
      </c>
      <c r="E5" s="114">
        <f>D5/A5</f>
        <v>0.95566502463054193</v>
      </c>
      <c r="F5" s="115">
        <f>+C5</f>
        <v>21</v>
      </c>
      <c r="G5" s="113">
        <v>21</v>
      </c>
      <c r="H5" s="113">
        <v>0</v>
      </c>
      <c r="I5" s="116">
        <v>0</v>
      </c>
      <c r="J5" s="2083">
        <f>+G5+H5-I5</f>
        <v>21</v>
      </c>
      <c r="K5" s="2084"/>
    </row>
    <row r="6" spans="1:17" ht="18">
      <c r="A6" s="2086" t="s">
        <v>757</v>
      </c>
      <c r="B6" s="1517"/>
      <c r="C6" s="1518"/>
      <c r="D6" s="1526" t="s">
        <v>758</v>
      </c>
      <c r="E6" s="1517"/>
      <c r="F6" s="1517"/>
      <c r="G6" s="1518"/>
      <c r="H6" s="1526" t="s">
        <v>759</v>
      </c>
      <c r="I6" s="1517"/>
      <c r="J6" s="1517"/>
      <c r="K6" s="1518"/>
    </row>
    <row r="7" spans="1:17" ht="15.6" customHeight="1">
      <c r="A7" s="2087"/>
      <c r="B7" s="1520"/>
      <c r="C7" s="1521"/>
      <c r="D7" s="1541" t="s">
        <v>760</v>
      </c>
      <c r="E7" s="1447"/>
      <c r="F7" s="1447" t="s">
        <v>761</v>
      </c>
      <c r="G7" s="1448"/>
      <c r="H7" s="1527"/>
      <c r="I7" s="1520"/>
      <c r="J7" s="1520"/>
      <c r="K7" s="1521"/>
    </row>
    <row r="8" spans="1:17" ht="15.6">
      <c r="A8" s="120" t="s">
        <v>762</v>
      </c>
      <c r="B8" s="107" t="s">
        <v>763</v>
      </c>
      <c r="C8" s="108" t="s">
        <v>764</v>
      </c>
      <c r="D8" s="106" t="s">
        <v>762</v>
      </c>
      <c r="E8" s="107" t="s">
        <v>763</v>
      </c>
      <c r="F8" s="107" t="s">
        <v>762</v>
      </c>
      <c r="G8" s="108" t="s">
        <v>763</v>
      </c>
      <c r="H8" s="106" t="s">
        <v>762</v>
      </c>
      <c r="I8" s="107" t="s">
        <v>763</v>
      </c>
      <c r="J8" s="107" t="s">
        <v>756</v>
      </c>
      <c r="K8" s="108"/>
    </row>
    <row r="9" spans="1:17" ht="15.6">
      <c r="A9" s="122">
        <v>0</v>
      </c>
      <c r="B9" s="110">
        <v>0</v>
      </c>
      <c r="C9" s="112">
        <f>A9-B9</f>
        <v>0</v>
      </c>
      <c r="D9" s="109">
        <v>4</v>
      </c>
      <c r="E9" s="110">
        <v>4</v>
      </c>
      <c r="F9" s="110">
        <v>8</v>
      </c>
      <c r="G9" s="111">
        <v>8</v>
      </c>
      <c r="H9" s="109">
        <v>4</v>
      </c>
      <c r="I9" s="110">
        <v>2</v>
      </c>
      <c r="J9" s="2083">
        <f>H9-I9</f>
        <v>2</v>
      </c>
      <c r="K9" s="2084"/>
    </row>
    <row r="13" spans="1:17">
      <c r="G13" s="757"/>
      <c r="H13" s="757" t="s">
        <v>677</v>
      </c>
    </row>
    <row r="15" spans="1:17">
      <c r="H15" s="757"/>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M26" sqref="M26"/>
    </sheetView>
  </sheetViews>
  <sheetFormatPr defaultRowHeight="14.4"/>
  <cols>
    <col min="1" max="1" width="11.33203125" style="37"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1" width="12" customWidth="1"/>
    <col min="22" max="22" width="15.44140625" bestFit="1" customWidth="1"/>
    <col min="23" max="26" width="12" customWidth="1"/>
    <col min="27" max="39" width="14.33203125" bestFit="1" customWidth="1"/>
    <col min="40" max="40" width="10.44140625" bestFit="1" customWidth="1"/>
  </cols>
  <sheetData>
    <row r="1" spans="1:22" ht="15" thickBot="1">
      <c r="B1" s="36">
        <f>SUM(B4:B35)</f>
        <v>406229</v>
      </c>
      <c r="E1" s="36">
        <f>SUM(E4:E35)</f>
        <v>406774</v>
      </c>
    </row>
    <row r="2" spans="1:22">
      <c r="A2" s="38"/>
      <c r="B2" s="2076" t="s">
        <v>660</v>
      </c>
      <c r="C2" s="2077"/>
      <c r="D2" s="2078"/>
      <c r="E2" s="2079" t="s">
        <v>661</v>
      </c>
      <c r="F2" s="2080"/>
      <c r="G2" s="18"/>
      <c r="H2" s="2081" t="s">
        <v>732</v>
      </c>
      <c r="I2" s="2082"/>
      <c r="J2" s="18"/>
      <c r="K2" s="2070" t="s">
        <v>664</v>
      </c>
      <c r="L2" s="2071"/>
      <c r="M2" s="956"/>
      <c r="N2" s="2072" t="s">
        <v>733</v>
      </c>
      <c r="O2" s="2073"/>
    </row>
    <row r="3" spans="1:22" ht="15" thickBot="1">
      <c r="A3" s="39" t="s">
        <v>734</v>
      </c>
      <c r="B3" s="28" t="s">
        <v>735</v>
      </c>
      <c r="C3" s="21" t="s">
        <v>736</v>
      </c>
      <c r="D3" s="20" t="s">
        <v>737</v>
      </c>
      <c r="E3" s="28" t="s">
        <v>738</v>
      </c>
      <c r="F3" s="21" t="s">
        <v>736</v>
      </c>
      <c r="G3" s="20" t="s">
        <v>737</v>
      </c>
      <c r="H3" s="28" t="s">
        <v>739</v>
      </c>
      <c r="I3" s="21" t="s">
        <v>740</v>
      </c>
      <c r="J3" s="21" t="s">
        <v>741</v>
      </c>
      <c r="K3" s="28" t="s">
        <v>742</v>
      </c>
      <c r="L3" s="21" t="s">
        <v>740</v>
      </c>
      <c r="M3" s="21" t="s">
        <v>743</v>
      </c>
      <c r="N3" s="28" t="s">
        <v>739</v>
      </c>
      <c r="O3" s="22" t="s">
        <v>740</v>
      </c>
      <c r="P3" s="957"/>
    </row>
    <row r="4" spans="1:22">
      <c r="A4" s="958">
        <f>+'EV-Chart Data'!A4</f>
        <v>45981</v>
      </c>
      <c r="B4" s="29">
        <v>768</v>
      </c>
      <c r="C4" s="23">
        <v>768</v>
      </c>
      <c r="D4" s="25">
        <f>C4/$B$1</f>
        <v>1.8905592658328184E-3</v>
      </c>
      <c r="E4" s="29">
        <v>622</v>
      </c>
      <c r="F4" s="23">
        <f>E4</f>
        <v>622</v>
      </c>
      <c r="G4" s="25">
        <f>F4/$E$1</f>
        <v>1.529104613372536E-3</v>
      </c>
      <c r="H4" s="41">
        <v>622</v>
      </c>
      <c r="I4" s="23">
        <v>622</v>
      </c>
      <c r="J4" s="1129">
        <f t="shared" ref="J4:J9" si="0">IF(H4="","",I4/$B$1)</f>
        <v>1.5311560720677254E-3</v>
      </c>
      <c r="K4" s="29"/>
      <c r="L4" s="23"/>
      <c r="M4" s="25"/>
      <c r="N4" s="29">
        <f t="shared" ref="N4:N7" si="1">ROUND(H4-E4,0)</f>
        <v>0</v>
      </c>
      <c r="O4" s="23">
        <f>N4</f>
        <v>0</v>
      </c>
      <c r="Q4" s="2" t="s">
        <v>670</v>
      </c>
    </row>
    <row r="5" spans="1:22">
      <c r="A5" s="958">
        <f>EOMONTH(A4,1)</f>
        <v>46022</v>
      </c>
      <c r="B5" s="29">
        <v>21421</v>
      </c>
      <c r="C5" s="23">
        <v>22189</v>
      </c>
      <c r="D5" s="25">
        <f t="shared" ref="D5:D22" si="2">C5/$B$1</f>
        <v>5.4621900455161992E-2</v>
      </c>
      <c r="E5" s="29">
        <v>21346</v>
      </c>
      <c r="F5" s="23">
        <f t="shared" ref="F5:F22" si="3">F4+E5</f>
        <v>21968</v>
      </c>
      <c r="G5" s="25">
        <f t="shared" ref="G5:G22" si="4">F5/$E$1</f>
        <v>5.4005418242070537E-2</v>
      </c>
      <c r="H5" s="41">
        <f>I5-I4</f>
        <v>21346</v>
      </c>
      <c r="I5" s="23">
        <v>21968</v>
      </c>
      <c r="J5" s="1129">
        <f t="shared" si="0"/>
        <v>5.4077872333092913E-2</v>
      </c>
      <c r="K5" s="29"/>
      <c r="L5" s="23"/>
      <c r="M5" s="25"/>
      <c r="N5" s="29">
        <f t="shared" si="1"/>
        <v>0</v>
      </c>
      <c r="O5" s="23">
        <f t="shared" ref="O5:O12" si="5">N5+O4</f>
        <v>0</v>
      </c>
    </row>
    <row r="6" spans="1:22">
      <c r="A6" s="958">
        <f t="shared" ref="A6:A23" si="6">EOMONTH(A5,1)</f>
        <v>46053</v>
      </c>
      <c r="B6" s="29">
        <v>27807</v>
      </c>
      <c r="C6" s="23">
        <v>49996</v>
      </c>
      <c r="D6" s="25">
        <f t="shared" si="2"/>
        <v>0.12307343887314791</v>
      </c>
      <c r="E6" s="29">
        <v>44257</v>
      </c>
      <c r="F6" s="23">
        <f t="shared" si="3"/>
        <v>66225</v>
      </c>
      <c r="G6" s="25">
        <f t="shared" si="4"/>
        <v>0.16280539070835404</v>
      </c>
      <c r="H6" s="41">
        <f t="shared" ref="H6:H13" si="7">I6-I5</f>
        <v>44257</v>
      </c>
      <c r="I6" s="23">
        <v>66225</v>
      </c>
      <c r="J6" s="1129">
        <f t="shared" si="0"/>
        <v>0.16302381169241981</v>
      </c>
      <c r="K6" s="29"/>
      <c r="L6" s="23"/>
      <c r="M6" s="25"/>
      <c r="N6" s="29">
        <f>ROUND(H6-E6,0)</f>
        <v>0</v>
      </c>
      <c r="O6" s="23">
        <f t="shared" si="5"/>
        <v>0</v>
      </c>
    </row>
    <row r="7" spans="1:22">
      <c r="A7" s="958">
        <f t="shared" si="6"/>
        <v>46081</v>
      </c>
      <c r="B7" s="29">
        <v>28401</v>
      </c>
      <c r="C7" s="23">
        <v>78397</v>
      </c>
      <c r="D7" s="25">
        <f t="shared" si="2"/>
        <v>0.19298720672330139</v>
      </c>
      <c r="E7" s="29">
        <v>16315</v>
      </c>
      <c r="F7" s="23">
        <f t="shared" si="3"/>
        <v>82540</v>
      </c>
      <c r="G7" s="25">
        <f t="shared" si="4"/>
        <v>0.20291365721506291</v>
      </c>
      <c r="H7" s="41">
        <f t="shared" si="7"/>
        <v>29801</v>
      </c>
      <c r="I7" s="23">
        <v>96026</v>
      </c>
      <c r="J7" s="1129">
        <f t="shared" si="0"/>
        <v>0.23638391153758101</v>
      </c>
      <c r="K7" s="29"/>
      <c r="L7" s="23"/>
      <c r="M7" s="25"/>
      <c r="N7" s="29">
        <f t="shared" si="1"/>
        <v>13486</v>
      </c>
      <c r="O7" s="23">
        <f t="shared" si="5"/>
        <v>13486</v>
      </c>
    </row>
    <row r="8" spans="1:22">
      <c r="A8" s="958">
        <f t="shared" si="6"/>
        <v>46112</v>
      </c>
      <c r="B8" s="29">
        <v>29370</v>
      </c>
      <c r="C8" s="23">
        <v>107767</v>
      </c>
      <c r="D8" s="25">
        <f t="shared" si="2"/>
        <v>0.26528632864714236</v>
      </c>
      <c r="E8" s="29">
        <v>30475</v>
      </c>
      <c r="F8" s="23">
        <f t="shared" si="3"/>
        <v>113015</v>
      </c>
      <c r="G8" s="25">
        <f t="shared" si="4"/>
        <v>0.27783240816768034</v>
      </c>
      <c r="H8" s="41">
        <f t="shared" si="7"/>
        <v>40627</v>
      </c>
      <c r="I8" s="23">
        <v>136653</v>
      </c>
      <c r="J8" s="1129">
        <f t="shared" si="0"/>
        <v>0.33639400436699496</v>
      </c>
      <c r="K8" s="29"/>
      <c r="L8" s="23"/>
      <c r="M8" s="25"/>
      <c r="N8" s="29">
        <f t="shared" ref="N8:N9" si="8">ROUND(H8-E8,0)</f>
        <v>10152</v>
      </c>
      <c r="O8" s="23">
        <f t="shared" si="5"/>
        <v>23638</v>
      </c>
      <c r="Q8" s="2" t="s">
        <v>671</v>
      </c>
      <c r="V8" s="764"/>
    </row>
    <row r="9" spans="1:22">
      <c r="A9" s="958">
        <f t="shared" si="6"/>
        <v>46142</v>
      </c>
      <c r="B9" s="29">
        <v>46503</v>
      </c>
      <c r="C9" s="23">
        <v>154270</v>
      </c>
      <c r="D9" s="25">
        <f t="shared" si="2"/>
        <v>0.37976116919274594</v>
      </c>
      <c r="E9" s="29">
        <v>28916</v>
      </c>
      <c r="F9" s="23">
        <f t="shared" si="3"/>
        <v>141931</v>
      </c>
      <c r="G9" s="25">
        <f t="shared" si="4"/>
        <v>0.34891856411668398</v>
      </c>
      <c r="H9" s="41">
        <f t="shared" si="7"/>
        <v>59181</v>
      </c>
      <c r="I9" s="23">
        <v>195834</v>
      </c>
      <c r="J9" s="1129">
        <f t="shared" si="0"/>
        <v>0.48207784279310439</v>
      </c>
      <c r="K9" s="29"/>
      <c r="N9" s="29">
        <f t="shared" si="8"/>
        <v>30265</v>
      </c>
      <c r="O9" s="23">
        <f t="shared" si="5"/>
        <v>53903</v>
      </c>
      <c r="V9" s="764"/>
    </row>
    <row r="10" spans="1:22">
      <c r="A10" s="958">
        <f t="shared" si="6"/>
        <v>46173</v>
      </c>
      <c r="B10" s="29">
        <v>55538</v>
      </c>
      <c r="C10" s="23">
        <v>209808</v>
      </c>
      <c r="D10" s="25">
        <f t="shared" si="2"/>
        <v>0.51647715943470307</v>
      </c>
      <c r="E10" s="29">
        <v>29832</v>
      </c>
      <c r="F10" s="23">
        <f t="shared" si="3"/>
        <v>171763</v>
      </c>
      <c r="G10" s="25">
        <f t="shared" si="4"/>
        <v>0.42225658473747091</v>
      </c>
      <c r="H10" s="41">
        <f t="shared" si="7"/>
        <v>27929</v>
      </c>
      <c r="I10" s="23">
        <v>223763</v>
      </c>
      <c r="J10" s="1129">
        <f t="shared" ref="J10:J15" si="9">IF(H10="","",I10/$B$1)</f>
        <v>0.55082970442779811</v>
      </c>
      <c r="K10" s="29"/>
      <c r="N10" s="29">
        <f t="shared" ref="N10" si="10">ROUND(H10-E10,0)</f>
        <v>-1903</v>
      </c>
      <c r="O10" s="23">
        <f t="shared" si="5"/>
        <v>52000</v>
      </c>
      <c r="S10" s="676"/>
      <c r="T10" s="676"/>
      <c r="U10" s="676"/>
      <c r="V10" s="764"/>
    </row>
    <row r="11" spans="1:22">
      <c r="A11" s="958">
        <f t="shared" si="6"/>
        <v>46203</v>
      </c>
      <c r="B11" s="29">
        <v>61893</v>
      </c>
      <c r="C11" s="23">
        <v>271701</v>
      </c>
      <c r="D11" s="25">
        <f t="shared" si="2"/>
        <v>0.66883703526828464</v>
      </c>
      <c r="E11" s="29">
        <v>37920</v>
      </c>
      <c r="F11" s="23">
        <f t="shared" si="3"/>
        <v>209683</v>
      </c>
      <c r="G11" s="25">
        <f t="shared" si="4"/>
        <v>0.51547788206719214</v>
      </c>
      <c r="H11" s="41">
        <f t="shared" si="7"/>
        <v>48006</v>
      </c>
      <c r="I11" s="23">
        <v>271769</v>
      </c>
      <c r="J11" s="1129">
        <f t="shared" si="9"/>
        <v>0.66900442853661357</v>
      </c>
      <c r="K11" s="29"/>
      <c r="N11" s="29">
        <f>ROUND(H11-E11,0)</f>
        <v>10086</v>
      </c>
      <c r="O11" s="23">
        <f t="shared" si="5"/>
        <v>62086</v>
      </c>
      <c r="T11" s="676"/>
      <c r="V11" s="764"/>
    </row>
    <row r="12" spans="1:22">
      <c r="A12" s="958">
        <f t="shared" si="6"/>
        <v>46234</v>
      </c>
      <c r="B12" s="29">
        <v>41787</v>
      </c>
      <c r="C12" s="23">
        <v>313488</v>
      </c>
      <c r="D12" s="25">
        <f t="shared" si="2"/>
        <v>0.77170266032213353</v>
      </c>
      <c r="E12" s="29">
        <v>35955</v>
      </c>
      <c r="F12" s="23">
        <f t="shared" si="3"/>
        <v>245638</v>
      </c>
      <c r="G12" s="25">
        <f t="shared" si="4"/>
        <v>0.60386848716977981</v>
      </c>
      <c r="H12" s="41">
        <f t="shared" si="7"/>
        <v>38069</v>
      </c>
      <c r="I12" s="23">
        <v>309838</v>
      </c>
      <c r="J12" s="1129">
        <f t="shared" si="9"/>
        <v>0.7627175804780062</v>
      </c>
      <c r="K12" s="29"/>
      <c r="L12" s="23"/>
      <c r="M12" s="1129"/>
      <c r="N12" s="29">
        <f>ROUND(H12-E12,0)</f>
        <v>2114</v>
      </c>
      <c r="O12" s="23">
        <f t="shared" si="5"/>
        <v>64200</v>
      </c>
      <c r="S12" s="676"/>
      <c r="T12" s="676"/>
    </row>
    <row r="13" spans="1:22">
      <c r="A13" s="958">
        <f t="shared" si="6"/>
        <v>46265</v>
      </c>
      <c r="B13" s="29">
        <v>14358</v>
      </c>
      <c r="C13" s="23">
        <v>327846</v>
      </c>
      <c r="D13" s="25">
        <f t="shared" si="2"/>
        <v>0.80704725659664867</v>
      </c>
      <c r="E13" s="29">
        <v>28415</v>
      </c>
      <c r="F13" s="23">
        <f t="shared" si="3"/>
        <v>274053</v>
      </c>
      <c r="G13" s="25">
        <f t="shared" si="4"/>
        <v>0.6737230009784303</v>
      </c>
      <c r="H13" s="41">
        <f t="shared" si="7"/>
        <v>34878.700000000012</v>
      </c>
      <c r="I13" s="23">
        <v>344716.7</v>
      </c>
      <c r="J13" s="1129">
        <f t="shared" si="9"/>
        <v>0.84857728030248947</v>
      </c>
      <c r="K13" s="29"/>
      <c r="L13" s="23"/>
      <c r="M13" s="25"/>
      <c r="N13" s="29">
        <f>ROUND(H13-E13,0)</f>
        <v>6464</v>
      </c>
      <c r="O13" s="23">
        <f t="shared" ref="O13:O14" si="11">N13+O12</f>
        <v>70664</v>
      </c>
      <c r="S13" s="759"/>
      <c r="T13" s="676"/>
      <c r="V13" s="764">
        <f>F7-I7</f>
        <v>-13486</v>
      </c>
    </row>
    <row r="14" spans="1:22">
      <c r="A14" s="958">
        <f t="shared" si="6"/>
        <v>46295</v>
      </c>
      <c r="B14" s="29">
        <v>12752</v>
      </c>
      <c r="C14" s="23">
        <v>340598</v>
      </c>
      <c r="D14" s="25">
        <f t="shared" si="2"/>
        <v>0.83843841773974781</v>
      </c>
      <c r="E14" s="29">
        <v>26122</v>
      </c>
      <c r="F14" s="23">
        <f t="shared" si="3"/>
        <v>300175</v>
      </c>
      <c r="G14" s="25">
        <f t="shared" si="4"/>
        <v>0.73794047800498552</v>
      </c>
      <c r="H14" s="41">
        <f>I14-I13</f>
        <v>35971.299999999988</v>
      </c>
      <c r="I14" s="23">
        <v>380688</v>
      </c>
      <c r="J14" s="1129">
        <f t="shared" si="9"/>
        <v>0.93712659608250515</v>
      </c>
      <c r="K14" s="29"/>
      <c r="N14" s="29">
        <f>ROUND(H14-E14,0)</f>
        <v>9849</v>
      </c>
      <c r="O14" s="23">
        <f t="shared" si="11"/>
        <v>80513</v>
      </c>
      <c r="T14" s="676"/>
      <c r="V14" s="764"/>
    </row>
    <row r="15" spans="1:22">
      <c r="A15" s="958">
        <f t="shared" si="6"/>
        <v>46326</v>
      </c>
      <c r="B15" s="29">
        <v>6080</v>
      </c>
      <c r="C15" s="23">
        <v>346678</v>
      </c>
      <c r="D15" s="25">
        <f t="shared" si="2"/>
        <v>0.85340534526092426</v>
      </c>
      <c r="E15" s="29">
        <v>22899</v>
      </c>
      <c r="F15" s="23">
        <f t="shared" si="3"/>
        <v>323074</v>
      </c>
      <c r="G15" s="25">
        <f t="shared" si="4"/>
        <v>0.79423463643202363</v>
      </c>
      <c r="H15" s="41">
        <f>I15-I14</f>
        <v>9835</v>
      </c>
      <c r="I15" s="23">
        <v>390523</v>
      </c>
      <c r="J15" s="1129">
        <f t="shared" si="9"/>
        <v>0.96133707834743454</v>
      </c>
      <c r="K15" s="29">
        <v>10483</v>
      </c>
      <c r="L15" s="23">
        <f>I15</f>
        <v>390523</v>
      </c>
      <c r="M15" s="1129">
        <f>J14</f>
        <v>0.93712659608250515</v>
      </c>
      <c r="N15" s="29"/>
      <c r="O15" s="23"/>
      <c r="S15" s="676"/>
      <c r="T15" s="676"/>
      <c r="V15" s="764"/>
    </row>
    <row r="16" spans="1:22">
      <c r="A16" s="958">
        <f t="shared" si="6"/>
        <v>46356</v>
      </c>
      <c r="B16" s="29">
        <v>8998</v>
      </c>
      <c r="C16" s="23">
        <v>355676</v>
      </c>
      <c r="D16" s="25">
        <f t="shared" si="2"/>
        <v>0.87555541332598119</v>
      </c>
      <c r="E16" s="29">
        <v>19331</v>
      </c>
      <c r="F16" s="23">
        <f t="shared" si="3"/>
        <v>342405</v>
      </c>
      <c r="G16" s="25">
        <f t="shared" si="4"/>
        <v>0.84175733945630749</v>
      </c>
      <c r="H16" s="29"/>
      <c r="I16" s="23"/>
      <c r="J16" s="25"/>
      <c r="K16" s="29">
        <v>5003</v>
      </c>
      <c r="L16" s="23">
        <f>L15+K16</f>
        <v>395526</v>
      </c>
      <c r="M16" s="1129">
        <f>IF(K16="",M15,L16/$E$1)</f>
        <v>0.97234828184692235</v>
      </c>
      <c r="N16" s="29"/>
      <c r="O16" s="23"/>
      <c r="T16" s="676"/>
      <c r="U16" s="676"/>
    </row>
    <row r="17" spans="1:22">
      <c r="A17" s="958">
        <f t="shared" si="6"/>
        <v>46387</v>
      </c>
      <c r="B17" s="29">
        <v>11379</v>
      </c>
      <c r="C17" s="23">
        <v>367055</v>
      </c>
      <c r="D17" s="25">
        <f t="shared" si="2"/>
        <v>0.90356670744826195</v>
      </c>
      <c r="E17" s="29">
        <v>14421</v>
      </c>
      <c r="F17" s="23">
        <f t="shared" si="3"/>
        <v>356826</v>
      </c>
      <c r="G17" s="25">
        <f t="shared" si="4"/>
        <v>0.87720945783162152</v>
      </c>
      <c r="H17" s="29"/>
      <c r="I17" s="23"/>
      <c r="J17" s="25"/>
      <c r="K17" s="29">
        <v>8235</v>
      </c>
      <c r="L17" s="23">
        <f t="shared" ref="L17:L18" si="12">L16+K17</f>
        <v>403761</v>
      </c>
      <c r="M17" s="1129">
        <f t="shared" ref="M17:M18" si="13">IF(K17="",M16,L17/$E$1)</f>
        <v>0.99259293858506192</v>
      </c>
      <c r="N17" s="29"/>
      <c r="O17" s="23"/>
      <c r="T17" s="676"/>
      <c r="V17" s="676"/>
    </row>
    <row r="18" spans="1:22">
      <c r="A18" s="958">
        <f t="shared" si="6"/>
        <v>46418</v>
      </c>
      <c r="B18" s="29">
        <v>6040</v>
      </c>
      <c r="C18" s="23">
        <v>373095</v>
      </c>
      <c r="D18" s="25">
        <f t="shared" si="2"/>
        <v>0.91843516834100958</v>
      </c>
      <c r="E18" s="29">
        <v>13812</v>
      </c>
      <c r="F18" s="23">
        <f t="shared" si="3"/>
        <v>370638</v>
      </c>
      <c r="G18" s="25">
        <f t="shared" si="4"/>
        <v>0.91116443037165595</v>
      </c>
      <c r="H18" s="29"/>
      <c r="I18" s="23"/>
      <c r="J18" s="25"/>
      <c r="K18" s="29">
        <v>3013</v>
      </c>
      <c r="L18" s="23">
        <f t="shared" si="12"/>
        <v>406774</v>
      </c>
      <c r="M18" s="1129">
        <f t="shared" si="13"/>
        <v>1</v>
      </c>
      <c r="N18" s="29"/>
      <c r="O18" s="23"/>
      <c r="T18" s="676"/>
      <c r="V18" s="676"/>
    </row>
    <row r="19" spans="1:22">
      <c r="A19" s="958">
        <f t="shared" si="6"/>
        <v>46446</v>
      </c>
      <c r="B19" s="29">
        <v>8963</v>
      </c>
      <c r="C19" s="23">
        <v>382058</v>
      </c>
      <c r="D19" s="25">
        <f t="shared" si="2"/>
        <v>0.94049907810619138</v>
      </c>
      <c r="E19" s="29">
        <v>10254</v>
      </c>
      <c r="F19" s="23">
        <f t="shared" si="3"/>
        <v>380892</v>
      </c>
      <c r="G19" s="25">
        <f t="shared" si="4"/>
        <v>0.93637253118439234</v>
      </c>
      <c r="H19" s="29"/>
      <c r="I19" s="23"/>
      <c r="J19" s="25"/>
      <c r="K19" s="29"/>
      <c r="L19" s="23"/>
      <c r="M19" s="1129"/>
      <c r="N19" s="29"/>
      <c r="O19" s="23"/>
      <c r="T19" s="676"/>
    </row>
    <row r="20" spans="1:22">
      <c r="A20" s="958">
        <f t="shared" si="6"/>
        <v>46477</v>
      </c>
      <c r="B20" s="29">
        <v>10340</v>
      </c>
      <c r="C20" s="23">
        <v>392398</v>
      </c>
      <c r="D20" s="25">
        <f t="shared" si="2"/>
        <v>0.96595270155503421</v>
      </c>
      <c r="E20" s="29">
        <v>15337</v>
      </c>
      <c r="F20" s="23">
        <f t="shared" si="3"/>
        <v>396229</v>
      </c>
      <c r="G20" s="25">
        <f t="shared" si="4"/>
        <v>0.97407651423148978</v>
      </c>
      <c r="H20" s="29"/>
      <c r="I20" s="23"/>
      <c r="J20" s="25"/>
      <c r="K20" s="29"/>
      <c r="L20" s="23"/>
      <c r="M20" s="1129"/>
      <c r="N20" s="29"/>
      <c r="O20" s="23"/>
      <c r="T20" s="676"/>
      <c r="U20" s="550"/>
      <c r="V20" s="676"/>
    </row>
    <row r="21" spans="1:22">
      <c r="A21" s="958">
        <f t="shared" si="6"/>
        <v>46507</v>
      </c>
      <c r="B21" s="29">
        <v>12861</v>
      </c>
      <c r="C21" s="23">
        <v>405259</v>
      </c>
      <c r="D21" s="25">
        <f t="shared" si="2"/>
        <v>0.99761218426060183</v>
      </c>
      <c r="E21" s="29">
        <v>7730</v>
      </c>
      <c r="F21" s="23">
        <f t="shared" si="3"/>
        <v>403959</v>
      </c>
      <c r="G21" s="25">
        <f t="shared" si="4"/>
        <v>0.99307969535909379</v>
      </c>
      <c r="H21" s="29"/>
      <c r="I21" s="23"/>
      <c r="J21" s="25"/>
      <c r="K21" s="29"/>
      <c r="L21" s="23"/>
      <c r="M21" s="1129"/>
      <c r="N21" s="29"/>
      <c r="O21" s="23"/>
      <c r="T21" s="676"/>
    </row>
    <row r="22" spans="1:22">
      <c r="A22" s="958">
        <f t="shared" si="6"/>
        <v>46538</v>
      </c>
      <c r="B22" s="29">
        <v>970</v>
      </c>
      <c r="C22" s="23">
        <v>406229</v>
      </c>
      <c r="D22" s="25">
        <f t="shared" si="2"/>
        <v>1</v>
      </c>
      <c r="E22" s="29">
        <v>2815</v>
      </c>
      <c r="F22" s="23">
        <f t="shared" si="3"/>
        <v>406774</v>
      </c>
      <c r="G22" s="25">
        <f t="shared" si="4"/>
        <v>1</v>
      </c>
      <c r="H22" s="29"/>
      <c r="I22" s="23"/>
      <c r="J22" s="25"/>
      <c r="K22" s="29"/>
      <c r="L22" s="23"/>
      <c r="M22" s="25"/>
      <c r="N22" s="29"/>
      <c r="O22" s="23"/>
      <c r="R22" s="2" t="s">
        <v>672</v>
      </c>
      <c r="T22" s="676"/>
      <c r="V22" s="549">
        <f>+Progress!P41</f>
        <v>390523</v>
      </c>
    </row>
    <row r="23" spans="1:22">
      <c r="A23" s="958">
        <f t="shared" si="6"/>
        <v>46568</v>
      </c>
      <c r="B23" s="41"/>
      <c r="C23" s="23"/>
      <c r="D23" s="25"/>
      <c r="E23" s="29"/>
      <c r="F23" s="23"/>
      <c r="G23" s="25"/>
      <c r="H23" s="29"/>
      <c r="I23" s="23"/>
      <c r="J23" s="25"/>
      <c r="K23" s="29"/>
      <c r="L23" s="23"/>
      <c r="M23" s="25"/>
      <c r="N23" s="29"/>
      <c r="O23" s="23"/>
      <c r="T23" s="676"/>
      <c r="U23" s="676"/>
      <c r="V23" s="676">
        <f>+V22-I7</f>
        <v>294497</v>
      </c>
    </row>
    <row r="24" spans="1:22">
      <c r="A24" s="958"/>
      <c r="B24" s="41"/>
      <c r="C24" s="23"/>
      <c r="D24" s="25"/>
      <c r="E24" s="29"/>
      <c r="F24" s="23"/>
      <c r="G24" s="25"/>
      <c r="H24" s="29"/>
      <c r="I24" s="23"/>
      <c r="J24" s="25"/>
      <c r="K24" s="29"/>
      <c r="L24" s="23"/>
      <c r="M24" s="25"/>
      <c r="N24" s="29"/>
      <c r="O24" s="23"/>
      <c r="T24" s="676"/>
    </row>
    <row r="25" spans="1:22">
      <c r="A25" s="958"/>
      <c r="B25" s="41"/>
      <c r="C25" s="23"/>
      <c r="D25" s="25"/>
      <c r="E25" s="29"/>
      <c r="F25" s="23"/>
      <c r="G25" s="25"/>
      <c r="H25" s="29"/>
      <c r="I25" s="23"/>
      <c r="J25" s="1121"/>
      <c r="K25" s="29"/>
      <c r="L25" s="23"/>
      <c r="M25" s="25"/>
      <c r="N25" s="29"/>
      <c r="O25" s="23"/>
      <c r="T25" s="676"/>
    </row>
    <row r="26" spans="1:22">
      <c r="A26" s="958"/>
      <c r="B26" s="41"/>
      <c r="C26" s="23"/>
      <c r="D26" s="25"/>
      <c r="E26" s="29"/>
      <c r="F26" s="23"/>
      <c r="G26" s="25"/>
      <c r="H26" s="29"/>
      <c r="I26" s="23"/>
      <c r="J26" s="25"/>
      <c r="K26" s="29"/>
      <c r="L26" s="23"/>
      <c r="M26" s="25"/>
      <c r="N26" s="29"/>
      <c r="O26" s="23"/>
      <c r="T26" s="676"/>
    </row>
    <row r="27" spans="1:22">
      <c r="A27" s="958"/>
      <c r="B27" s="41"/>
      <c r="C27" s="23"/>
      <c r="D27" s="25"/>
      <c r="E27" s="29"/>
      <c r="F27" s="23"/>
      <c r="G27" s="25"/>
      <c r="H27" s="29"/>
      <c r="I27" s="23"/>
      <c r="J27" s="25"/>
      <c r="K27" s="29"/>
      <c r="L27" s="676"/>
      <c r="M27" s="25"/>
      <c r="N27" s="29"/>
      <c r="O27" s="23"/>
      <c r="T27" s="676"/>
    </row>
    <row r="28" spans="1:22">
      <c r="A28" s="958"/>
      <c r="B28" s="41"/>
      <c r="C28" s="23"/>
      <c r="D28" s="25"/>
      <c r="E28" s="29"/>
      <c r="F28" s="23"/>
      <c r="G28" s="25"/>
      <c r="H28" s="29"/>
      <c r="I28" s="23"/>
      <c r="J28" s="25"/>
      <c r="K28" s="29"/>
      <c r="L28" s="23"/>
      <c r="M28" s="25"/>
      <c r="N28" s="29"/>
      <c r="O28" s="23"/>
      <c r="T28" s="676"/>
    </row>
    <row r="29" spans="1:22">
      <c r="A29" s="958"/>
      <c r="B29" s="41"/>
      <c r="C29" s="23"/>
      <c r="D29" s="24"/>
      <c r="E29" s="29"/>
      <c r="F29" s="23"/>
      <c r="G29" s="24"/>
      <c r="H29" s="29"/>
      <c r="I29" s="23"/>
      <c r="J29" s="25"/>
      <c r="K29" s="677"/>
      <c r="L29" s="23"/>
      <c r="M29" s="25"/>
      <c r="N29" s="29"/>
      <c r="O29" s="23"/>
      <c r="S29" s="676"/>
      <c r="T29" s="676"/>
    </row>
    <row r="30" spans="1:22">
      <c r="A30" s="958"/>
      <c r="B30" s="41"/>
      <c r="C30" s="23"/>
      <c r="D30" s="24"/>
      <c r="E30" s="29"/>
      <c r="F30" s="23"/>
      <c r="G30" s="24"/>
      <c r="H30" s="29"/>
      <c r="I30" s="23"/>
      <c r="J30" s="24"/>
      <c r="K30" s="677"/>
      <c r="L30" s="23"/>
      <c r="M30" s="25"/>
      <c r="N30" s="29"/>
      <c r="O30" s="23"/>
      <c r="R30" s="676"/>
      <c r="T30" s="676"/>
    </row>
    <row r="31" spans="1:22">
      <c r="A31" s="958"/>
      <c r="B31" s="41"/>
      <c r="C31" s="23"/>
      <c r="D31" s="24"/>
      <c r="E31" s="29"/>
      <c r="F31" s="23"/>
      <c r="G31" s="24"/>
      <c r="H31" s="29"/>
      <c r="I31" s="23"/>
      <c r="J31" s="24"/>
      <c r="K31" s="677"/>
      <c r="L31" s="23"/>
      <c r="M31" s="25"/>
      <c r="N31" s="29"/>
      <c r="O31" s="23"/>
      <c r="T31" s="676"/>
    </row>
    <row r="32" spans="1:22">
      <c r="A32" s="958"/>
      <c r="B32" s="29"/>
      <c r="C32" s="23"/>
      <c r="D32" s="24"/>
      <c r="E32" s="29"/>
      <c r="F32" s="23"/>
      <c r="G32" s="24"/>
      <c r="H32" s="29"/>
      <c r="I32" s="23"/>
      <c r="J32" s="24"/>
      <c r="K32" s="677"/>
      <c r="L32" s="23"/>
      <c r="M32" s="25"/>
      <c r="N32" s="29"/>
      <c r="O32" s="23"/>
      <c r="T32" s="676"/>
    </row>
    <row r="33" spans="1:50">
      <c r="A33" s="958"/>
      <c r="B33" s="29"/>
      <c r="C33" s="23"/>
      <c r="D33" s="24"/>
      <c r="E33" s="29"/>
      <c r="F33" s="23"/>
      <c r="G33" s="24"/>
      <c r="H33" s="29"/>
      <c r="I33" s="23"/>
      <c r="J33" s="24"/>
      <c r="K33" s="29"/>
      <c r="L33" s="23"/>
      <c r="M33" s="25"/>
      <c r="N33" s="29"/>
      <c r="O33" s="26"/>
    </row>
    <row r="34" spans="1:50">
      <c r="A34" s="958"/>
      <c r="B34" s="29"/>
      <c r="C34" s="23"/>
      <c r="D34" s="24"/>
      <c r="E34" s="29"/>
      <c r="F34" s="23"/>
      <c r="G34" s="24"/>
      <c r="H34" s="29"/>
      <c r="I34" s="23"/>
      <c r="J34" s="24"/>
      <c r="K34" s="29"/>
      <c r="L34" s="23"/>
      <c r="M34" s="25"/>
      <c r="N34" s="29"/>
      <c r="O34" s="26"/>
    </row>
    <row r="35" spans="1:50">
      <c r="A35" s="958"/>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 thickBot="1"/>
    <row r="38" spans="1:50" ht="27" thickTop="1" thickBot="1">
      <c r="B38" s="2067" t="s">
        <v>673</v>
      </c>
      <c r="C38" s="2068"/>
      <c r="D38" s="2068"/>
      <c r="E38" s="2068"/>
      <c r="F38" s="2068"/>
      <c r="G38" s="2068"/>
      <c r="H38" s="2068"/>
      <c r="I38" s="2068"/>
      <c r="J38" s="2068"/>
      <c r="K38" s="2068"/>
      <c r="L38" s="2068"/>
      <c r="M38" s="2068"/>
      <c r="N38" s="2068"/>
      <c r="O38" s="2068"/>
      <c r="P38" s="2068"/>
      <c r="Q38" s="2069"/>
      <c r="R38" s="30"/>
      <c r="S38" s="30"/>
      <c r="T38" s="30"/>
      <c r="U38" s="30"/>
      <c r="V38" s="30"/>
      <c r="W38" s="31"/>
      <c r="X38" s="1"/>
      <c r="Y38" s="1"/>
      <c r="Z38" s="1"/>
    </row>
    <row r="39" spans="1:50" ht="15" thickTop="1">
      <c r="B39" s="549"/>
    </row>
    <row r="40" spans="1:50">
      <c r="B40" s="549"/>
      <c r="E40" s="83"/>
      <c r="F40" s="531"/>
      <c r="G40" s="83"/>
      <c r="H40" s="531"/>
      <c r="I40" s="531"/>
      <c r="K40" s="531"/>
      <c r="L40" s="549"/>
      <c r="M40" s="570"/>
      <c r="N40" s="531"/>
      <c r="O40" s="958"/>
      <c r="P40" s="958"/>
      <c r="Q40" s="958"/>
      <c r="R40" s="958"/>
      <c r="S40" s="958"/>
      <c r="T40" s="958"/>
      <c r="U40" s="958"/>
      <c r="V40" s="958"/>
      <c r="W40" s="958"/>
      <c r="X40" s="958"/>
      <c r="Y40" s="958"/>
      <c r="Z40" s="958"/>
      <c r="AA40" s="958"/>
      <c r="AB40" s="958"/>
      <c r="AC40" s="958"/>
      <c r="AD40" s="958"/>
      <c r="AE40" s="958"/>
      <c r="AF40" s="958"/>
      <c r="AG40" s="958"/>
      <c r="AH40" s="958"/>
      <c r="AI40" s="958"/>
      <c r="AJ40" s="958"/>
      <c r="AK40" s="958"/>
      <c r="AL40" s="958"/>
      <c r="AM40" s="958"/>
      <c r="AN40" s="958"/>
      <c r="AO40" s="958"/>
      <c r="AP40" s="958"/>
      <c r="AQ40" s="958"/>
      <c r="AR40" s="958"/>
      <c r="AS40" s="958"/>
      <c r="AT40" s="958"/>
      <c r="AU40" s="531"/>
      <c r="AV40" s="531"/>
      <c r="AW40" s="531"/>
      <c r="AX40" s="531"/>
    </row>
    <row r="41" spans="1:50">
      <c r="B41" s="549"/>
      <c r="E41" s="83"/>
      <c r="F41" s="531"/>
      <c r="G41" s="83"/>
      <c r="H41" s="531"/>
      <c r="I41" s="531"/>
      <c r="J41" s="570"/>
      <c r="K41" s="531"/>
      <c r="L41" s="570"/>
      <c r="M41" s="570"/>
      <c r="N41" s="531"/>
      <c r="O41" s="531"/>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row>
    <row r="42" spans="1:50">
      <c r="B42" s="549"/>
      <c r="E42" s="83"/>
      <c r="F42" s="531"/>
      <c r="G42" s="83"/>
      <c r="H42" s="531"/>
      <c r="I42" s="531"/>
      <c r="J42" s="570"/>
      <c r="K42" s="531"/>
      <c r="L42" s="570"/>
      <c r="M42" s="570"/>
      <c r="N42" s="531"/>
      <c r="O42" s="531"/>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31"/>
    </row>
    <row r="43" spans="1:50">
      <c r="B43" s="549"/>
      <c r="E43" s="83"/>
      <c r="F43" s="531"/>
      <c r="G43" s="83"/>
      <c r="H43" s="531"/>
      <c r="I43" s="531"/>
      <c r="J43" s="570"/>
      <c r="K43" s="531"/>
      <c r="L43" s="550">
        <v>406774</v>
      </c>
      <c r="M43" s="570"/>
      <c r="N43" s="531"/>
      <c r="O43" s="531"/>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31"/>
      <c r="AO43" s="531"/>
      <c r="AP43" s="531"/>
      <c r="AQ43" s="531"/>
      <c r="AR43" s="531"/>
      <c r="AS43" s="531"/>
      <c r="AT43" s="531"/>
      <c r="AU43" s="531"/>
      <c r="AV43" s="531"/>
      <c r="AW43" s="531"/>
    </row>
    <row r="44" spans="1:50">
      <c r="E44" s="83"/>
      <c r="F44" s="531"/>
      <c r="G44" s="83"/>
      <c r="H44" s="531"/>
      <c r="I44" s="531"/>
      <c r="J44" s="570"/>
      <c r="K44" s="531"/>
      <c r="L44" s="764">
        <f>L23-L43</f>
        <v>-406774</v>
      </c>
      <c r="M44" s="570"/>
      <c r="N44" s="531"/>
      <c r="O44" s="531"/>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31"/>
      <c r="AO44" s="531"/>
      <c r="AP44" s="531"/>
      <c r="AQ44" s="531"/>
      <c r="AR44" s="531"/>
      <c r="AS44" s="531"/>
      <c r="AT44" s="531"/>
      <c r="AU44" s="531"/>
      <c r="AV44" s="531"/>
      <c r="AW44" s="531"/>
      <c r="AX44" s="531"/>
    </row>
    <row r="45" spans="1:50">
      <c r="P45" s="1120"/>
      <c r="Q45" s="1120"/>
      <c r="R45" s="1120"/>
      <c r="S45" s="1120"/>
      <c r="T45" s="1120"/>
      <c r="U45" s="1120"/>
      <c r="V45" s="1120"/>
      <c r="W45" s="1120"/>
      <c r="X45" s="549"/>
      <c r="Y45" s="549"/>
      <c r="Z45" s="549"/>
      <c r="AA45" s="549"/>
      <c r="AB45" s="549"/>
      <c r="AC45" s="549"/>
      <c r="AD45" s="549"/>
      <c r="AE45" s="549"/>
      <c r="AF45" s="549"/>
      <c r="AG45" s="549"/>
      <c r="AH45" s="549"/>
      <c r="AI45" s="549"/>
      <c r="AJ45" s="549"/>
      <c r="AK45" s="549"/>
      <c r="AL45" s="549"/>
      <c r="AM45" s="549"/>
    </row>
    <row r="46" spans="1:50">
      <c r="A46" s="648"/>
      <c r="B46" s="83"/>
      <c r="C46" s="83"/>
      <c r="K46" s="531"/>
      <c r="L46">
        <f>+L44/5</f>
        <v>-81354.8</v>
      </c>
    </row>
    <row r="47" spans="1:50">
      <c r="A47" s="648"/>
      <c r="B47" s="531"/>
      <c r="C47" s="83"/>
      <c r="H47" s="550"/>
      <c r="I47" s="549"/>
      <c r="J47" s="549"/>
      <c r="K47" s="549"/>
      <c r="L47">
        <v>2204.7400000000025</v>
      </c>
    </row>
    <row r="48" spans="1:50">
      <c r="A48" s="648"/>
      <c r="B48" s="83"/>
      <c r="C48" s="83"/>
      <c r="H48" s="550"/>
      <c r="K48" s="549"/>
    </row>
    <row r="49" spans="1:36">
      <c r="A49" s="648"/>
      <c r="B49" s="531"/>
      <c r="C49" s="83"/>
      <c r="K49" s="549"/>
      <c r="L49" s="549"/>
      <c r="M49" s="83"/>
      <c r="N49" s="83"/>
      <c r="O49" s="83"/>
      <c r="P49" s="83"/>
      <c r="Q49" s="83"/>
      <c r="R49" s="83"/>
      <c r="S49" s="83"/>
      <c r="T49" s="83"/>
      <c r="U49" s="83"/>
      <c r="V49" s="83"/>
      <c r="W49" s="83"/>
      <c r="X49" s="83"/>
      <c r="Y49" s="83"/>
      <c r="Z49" s="83"/>
      <c r="AA49" s="83"/>
      <c r="AB49" s="83"/>
      <c r="AC49" s="83"/>
      <c r="AD49" s="83"/>
      <c r="AE49" s="83"/>
      <c r="AF49" s="83"/>
      <c r="AG49" s="83"/>
      <c r="AH49" s="83"/>
      <c r="AI49" s="83"/>
      <c r="AJ49" s="83"/>
    </row>
    <row r="50" spans="1:36">
      <c r="A50" s="648"/>
      <c r="B50" s="531"/>
      <c r="C50" s="83"/>
      <c r="D50" s="531"/>
      <c r="E50" s="531"/>
      <c r="F50" s="531"/>
      <c r="K50" s="549"/>
      <c r="L50" s="531"/>
      <c r="M50" s="531"/>
      <c r="N50" s="531"/>
      <c r="O50" s="531"/>
      <c r="P50" s="531"/>
      <c r="Q50" s="531"/>
      <c r="R50" s="531"/>
      <c r="S50" s="531"/>
      <c r="T50" s="531"/>
      <c r="U50" s="531"/>
      <c r="V50" s="531"/>
      <c r="W50" s="531"/>
      <c r="X50" s="531"/>
      <c r="Y50" s="531"/>
      <c r="Z50" s="531"/>
      <c r="AA50" s="531"/>
      <c r="AB50" s="531"/>
      <c r="AC50" s="531"/>
      <c r="AD50" s="531"/>
      <c r="AE50" s="531"/>
      <c r="AF50" s="531"/>
      <c r="AG50" s="531"/>
      <c r="AH50" s="531"/>
      <c r="AI50" s="531"/>
    </row>
    <row r="51" spans="1:36">
      <c r="B51" s="570"/>
      <c r="C51" s="83"/>
      <c r="D51" s="531"/>
      <c r="E51" s="531"/>
      <c r="F51" s="531"/>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531"/>
    </row>
    <row r="52" spans="1:36">
      <c r="A52" s="649"/>
      <c r="B52" s="531"/>
      <c r="C52" s="83"/>
      <c r="D52" s="531"/>
      <c r="E52" s="531"/>
      <c r="F52" s="531"/>
      <c r="K52" s="549"/>
      <c r="L52" s="531"/>
      <c r="M52" s="531"/>
      <c r="N52" s="531"/>
      <c r="O52" s="531"/>
      <c r="P52" s="531"/>
      <c r="Q52" s="531"/>
      <c r="R52" s="531"/>
      <c r="S52" s="531"/>
      <c r="T52" s="531"/>
      <c r="U52" s="531"/>
      <c r="V52" s="531"/>
      <c r="W52" s="531"/>
      <c r="X52" s="531"/>
      <c r="Y52" s="531"/>
      <c r="Z52" s="531"/>
      <c r="AA52" s="531"/>
      <c r="AB52" s="531"/>
      <c r="AC52" s="531"/>
      <c r="AD52" s="531"/>
      <c r="AE52" s="531"/>
      <c r="AF52" s="531"/>
      <c r="AG52" s="531"/>
      <c r="AH52" s="531"/>
    </row>
    <row r="53" spans="1:36">
      <c r="A53" s="650"/>
      <c r="B53" s="570"/>
      <c r="C53" s="83"/>
      <c r="D53" s="531"/>
      <c r="E53" s="531"/>
      <c r="F53" s="531"/>
      <c r="K53" s="549"/>
      <c r="L53" s="531"/>
      <c r="M53" s="531"/>
      <c r="N53" s="531"/>
      <c r="O53" s="531"/>
      <c r="P53" s="531"/>
      <c r="Q53" s="531"/>
      <c r="R53" s="531"/>
      <c r="S53" s="531"/>
      <c r="T53" s="531"/>
      <c r="U53" s="531"/>
      <c r="V53" s="531"/>
      <c r="W53" s="531"/>
      <c r="X53" s="531"/>
      <c r="Y53" s="531"/>
      <c r="Z53" s="531"/>
      <c r="AA53" s="531"/>
      <c r="AB53" s="531"/>
      <c r="AC53" s="531"/>
      <c r="AD53" s="531"/>
      <c r="AE53" s="531"/>
      <c r="AF53" s="531"/>
      <c r="AG53" s="531"/>
      <c r="AH53" s="531"/>
      <c r="AI53" s="531"/>
    </row>
    <row r="54" spans="1:36">
      <c r="A54" s="651"/>
      <c r="B54" s="570"/>
      <c r="C54" s="83"/>
      <c r="D54" s="531"/>
      <c r="E54" s="531"/>
      <c r="F54" s="531"/>
      <c r="I54" s="549"/>
      <c r="K54" s="549"/>
    </row>
    <row r="55" spans="1:36">
      <c r="A55" s="651"/>
      <c r="B55" s="531"/>
      <c r="C55" s="83"/>
      <c r="D55" s="9"/>
      <c r="E55" s="531"/>
      <c r="H55" s="5"/>
      <c r="I55" s="549"/>
      <c r="K55" s="549"/>
    </row>
    <row r="56" spans="1:36">
      <c r="A56" s="651"/>
      <c r="B56" s="531"/>
      <c r="C56" s="645"/>
      <c r="D56" s="9"/>
      <c r="E56" s="531"/>
      <c r="H56" s="5"/>
      <c r="I56" s="83"/>
      <c r="K56" s="549"/>
    </row>
    <row r="57" spans="1:36">
      <c r="A57" s="651"/>
      <c r="B57" s="549"/>
      <c r="D57" s="16"/>
      <c r="E57" s="16"/>
      <c r="H57" s="5"/>
      <c r="I57" s="83"/>
      <c r="K57" s="549"/>
    </row>
    <row r="58" spans="1:36">
      <c r="A58" s="651"/>
      <c r="B58" s="549"/>
      <c r="H58" s="5"/>
      <c r="I58" s="83"/>
      <c r="K58" s="549"/>
    </row>
    <row r="59" spans="1:36">
      <c r="A59" s="651"/>
      <c r="B59" s="549"/>
      <c r="H59" s="5"/>
      <c r="I59" s="83"/>
      <c r="K59" s="549"/>
    </row>
    <row r="60" spans="1:36">
      <c r="A60" s="651"/>
      <c r="B60" s="549"/>
      <c r="H60" s="5"/>
      <c r="I60" s="83"/>
      <c r="K60" s="549"/>
    </row>
    <row r="61" spans="1:36">
      <c r="B61" s="549"/>
      <c r="I61" s="83"/>
      <c r="K61" s="549"/>
    </row>
    <row r="62" spans="1:36">
      <c r="B62" s="549"/>
      <c r="I62" s="83"/>
      <c r="K62" s="549"/>
    </row>
    <row r="63" spans="1:36">
      <c r="B63" s="549"/>
      <c r="I63" s="83"/>
      <c r="K63" s="549"/>
    </row>
    <row r="64" spans="1:36">
      <c r="I64" s="83"/>
      <c r="K64" s="549"/>
    </row>
    <row r="65" spans="9:11">
      <c r="I65" s="83"/>
      <c r="K65" s="549"/>
    </row>
    <row r="66" spans="9:11">
      <c r="I66" s="83"/>
      <c r="K66" s="549"/>
    </row>
    <row r="67" spans="9:11">
      <c r="I67" s="83"/>
      <c r="K67" s="549"/>
    </row>
    <row r="68" spans="9:11">
      <c r="I68" s="83"/>
      <c r="K68" s="549"/>
    </row>
    <row r="69" spans="9:11">
      <c r="I69" s="83"/>
      <c r="K69" s="531"/>
    </row>
    <row r="70" spans="9:11">
      <c r="I70" s="83"/>
    </row>
    <row r="71" spans="9:11">
      <c r="I71" s="83"/>
    </row>
    <row r="72" spans="9:11">
      <c r="I72" s="83"/>
    </row>
    <row r="73" spans="9:11">
      <c r="I73" s="83"/>
    </row>
    <row r="74" spans="9:11">
      <c r="I74" s="8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A22" zoomScale="70" zoomScaleNormal="70" workbookViewId="0">
      <selection activeCell="M35" sqref="M35"/>
    </sheetView>
  </sheetViews>
  <sheetFormatPr defaultColWidth="9.109375" defaultRowHeight="14.4"/>
  <cols>
    <col min="1" max="1" width="22.33203125" style="3" bestFit="1" customWidth="1"/>
    <col min="2" max="26" width="7.6640625" style="3" customWidth="1"/>
    <col min="27" max="40" width="5.6640625" style="3" customWidth="1"/>
    <col min="41" max="16384" width="9.109375" style="3"/>
  </cols>
  <sheetData>
    <row r="1" spans="1:26" ht="34.5" customHeight="1">
      <c r="A1" s="2110" t="s">
        <v>689</v>
      </c>
      <c r="B1" s="2111"/>
      <c r="C1" s="2111"/>
      <c r="D1" s="2111"/>
      <c r="E1" s="2111"/>
      <c r="F1" s="2111"/>
      <c r="G1" s="2111"/>
      <c r="H1" s="2111"/>
      <c r="I1" s="2111"/>
      <c r="J1" s="2111"/>
      <c r="K1" s="2111"/>
      <c r="L1" s="2111"/>
      <c r="M1" s="2111"/>
      <c r="N1" s="2111"/>
      <c r="O1" s="2111"/>
      <c r="P1" s="2111"/>
      <c r="Q1" s="2111"/>
      <c r="R1" s="2111"/>
      <c r="S1" s="2111"/>
      <c r="T1" s="2111"/>
      <c r="U1" s="2111"/>
      <c r="V1" s="2111"/>
      <c r="W1" s="2111"/>
      <c r="X1" s="2111"/>
      <c r="Y1" s="2111"/>
      <c r="Z1" s="2111"/>
    </row>
    <row r="2" spans="1:26" ht="59.7" customHeight="1">
      <c r="A2" s="51" t="s">
        <v>690</v>
      </c>
      <c r="B2" s="565">
        <f>+'EV-Chart Data'!A4</f>
        <v>45981</v>
      </c>
      <c r="C2" s="565">
        <f t="shared" ref="C2:T2" si="0">EOMONTH(B2,1)</f>
        <v>46022</v>
      </c>
      <c r="D2" s="565">
        <f t="shared" si="0"/>
        <v>46053</v>
      </c>
      <c r="E2" s="565">
        <f t="shared" si="0"/>
        <v>46081</v>
      </c>
      <c r="F2" s="565">
        <f t="shared" si="0"/>
        <v>46112</v>
      </c>
      <c r="G2" s="565">
        <f t="shared" si="0"/>
        <v>46142</v>
      </c>
      <c r="H2" s="565">
        <f t="shared" si="0"/>
        <v>46173</v>
      </c>
      <c r="I2" s="565">
        <f t="shared" si="0"/>
        <v>46203</v>
      </c>
      <c r="J2" s="565">
        <f t="shared" si="0"/>
        <v>46234</v>
      </c>
      <c r="K2" s="565">
        <f t="shared" si="0"/>
        <v>46265</v>
      </c>
      <c r="L2" s="565">
        <f t="shared" si="0"/>
        <v>46295</v>
      </c>
      <c r="M2" s="565">
        <f t="shared" si="0"/>
        <v>46326</v>
      </c>
      <c r="N2" s="565">
        <f t="shared" si="0"/>
        <v>46356</v>
      </c>
      <c r="O2" s="565">
        <f t="shared" si="0"/>
        <v>46387</v>
      </c>
      <c r="P2" s="565">
        <f t="shared" si="0"/>
        <v>46418</v>
      </c>
      <c r="Q2" s="565">
        <f t="shared" si="0"/>
        <v>46446</v>
      </c>
      <c r="R2" s="565">
        <f t="shared" si="0"/>
        <v>46477</v>
      </c>
      <c r="S2" s="565">
        <f t="shared" si="0"/>
        <v>46507</v>
      </c>
      <c r="T2" s="565">
        <f t="shared" si="0"/>
        <v>46538</v>
      </c>
      <c r="U2" s="565"/>
      <c r="V2" s="565"/>
      <c r="W2" s="565"/>
      <c r="X2" s="565"/>
      <c r="Y2" s="565"/>
      <c r="Z2" s="565"/>
    </row>
    <row r="3" spans="1:26" ht="34.5" customHeight="1">
      <c r="A3" s="52" t="s">
        <v>691</v>
      </c>
      <c r="B3" s="53">
        <v>12</v>
      </c>
      <c r="C3" s="53">
        <v>12</v>
      </c>
      <c r="D3" s="53">
        <v>12</v>
      </c>
      <c r="E3" s="53">
        <v>12</v>
      </c>
      <c r="F3" s="53">
        <v>12</v>
      </c>
      <c r="G3" s="53">
        <v>12</v>
      </c>
      <c r="H3" s="53">
        <v>12</v>
      </c>
      <c r="I3" s="53">
        <v>12</v>
      </c>
      <c r="J3" s="53">
        <v>12</v>
      </c>
      <c r="K3" s="53">
        <v>12</v>
      </c>
      <c r="L3" s="53">
        <v>12</v>
      </c>
      <c r="M3" s="53">
        <v>12</v>
      </c>
      <c r="N3" s="53">
        <v>12</v>
      </c>
      <c r="O3" s="53">
        <v>12</v>
      </c>
      <c r="P3" s="53">
        <v>12</v>
      </c>
      <c r="Q3" s="53">
        <v>12</v>
      </c>
      <c r="R3" s="53">
        <v>12</v>
      </c>
      <c r="S3" s="53">
        <v>12</v>
      </c>
      <c r="T3" s="53">
        <v>12</v>
      </c>
      <c r="U3" s="53"/>
      <c r="V3" s="53"/>
      <c r="W3" s="53"/>
      <c r="X3" s="53"/>
      <c r="Y3" s="53"/>
      <c r="Z3" s="53"/>
    </row>
    <row r="4" spans="1:26" ht="34.5" customHeight="1">
      <c r="A4" s="52" t="s">
        <v>692</v>
      </c>
      <c r="B4" s="53">
        <f>B3</f>
        <v>12</v>
      </c>
      <c r="C4" s="53">
        <f>B4+C3</f>
        <v>24</v>
      </c>
      <c r="D4" s="53">
        <f t="shared" ref="D4:T4" si="1">C4+D3</f>
        <v>36</v>
      </c>
      <c r="E4" s="53">
        <f t="shared" si="1"/>
        <v>48</v>
      </c>
      <c r="F4" s="53">
        <f t="shared" si="1"/>
        <v>60</v>
      </c>
      <c r="G4" s="53">
        <f t="shared" si="1"/>
        <v>72</v>
      </c>
      <c r="H4" s="53">
        <f t="shared" si="1"/>
        <v>84</v>
      </c>
      <c r="I4" s="53">
        <f t="shared" si="1"/>
        <v>96</v>
      </c>
      <c r="J4" s="53">
        <f t="shared" si="1"/>
        <v>108</v>
      </c>
      <c r="K4" s="53">
        <f t="shared" si="1"/>
        <v>120</v>
      </c>
      <c r="L4" s="53">
        <f t="shared" si="1"/>
        <v>132</v>
      </c>
      <c r="M4" s="53">
        <f t="shared" si="1"/>
        <v>144</v>
      </c>
      <c r="N4" s="53">
        <f t="shared" si="1"/>
        <v>156</v>
      </c>
      <c r="O4" s="53">
        <f t="shared" si="1"/>
        <v>168</v>
      </c>
      <c r="P4" s="53">
        <f t="shared" si="1"/>
        <v>180</v>
      </c>
      <c r="Q4" s="53">
        <f t="shared" si="1"/>
        <v>192</v>
      </c>
      <c r="R4" s="53">
        <f t="shared" si="1"/>
        <v>204</v>
      </c>
      <c r="S4" s="53">
        <f t="shared" si="1"/>
        <v>216</v>
      </c>
      <c r="T4" s="53">
        <f t="shared" si="1"/>
        <v>228</v>
      </c>
      <c r="U4" s="53"/>
      <c r="V4" s="53"/>
      <c r="W4" s="53"/>
      <c r="X4" s="53"/>
      <c r="Y4" s="53"/>
      <c r="Z4" s="53"/>
    </row>
    <row r="5" spans="1:26" ht="34.5" customHeight="1">
      <c r="A5" s="52" t="s">
        <v>693</v>
      </c>
      <c r="B5" s="53">
        <v>12</v>
      </c>
      <c r="C5" s="53">
        <v>29</v>
      </c>
      <c r="D5" s="53">
        <v>35</v>
      </c>
      <c r="E5" s="53">
        <v>49</v>
      </c>
      <c r="F5" s="53">
        <v>49</v>
      </c>
      <c r="G5" s="53">
        <v>49</v>
      </c>
      <c r="H5" s="53">
        <v>49</v>
      </c>
      <c r="I5" s="53">
        <v>48</v>
      </c>
      <c r="J5" s="53">
        <v>49</v>
      </c>
      <c r="K5" s="53">
        <v>49</v>
      </c>
      <c r="L5" s="53">
        <v>49</v>
      </c>
      <c r="M5" s="53">
        <v>49</v>
      </c>
      <c r="N5" s="53"/>
      <c r="O5" s="53"/>
      <c r="P5" s="53"/>
      <c r="Q5" s="53"/>
      <c r="R5" s="53"/>
      <c r="S5" s="53"/>
      <c r="T5" s="53"/>
      <c r="U5" s="53"/>
      <c r="V5" s="53"/>
      <c r="W5" s="53"/>
      <c r="X5" s="53"/>
      <c r="Y5" s="53"/>
      <c r="Z5" s="53"/>
    </row>
    <row r="6" spans="1:26" ht="34.5" customHeight="1">
      <c r="A6" s="54" t="s">
        <v>694</v>
      </c>
      <c r="B6" s="55">
        <f>B5</f>
        <v>12</v>
      </c>
      <c r="C6" s="55">
        <f>C5+B6</f>
        <v>41</v>
      </c>
      <c r="D6" s="55">
        <f>D5+C6</f>
        <v>76</v>
      </c>
      <c r="E6" s="55">
        <f t="shared" ref="E6" si="2">E5+D6</f>
        <v>125</v>
      </c>
      <c r="F6" s="55">
        <f t="shared" ref="F6" si="3">F5+E6</f>
        <v>174</v>
      </c>
      <c r="G6" s="55">
        <f t="shared" ref="G6" si="4">G5+F6</f>
        <v>223</v>
      </c>
      <c r="H6" s="55">
        <f t="shared" ref="H6" si="5">H5+G6</f>
        <v>272</v>
      </c>
      <c r="I6" s="55">
        <f t="shared" ref="I6" si="6">I5+H6</f>
        <v>320</v>
      </c>
      <c r="J6" s="55">
        <f t="shared" ref="J6" si="7">J5+I6</f>
        <v>369</v>
      </c>
      <c r="K6" s="55">
        <f t="shared" ref="K6" si="8">K5+J6</f>
        <v>418</v>
      </c>
      <c r="L6" s="55">
        <f t="shared" ref="L6" si="9">L5+K6</f>
        <v>467</v>
      </c>
      <c r="M6" s="55">
        <f t="shared" ref="M6" si="10">M5+L6</f>
        <v>516</v>
      </c>
      <c r="N6" s="55">
        <f t="shared" ref="N6" si="11">N5+M6</f>
        <v>516</v>
      </c>
      <c r="O6" s="55">
        <f t="shared" ref="O6" si="12">O5+N6</f>
        <v>516</v>
      </c>
      <c r="P6" s="55">
        <f t="shared" ref="P6" si="13">P5+O6</f>
        <v>516</v>
      </c>
      <c r="Q6" s="55">
        <f t="shared" ref="Q6" si="14">Q5+P6</f>
        <v>516</v>
      </c>
      <c r="R6" s="55">
        <f t="shared" ref="R6" si="15">R5+Q6</f>
        <v>516</v>
      </c>
      <c r="S6" s="55">
        <f t="shared" ref="S6" si="16">S5+R6</f>
        <v>516</v>
      </c>
      <c r="T6" s="55">
        <f t="shared" ref="T6" si="17">T5+S6</f>
        <v>516</v>
      </c>
      <c r="U6" s="55"/>
      <c r="V6" s="55"/>
      <c r="W6" s="55"/>
      <c r="X6" s="55"/>
      <c r="Y6" s="55"/>
      <c r="Z6" s="55"/>
    </row>
    <row r="7" spans="1:26" ht="34.5" customHeight="1">
      <c r="A7" s="54" t="s">
        <v>695</v>
      </c>
      <c r="B7" s="55"/>
      <c r="C7" s="55"/>
      <c r="D7" s="55"/>
      <c r="E7" s="53"/>
      <c r="F7" s="53"/>
      <c r="G7" s="53"/>
      <c r="H7" s="53"/>
      <c r="I7" s="53"/>
      <c r="J7" s="53"/>
      <c r="K7" s="53"/>
      <c r="L7" s="53"/>
      <c r="M7" s="53">
        <v>12</v>
      </c>
      <c r="N7" s="53">
        <v>12</v>
      </c>
      <c r="O7" s="53">
        <v>12</v>
      </c>
      <c r="P7" s="53">
        <v>12</v>
      </c>
      <c r="Q7" s="53">
        <v>12</v>
      </c>
      <c r="R7" s="53">
        <v>12</v>
      </c>
      <c r="S7" s="53">
        <v>12</v>
      </c>
      <c r="T7" s="53">
        <v>12</v>
      </c>
      <c r="U7" s="55"/>
      <c r="V7" s="55"/>
      <c r="W7" s="55"/>
      <c r="X7" s="55"/>
      <c r="Y7" s="55"/>
      <c r="Z7" s="55"/>
    </row>
    <row r="8" spans="1:26" ht="34.5" customHeight="1" thickBot="1">
      <c r="A8" s="56" t="s">
        <v>696</v>
      </c>
      <c r="B8" s="57">
        <v>0</v>
      </c>
      <c r="C8" s="57">
        <v>3</v>
      </c>
      <c r="D8" s="57">
        <v>5</v>
      </c>
      <c r="E8" s="57">
        <v>5</v>
      </c>
      <c r="F8" s="57"/>
      <c r="G8" s="57"/>
      <c r="H8" s="57"/>
      <c r="I8" s="57"/>
      <c r="J8" s="57"/>
      <c r="K8" s="57"/>
      <c r="L8" s="57"/>
      <c r="M8" s="57"/>
      <c r="N8" s="57"/>
      <c r="O8" s="57"/>
      <c r="P8" s="57"/>
      <c r="Q8" s="57"/>
      <c r="R8" s="57"/>
      <c r="S8" s="57"/>
      <c r="T8" s="57"/>
      <c r="U8" s="57"/>
      <c r="V8" s="57"/>
      <c r="W8" s="57"/>
      <c r="X8" s="57"/>
      <c r="Y8" s="57"/>
      <c r="Z8" s="57"/>
    </row>
    <row r="9" spans="1:26" ht="34.5" customHeight="1" thickTop="1">
      <c r="A9" s="2112" t="s">
        <v>697</v>
      </c>
      <c r="B9" s="2113"/>
      <c r="C9" s="2113"/>
      <c r="D9" s="2113"/>
      <c r="E9" s="2113"/>
      <c r="F9" s="2113"/>
      <c r="G9" s="2113"/>
      <c r="H9" s="2113"/>
      <c r="I9" s="2113"/>
      <c r="J9" s="2113"/>
      <c r="K9" s="2113"/>
      <c r="L9" s="2113"/>
      <c r="M9" s="2113"/>
      <c r="N9" s="2113"/>
      <c r="O9" s="2113"/>
      <c r="P9" s="2113"/>
      <c r="Q9" s="2113"/>
      <c r="R9" s="2113"/>
      <c r="S9" s="2113"/>
      <c r="T9" s="2113"/>
      <c r="U9" s="2113"/>
      <c r="V9" s="2113"/>
      <c r="W9" s="2113"/>
      <c r="X9" s="2113"/>
      <c r="Y9" s="2113"/>
      <c r="Z9" s="2113"/>
    </row>
    <row r="10" spans="1:26" ht="59.7" customHeight="1">
      <c r="A10" s="51" t="s">
        <v>690</v>
      </c>
      <c r="B10" s="565">
        <f>+B2</f>
        <v>45981</v>
      </c>
      <c r="C10" s="565">
        <f t="shared" ref="C10:T10" si="18">EOMONTH(B10,1)</f>
        <v>46022</v>
      </c>
      <c r="D10" s="565">
        <f t="shared" si="18"/>
        <v>46053</v>
      </c>
      <c r="E10" s="565">
        <f t="shared" si="18"/>
        <v>46081</v>
      </c>
      <c r="F10" s="565">
        <f t="shared" si="18"/>
        <v>46112</v>
      </c>
      <c r="G10" s="565">
        <f t="shared" si="18"/>
        <v>46142</v>
      </c>
      <c r="H10" s="565">
        <f t="shared" si="18"/>
        <v>46173</v>
      </c>
      <c r="I10" s="565">
        <f t="shared" si="18"/>
        <v>46203</v>
      </c>
      <c r="J10" s="565">
        <f t="shared" si="18"/>
        <v>46234</v>
      </c>
      <c r="K10" s="565">
        <f t="shared" si="18"/>
        <v>46265</v>
      </c>
      <c r="L10" s="565">
        <f t="shared" si="18"/>
        <v>46295</v>
      </c>
      <c r="M10" s="565">
        <f t="shared" si="18"/>
        <v>46326</v>
      </c>
      <c r="N10" s="565">
        <f t="shared" si="18"/>
        <v>46356</v>
      </c>
      <c r="O10" s="565">
        <f t="shared" si="18"/>
        <v>46387</v>
      </c>
      <c r="P10" s="565">
        <f t="shared" si="18"/>
        <v>46418</v>
      </c>
      <c r="Q10" s="565">
        <f t="shared" si="18"/>
        <v>46446</v>
      </c>
      <c r="R10" s="565">
        <f t="shared" si="18"/>
        <v>46477</v>
      </c>
      <c r="S10" s="565">
        <f t="shared" si="18"/>
        <v>46507</v>
      </c>
      <c r="T10" s="565">
        <f t="shared" si="18"/>
        <v>46538</v>
      </c>
      <c r="U10" s="565"/>
      <c r="V10" s="565"/>
      <c r="W10" s="565"/>
      <c r="X10" s="565"/>
      <c r="Y10" s="565"/>
      <c r="Z10" s="565"/>
    </row>
    <row r="11" spans="1:26" ht="34.5" customHeight="1">
      <c r="A11" s="52" t="s">
        <v>691</v>
      </c>
      <c r="B11" s="53">
        <v>2</v>
      </c>
      <c r="C11" s="53">
        <v>44</v>
      </c>
      <c r="D11" s="53">
        <v>113</v>
      </c>
      <c r="E11" s="53">
        <v>118</v>
      </c>
      <c r="F11" s="53">
        <v>126</v>
      </c>
      <c r="G11" s="53">
        <v>195</v>
      </c>
      <c r="H11" s="53">
        <v>206</v>
      </c>
      <c r="I11" s="53">
        <v>208</v>
      </c>
      <c r="J11" s="53">
        <v>152</v>
      </c>
      <c r="K11" s="53">
        <v>56</v>
      </c>
      <c r="L11" s="53">
        <v>140</v>
      </c>
      <c r="M11" s="53">
        <v>136</v>
      </c>
      <c r="N11" s="53">
        <v>47</v>
      </c>
      <c r="O11" s="53">
        <v>56</v>
      </c>
      <c r="P11" s="53">
        <v>29</v>
      </c>
      <c r="Q11" s="53">
        <v>51</v>
      </c>
      <c r="R11" s="53">
        <v>58</v>
      </c>
      <c r="S11" s="53">
        <v>50</v>
      </c>
      <c r="T11" s="53">
        <v>0</v>
      </c>
      <c r="U11" s="53"/>
      <c r="V11" s="53"/>
      <c r="W11" s="53"/>
      <c r="X11" s="53"/>
      <c r="Y11" s="53"/>
      <c r="Z11" s="53"/>
    </row>
    <row r="12" spans="1:26" ht="34.5" customHeight="1">
      <c r="A12" s="52" t="s">
        <v>692</v>
      </c>
      <c r="B12" s="53">
        <f>B11</f>
        <v>2</v>
      </c>
      <c r="C12" s="53">
        <f t="shared" ref="C12:H12" si="19">B12+C11</f>
        <v>46</v>
      </c>
      <c r="D12" s="53">
        <f t="shared" si="19"/>
        <v>159</v>
      </c>
      <c r="E12" s="53">
        <f t="shared" si="19"/>
        <v>277</v>
      </c>
      <c r="F12" s="53">
        <f t="shared" si="19"/>
        <v>403</v>
      </c>
      <c r="G12" s="53">
        <f>F12+G11</f>
        <v>598</v>
      </c>
      <c r="H12" s="53">
        <f t="shared" si="19"/>
        <v>804</v>
      </c>
      <c r="I12" s="53">
        <f t="shared" ref="I12:T12" si="20">H12+I11</f>
        <v>1012</v>
      </c>
      <c r="J12" s="53">
        <f t="shared" si="20"/>
        <v>1164</v>
      </c>
      <c r="K12" s="53">
        <f t="shared" si="20"/>
        <v>1220</v>
      </c>
      <c r="L12" s="53">
        <f t="shared" si="20"/>
        <v>1360</v>
      </c>
      <c r="M12" s="53">
        <f t="shared" si="20"/>
        <v>1496</v>
      </c>
      <c r="N12" s="53">
        <f t="shared" si="20"/>
        <v>1543</v>
      </c>
      <c r="O12" s="53">
        <f t="shared" si="20"/>
        <v>1599</v>
      </c>
      <c r="P12" s="53">
        <f t="shared" si="20"/>
        <v>1628</v>
      </c>
      <c r="Q12" s="53">
        <f t="shared" si="20"/>
        <v>1679</v>
      </c>
      <c r="R12" s="53">
        <f t="shared" si="20"/>
        <v>1737</v>
      </c>
      <c r="S12" s="53">
        <f t="shared" si="20"/>
        <v>1787</v>
      </c>
      <c r="T12" s="53">
        <f t="shared" si="20"/>
        <v>1787</v>
      </c>
      <c r="U12" s="53"/>
      <c r="V12" s="53"/>
      <c r="W12" s="53"/>
      <c r="X12" s="53"/>
      <c r="Y12" s="53"/>
      <c r="Z12" s="53"/>
    </row>
    <row r="13" spans="1:26" ht="34.5" customHeight="1">
      <c r="A13" s="52" t="s">
        <v>693</v>
      </c>
      <c r="B13" s="53">
        <v>20</v>
      </c>
      <c r="C13" s="53">
        <v>63</v>
      </c>
      <c r="D13" s="53">
        <v>115</v>
      </c>
      <c r="E13" s="53">
        <v>133</v>
      </c>
      <c r="F13" s="53">
        <v>142</v>
      </c>
      <c r="G13" s="53">
        <v>196</v>
      </c>
      <c r="H13" s="53">
        <v>207</v>
      </c>
      <c r="I13" s="53">
        <v>211</v>
      </c>
      <c r="J13" s="53">
        <v>181</v>
      </c>
      <c r="K13" s="53">
        <v>181</v>
      </c>
      <c r="L13" s="53">
        <v>179</v>
      </c>
      <c r="M13" s="53">
        <v>179</v>
      </c>
      <c r="N13" s="53"/>
      <c r="O13" s="53"/>
      <c r="P13" s="53"/>
      <c r="Q13" s="53"/>
      <c r="R13" s="53"/>
      <c r="S13" s="53"/>
      <c r="T13" s="53"/>
      <c r="U13" s="53"/>
      <c r="V13" s="53"/>
      <c r="W13" s="53"/>
      <c r="X13" s="53"/>
      <c r="Y13" s="53"/>
      <c r="Z13" s="53"/>
    </row>
    <row r="14" spans="1:26" ht="34.5" customHeight="1">
      <c r="A14" s="54" t="s">
        <v>694</v>
      </c>
      <c r="B14" s="55">
        <f>B13</f>
        <v>20</v>
      </c>
      <c r="C14" s="55">
        <f t="shared" ref="C14:E14" si="21">C13+B14</f>
        <v>83</v>
      </c>
      <c r="D14" s="55">
        <f t="shared" si="21"/>
        <v>198</v>
      </c>
      <c r="E14" s="55">
        <f t="shared" si="21"/>
        <v>331</v>
      </c>
      <c r="F14" s="55">
        <f t="shared" ref="F14" si="22">F13+E14</f>
        <v>473</v>
      </c>
      <c r="G14" s="55">
        <f t="shared" ref="G14" si="23">G13+F14</f>
        <v>669</v>
      </c>
      <c r="H14" s="55">
        <f t="shared" ref="H14" si="24">H13+G14</f>
        <v>876</v>
      </c>
      <c r="I14" s="55">
        <f t="shared" ref="I14" si="25">I13+H14</f>
        <v>1087</v>
      </c>
      <c r="J14" s="55">
        <f t="shared" ref="J14" si="26">J13+I14</f>
        <v>1268</v>
      </c>
      <c r="K14" s="55">
        <f t="shared" ref="K14" si="27">K13+J14</f>
        <v>1449</v>
      </c>
      <c r="L14" s="55">
        <f t="shared" ref="L14" si="28">L13+K14</f>
        <v>1628</v>
      </c>
      <c r="M14" s="55">
        <f t="shared" ref="M14" si="29">M13+L14</f>
        <v>1807</v>
      </c>
      <c r="N14" s="55">
        <f t="shared" ref="N14" si="30">N13+M14</f>
        <v>1807</v>
      </c>
      <c r="O14" s="55">
        <f t="shared" ref="O14" si="31">O13+N14</f>
        <v>1807</v>
      </c>
      <c r="P14" s="55">
        <f t="shared" ref="P14" si="32">P13+O14</f>
        <v>1807</v>
      </c>
      <c r="Q14" s="55">
        <f t="shared" ref="Q14" si="33">Q13+P14</f>
        <v>1807</v>
      </c>
      <c r="R14" s="55">
        <f t="shared" ref="R14" si="34">R13+Q14</f>
        <v>1807</v>
      </c>
      <c r="S14" s="55">
        <f t="shared" ref="S14" si="35">S13+R14</f>
        <v>1807</v>
      </c>
      <c r="T14" s="55">
        <f t="shared" ref="T14" si="36">T13+S14</f>
        <v>1807</v>
      </c>
      <c r="U14" s="55"/>
      <c r="V14" s="55"/>
      <c r="W14" s="55"/>
      <c r="X14" s="55"/>
      <c r="Y14" s="55"/>
      <c r="Z14" s="55"/>
    </row>
    <row r="15" spans="1:26" ht="34.5" customHeight="1">
      <c r="A15" s="54" t="s">
        <v>695</v>
      </c>
      <c r="B15" s="55"/>
      <c r="C15" s="55"/>
      <c r="D15" s="55"/>
      <c r="E15" s="55">
        <v>0</v>
      </c>
      <c r="F15" s="55">
        <v>0</v>
      </c>
      <c r="G15" s="55">
        <v>0</v>
      </c>
      <c r="H15" s="55">
        <v>0</v>
      </c>
      <c r="I15" s="55">
        <v>0</v>
      </c>
      <c r="J15" s="55">
        <v>0</v>
      </c>
      <c r="K15" s="55"/>
      <c r="L15" s="55"/>
      <c r="M15" s="55" t="s">
        <v>677</v>
      </c>
      <c r="N15" s="55">
        <f t="shared" ref="N15:T15" si="37">+N11</f>
        <v>47</v>
      </c>
      <c r="O15" s="55">
        <f t="shared" si="37"/>
        <v>56</v>
      </c>
      <c r="P15" s="55">
        <f t="shared" si="37"/>
        <v>29</v>
      </c>
      <c r="Q15" s="55">
        <f t="shared" si="37"/>
        <v>51</v>
      </c>
      <c r="R15" s="55">
        <f t="shared" si="37"/>
        <v>58</v>
      </c>
      <c r="S15" s="55">
        <f t="shared" si="37"/>
        <v>50</v>
      </c>
      <c r="T15" s="55">
        <f t="shared" si="37"/>
        <v>0</v>
      </c>
      <c r="U15" s="55"/>
      <c r="V15" s="55"/>
      <c r="W15" s="55"/>
      <c r="X15" s="55"/>
      <c r="Y15" s="55"/>
      <c r="Z15" s="55"/>
    </row>
    <row r="16" spans="1:26" ht="34.5" customHeight="1" thickBot="1">
      <c r="A16" s="56" t="s">
        <v>698</v>
      </c>
      <c r="B16" s="57">
        <v>0</v>
      </c>
      <c r="C16" s="57">
        <v>0</v>
      </c>
      <c r="D16" s="57">
        <v>0</v>
      </c>
      <c r="E16" s="57">
        <v>0</v>
      </c>
      <c r="F16" s="57">
        <v>0</v>
      </c>
      <c r="G16" s="57">
        <v>0</v>
      </c>
      <c r="H16" s="57">
        <v>0</v>
      </c>
      <c r="I16" s="57">
        <v>0</v>
      </c>
      <c r="J16" s="57">
        <v>0</v>
      </c>
      <c r="K16" s="57">
        <v>0</v>
      </c>
      <c r="L16" s="57">
        <v>0</v>
      </c>
      <c r="M16" s="57">
        <v>0</v>
      </c>
      <c r="N16" s="57">
        <v>0</v>
      </c>
      <c r="O16" s="57">
        <v>0</v>
      </c>
      <c r="P16" s="57"/>
      <c r="Q16" s="57"/>
      <c r="R16" s="57"/>
      <c r="S16" s="57"/>
      <c r="T16" s="57"/>
      <c r="U16" s="57"/>
      <c r="V16" s="57"/>
      <c r="W16" s="57"/>
      <c r="X16" s="57"/>
      <c r="Y16" s="57"/>
      <c r="Z16" s="57"/>
    </row>
    <row r="17" spans="1:41" ht="34.5" customHeight="1" thickTop="1">
      <c r="B17" s="567"/>
      <c r="C17" s="567"/>
      <c r="D17" s="567"/>
      <c r="E17" s="567"/>
      <c r="F17" s="567"/>
      <c r="G17" s="567"/>
      <c r="H17" s="567"/>
      <c r="I17" s="567"/>
      <c r="J17" s="567"/>
      <c r="K17" s="567"/>
      <c r="L17" s="567"/>
      <c r="M17" s="567"/>
      <c r="N17" s="567"/>
      <c r="O17" s="567"/>
      <c r="P17" s="567"/>
      <c r="Q17" s="567"/>
      <c r="R17" s="567"/>
      <c r="S17" s="567"/>
      <c r="T17" s="567"/>
      <c r="U17" s="567"/>
      <c r="V17" s="567"/>
      <c r="W17" s="567"/>
      <c r="X17" s="567"/>
      <c r="Y17" s="567"/>
      <c r="Z17" s="567"/>
      <c r="AA17" s="566"/>
      <c r="AB17" s="566"/>
      <c r="AC17" s="566"/>
      <c r="AD17" s="566"/>
      <c r="AE17" s="566"/>
      <c r="AF17" s="566"/>
      <c r="AG17" s="566"/>
      <c r="AH17" s="566"/>
      <c r="AI17" s="566"/>
      <c r="AJ17" s="566"/>
      <c r="AK17" s="566"/>
      <c r="AL17" s="566"/>
      <c r="AM17" s="566"/>
      <c r="AN17" s="566"/>
    </row>
    <row r="18" spans="1:41" ht="34.5" customHeight="1">
      <c r="A18" s="2103" t="s">
        <v>699</v>
      </c>
      <c r="B18" s="2104"/>
      <c r="C18" s="2104"/>
      <c r="D18" s="2104"/>
      <c r="E18" s="2104"/>
      <c r="F18" s="2104"/>
      <c r="G18" s="2104"/>
      <c r="H18" s="2104"/>
      <c r="I18" s="2105"/>
      <c r="AG18" s="2108" t="s">
        <v>666</v>
      </c>
      <c r="AH18" s="2109"/>
      <c r="AI18" s="2107">
        <f>EOMONTH('General Information'!$L$1,0)</f>
        <v>46326</v>
      </c>
      <c r="AJ18" s="2107"/>
      <c r="AK18" s="2107"/>
      <c r="AL18" s="2107"/>
      <c r="AM18" s="2106">
        <f>EOMONTH(AI18,1)</f>
        <v>46356</v>
      </c>
      <c r="AN18" s="2106"/>
      <c r="AO18" s="2106"/>
    </row>
    <row r="19" spans="1:41" ht="34.5" customHeight="1">
      <c r="A19" s="58" t="s">
        <v>78</v>
      </c>
      <c r="B19" s="2096" t="s">
        <v>194</v>
      </c>
      <c r="C19" s="2096"/>
      <c r="D19" s="2096" t="s">
        <v>56</v>
      </c>
      <c r="E19" s="2096"/>
      <c r="F19" s="2096" t="s">
        <v>700</v>
      </c>
      <c r="G19" s="2096"/>
      <c r="H19" s="2096" t="s">
        <v>701</v>
      </c>
      <c r="I19" s="2102"/>
      <c r="AI19" s="566"/>
      <c r="AJ19" s="566"/>
      <c r="AK19" s="566"/>
      <c r="AL19" s="566"/>
      <c r="AM19" s="566"/>
      <c r="AN19" s="566"/>
    </row>
    <row r="20" spans="1:41" ht="34.5" customHeight="1">
      <c r="A20" s="959">
        <f>HLOOKUP($AI$18,$B$2:$Z$7,2,FALSE)</f>
        <v>12</v>
      </c>
      <c r="B20" s="2090">
        <f>HLOOKUP($AI$18,$B$2:$Z$7,4,FALSE)</f>
        <v>49</v>
      </c>
      <c r="C20" s="2090"/>
      <c r="D20" s="2101">
        <f>B20-A20</f>
        <v>37</v>
      </c>
      <c r="E20" s="2101"/>
      <c r="F20" s="2090">
        <f>HLOOKUP($AM$18,$B$2:$Z$7,6,FALSE)</f>
        <v>12</v>
      </c>
      <c r="G20" s="2093"/>
      <c r="H20" s="2090">
        <f>HLOOKUP($AI$18,$B$2:$Z$8,7,FALSE)</f>
        <v>0</v>
      </c>
      <c r="I20" s="2093"/>
      <c r="U20" s="766"/>
      <c r="AI20" s="566"/>
      <c r="AJ20" s="566"/>
      <c r="AK20" s="566"/>
      <c r="AL20" s="566"/>
      <c r="AM20" s="566"/>
      <c r="AN20" s="566"/>
    </row>
    <row r="21" spans="1:41">
      <c r="A21" s="566"/>
      <c r="B21" s="566"/>
      <c r="C21" s="566"/>
      <c r="D21" s="566"/>
      <c r="E21" s="566"/>
      <c r="F21" s="566"/>
      <c r="G21" s="566"/>
      <c r="H21" s="566"/>
      <c r="I21" s="566"/>
      <c r="J21" s="566"/>
      <c r="K21" s="566"/>
      <c r="L21" s="566"/>
      <c r="M21" s="566"/>
      <c r="N21" s="566"/>
      <c r="O21" s="566"/>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row>
    <row r="22" spans="1:41" ht="34.950000000000003" customHeight="1">
      <c r="A22" s="2103" t="s">
        <v>702</v>
      </c>
      <c r="B22" s="2104"/>
      <c r="C22" s="2104"/>
      <c r="D22" s="2104"/>
      <c r="E22" s="2104"/>
      <c r="F22" s="2104"/>
      <c r="G22" s="2104"/>
      <c r="H22" s="2104"/>
      <c r="I22" s="2105"/>
      <c r="J22" s="566"/>
      <c r="L22" s="2103" t="s">
        <v>703</v>
      </c>
      <c r="M22" s="2104"/>
      <c r="N22" s="2104"/>
      <c r="O22" s="2104"/>
      <c r="P22" s="2104"/>
      <c r="Q22" s="2104"/>
      <c r="R22" s="2104"/>
      <c r="S22" s="2104"/>
      <c r="T22" s="2104"/>
      <c r="U22" s="2104"/>
      <c r="V22" s="2104"/>
      <c r="W22" s="2104"/>
      <c r="X22" s="2104"/>
      <c r="Y22" s="2104"/>
      <c r="Z22" s="2104"/>
      <c r="AA22" s="2104"/>
      <c r="AK22" s="566"/>
      <c r="AL22" s="566"/>
      <c r="AM22" s="566"/>
      <c r="AN22" s="566"/>
    </row>
    <row r="23" spans="1:41" ht="39.450000000000003" customHeight="1">
      <c r="A23" s="58" t="s">
        <v>78</v>
      </c>
      <c r="B23" s="2096" t="s">
        <v>194</v>
      </c>
      <c r="C23" s="2096"/>
      <c r="D23" s="2096" t="s">
        <v>56</v>
      </c>
      <c r="E23" s="2096"/>
      <c r="F23" s="2096" t="s">
        <v>700</v>
      </c>
      <c r="G23" s="2096"/>
      <c r="H23" s="2096" t="s">
        <v>701</v>
      </c>
      <c r="I23" s="2102"/>
      <c r="J23" s="566"/>
      <c r="L23" s="2123" t="s">
        <v>200</v>
      </c>
      <c r="M23" s="2102"/>
      <c r="N23" s="2096" t="s">
        <v>704</v>
      </c>
      <c r="O23" s="2102"/>
      <c r="P23" s="2096" t="s">
        <v>705</v>
      </c>
      <c r="Q23" s="2102"/>
      <c r="R23" s="2096" t="s">
        <v>706</v>
      </c>
      <c r="S23" s="2102"/>
      <c r="T23" s="2096" t="s">
        <v>707</v>
      </c>
      <c r="U23" s="2102"/>
      <c r="V23" s="2096" t="s">
        <v>708</v>
      </c>
      <c r="W23" s="2102"/>
      <c r="X23" s="2096" t="s">
        <v>709</v>
      </c>
      <c r="Y23" s="2102"/>
      <c r="Z23" s="2096" t="s">
        <v>710</v>
      </c>
      <c r="AA23" s="2102"/>
      <c r="AB23" s="2117" t="s">
        <v>88</v>
      </c>
      <c r="AC23" s="2118"/>
      <c r="AK23" s="566"/>
      <c r="AL23" s="566"/>
      <c r="AM23" s="566"/>
      <c r="AN23" s="566"/>
    </row>
    <row r="24" spans="1:41" ht="44.7" customHeight="1">
      <c r="A24" s="959">
        <f>HLOOKUP($AI$18,$B$10:$Z$15,2,FALSE)</f>
        <v>136</v>
      </c>
      <c r="B24" s="2090">
        <f>HLOOKUP($AI$18,$B$10:$Z$15,4,FALSE)</f>
        <v>179</v>
      </c>
      <c r="C24" s="2090"/>
      <c r="D24" s="2101">
        <f>B24-A24</f>
        <v>43</v>
      </c>
      <c r="E24" s="2101"/>
      <c r="F24" s="2090">
        <f>HLOOKUP($AM$18,$B$10:$Z$15,6,FALSE)</f>
        <v>47</v>
      </c>
      <c r="G24" s="2093"/>
      <c r="H24" s="2090">
        <f>HLOOKUP($AI$18,$B$10:$Z$16,7,FALSE)</f>
        <v>0</v>
      </c>
      <c r="I24" s="2093"/>
      <c r="J24" s="566"/>
      <c r="K24" s="566"/>
      <c r="L24" s="2124" t="s">
        <v>711</v>
      </c>
      <c r="M24" s="2125"/>
      <c r="N24" s="2115">
        <v>14</v>
      </c>
      <c r="O24" s="2116"/>
      <c r="P24" s="2115">
        <v>0</v>
      </c>
      <c r="Q24" s="2116"/>
      <c r="R24" s="2115">
        <v>0</v>
      </c>
      <c r="S24" s="2116"/>
      <c r="T24" s="2115">
        <v>42</v>
      </c>
      <c r="U24" s="2116"/>
      <c r="V24" s="2115">
        <v>0</v>
      </c>
      <c r="W24" s="2116"/>
      <c r="X24" s="2090">
        <v>0</v>
      </c>
      <c r="Y24" s="2090"/>
      <c r="Z24" s="2114">
        <v>5</v>
      </c>
      <c r="AA24" s="2090"/>
      <c r="AB24" s="2119">
        <f>SUM(N24:AA24)</f>
        <v>61</v>
      </c>
      <c r="AC24" s="2120"/>
      <c r="AE24" s="766"/>
      <c r="AF24" s="766"/>
      <c r="AG24" s="766"/>
      <c r="AH24" s="766"/>
      <c r="AK24" s="566"/>
      <c r="AL24" s="566"/>
      <c r="AM24" s="566"/>
      <c r="AN24" s="566"/>
    </row>
    <row r="25" spans="1:41" ht="40.200000000000003" customHeight="1">
      <c r="A25" s="566"/>
      <c r="B25" s="566"/>
      <c r="C25" s="566"/>
      <c r="D25" s="566"/>
      <c r="E25" s="566"/>
      <c r="F25" s="566"/>
      <c r="G25" s="566"/>
      <c r="H25" s="566"/>
      <c r="I25" s="566"/>
      <c r="J25" s="566"/>
      <c r="K25" s="566"/>
      <c r="L25" s="2121" t="s">
        <v>194</v>
      </c>
      <c r="M25" s="2122"/>
      <c r="N25" s="2115">
        <v>16</v>
      </c>
      <c r="O25" s="2116"/>
      <c r="P25" s="2115">
        <v>0</v>
      </c>
      <c r="Q25" s="2116"/>
      <c r="R25" s="2115">
        <v>0</v>
      </c>
      <c r="S25" s="2116"/>
      <c r="T25" s="2115">
        <v>99</v>
      </c>
      <c r="U25" s="2116"/>
      <c r="V25" s="2115">
        <v>0</v>
      </c>
      <c r="W25" s="2116"/>
      <c r="X25" s="2090">
        <v>0</v>
      </c>
      <c r="Y25" s="2090"/>
      <c r="Z25" s="2090">
        <v>66</v>
      </c>
      <c r="AA25" s="2090"/>
      <c r="AB25" s="2119">
        <f>SUM(N25:AA25)</f>
        <v>181</v>
      </c>
      <c r="AC25" s="2120"/>
      <c r="AE25" s="766"/>
      <c r="AF25" s="766"/>
      <c r="AK25" s="566"/>
      <c r="AL25" s="566"/>
      <c r="AM25" s="566"/>
      <c r="AN25" s="566"/>
    </row>
    <row r="26" spans="1:41">
      <c r="A26" s="566"/>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K26" s="566"/>
      <c r="AL26" s="566"/>
      <c r="AM26" s="566"/>
      <c r="AN26" s="566"/>
    </row>
    <row r="27" spans="1:41">
      <c r="A27" s="566"/>
      <c r="B27" s="566"/>
      <c r="C27" s="566"/>
      <c r="D27" s="566"/>
      <c r="E27" s="566"/>
      <c r="F27" s="566"/>
      <c r="G27" s="566"/>
      <c r="H27" s="566"/>
      <c r="I27" s="566"/>
      <c r="J27" s="566"/>
      <c r="K27" s="566"/>
      <c r="L27" s="566"/>
      <c r="M27" s="566"/>
      <c r="N27" s="566"/>
      <c r="O27" s="566"/>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row>
    <row r="28" spans="1:41">
      <c r="A28" s="566"/>
      <c r="B28" s="566"/>
      <c r="C28" s="566"/>
      <c r="D28" s="566"/>
      <c r="E28" s="566"/>
      <c r="F28" s="566"/>
      <c r="G28" s="566"/>
      <c r="H28" s="566"/>
      <c r="I28" s="566"/>
      <c r="J28" s="566"/>
      <c r="K28" s="566"/>
      <c r="L28" s="566"/>
      <c r="M28" s="566"/>
      <c r="N28" s="566"/>
      <c r="O28" s="566"/>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row>
    <row r="29" spans="1:41">
      <c r="A29" s="566"/>
      <c r="B29" s="566"/>
      <c r="C29" s="566"/>
      <c r="D29" s="566"/>
      <c r="E29" s="566"/>
      <c r="F29" s="566"/>
      <c r="G29" s="566"/>
      <c r="H29" s="566"/>
      <c r="I29" s="566"/>
      <c r="J29" s="566"/>
      <c r="K29" s="566"/>
      <c r="L29" s="566"/>
      <c r="M29" s="566"/>
      <c r="N29" s="566"/>
      <c r="O29" s="566"/>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row>
    <row r="30" spans="1:41">
      <c r="A30" s="566"/>
      <c r="B30" s="566"/>
      <c r="C30" s="566"/>
      <c r="D30" s="566"/>
      <c r="E30" s="566"/>
      <c r="F30" s="566"/>
      <c r="G30" s="566"/>
      <c r="H30" s="566"/>
      <c r="I30" s="566"/>
      <c r="J30" s="566"/>
      <c r="K30" s="566"/>
      <c r="L30" s="566"/>
      <c r="M30" s="566"/>
      <c r="N30" s="566"/>
      <c r="O30" s="566"/>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row>
    <row r="31" spans="1:41">
      <c r="A31" s="566"/>
      <c r="B31" s="566"/>
      <c r="C31" s="566"/>
      <c r="D31" s="566"/>
      <c r="E31" s="566"/>
      <c r="F31" s="566"/>
      <c r="G31" s="566"/>
      <c r="H31" s="566"/>
      <c r="I31" s="566"/>
      <c r="J31" s="566"/>
      <c r="K31" s="566"/>
      <c r="L31" s="566"/>
      <c r="M31" s="566"/>
      <c r="N31" s="566"/>
      <c r="O31" s="566"/>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row>
    <row r="32" spans="1:41" ht="34.5" customHeight="1">
      <c r="A32" s="2094" t="s">
        <v>712</v>
      </c>
      <c r="B32" s="2095"/>
      <c r="C32" s="2095"/>
      <c r="D32" s="2095"/>
      <c r="E32" s="2095"/>
      <c r="F32" s="2095"/>
      <c r="G32" s="2095"/>
      <c r="H32" s="2095"/>
      <c r="I32" s="2095"/>
      <c r="J32" s="2095"/>
      <c r="K32" s="2095"/>
      <c r="L32" s="2095"/>
      <c r="M32" s="2095"/>
      <c r="N32" s="2095"/>
      <c r="O32" s="2095"/>
      <c r="P32" s="2095"/>
      <c r="Q32" s="2095"/>
      <c r="R32" s="2095"/>
      <c r="S32" s="2095"/>
      <c r="T32" s="2095"/>
      <c r="U32" s="2095"/>
      <c r="V32" s="2095"/>
      <c r="W32" s="2095"/>
      <c r="X32" s="2095"/>
      <c r="Y32" s="2095"/>
      <c r="Z32" s="2095"/>
    </row>
    <row r="33" spans="1:40" ht="67.95" customHeight="1">
      <c r="A33" s="51" t="s">
        <v>690</v>
      </c>
      <c r="B33" s="565">
        <f>+B2</f>
        <v>45981</v>
      </c>
      <c r="C33" s="565">
        <f t="shared" ref="C33:T33" si="38">EOMONTH(B33,1)</f>
        <v>46022</v>
      </c>
      <c r="D33" s="565">
        <f t="shared" si="38"/>
        <v>46053</v>
      </c>
      <c r="E33" s="565">
        <f t="shared" si="38"/>
        <v>46081</v>
      </c>
      <c r="F33" s="565">
        <f t="shared" si="38"/>
        <v>46112</v>
      </c>
      <c r="G33" s="565">
        <f t="shared" si="38"/>
        <v>46142</v>
      </c>
      <c r="H33" s="565">
        <f t="shared" si="38"/>
        <v>46173</v>
      </c>
      <c r="I33" s="565">
        <f t="shared" si="38"/>
        <v>46203</v>
      </c>
      <c r="J33" s="565">
        <f t="shared" si="38"/>
        <v>46234</v>
      </c>
      <c r="K33" s="565">
        <f t="shared" si="38"/>
        <v>46265</v>
      </c>
      <c r="L33" s="565">
        <f t="shared" si="38"/>
        <v>46295</v>
      </c>
      <c r="M33" s="565">
        <f t="shared" si="38"/>
        <v>46326</v>
      </c>
      <c r="N33" s="565">
        <f t="shared" si="38"/>
        <v>46356</v>
      </c>
      <c r="O33" s="565">
        <f t="shared" si="38"/>
        <v>46387</v>
      </c>
      <c r="P33" s="565">
        <f t="shared" si="38"/>
        <v>46418</v>
      </c>
      <c r="Q33" s="565">
        <f t="shared" si="38"/>
        <v>46446</v>
      </c>
      <c r="R33" s="565">
        <f t="shared" si="38"/>
        <v>46477</v>
      </c>
      <c r="S33" s="565">
        <f t="shared" si="38"/>
        <v>46507</v>
      </c>
      <c r="T33" s="565">
        <f t="shared" si="38"/>
        <v>46538</v>
      </c>
      <c r="U33" s="565"/>
      <c r="V33" s="565"/>
      <c r="W33" s="565"/>
      <c r="X33" s="565"/>
      <c r="Y33" s="565"/>
      <c r="Z33" s="565"/>
    </row>
    <row r="34" spans="1:40" ht="40.5" customHeight="1">
      <c r="A34" s="52" t="s">
        <v>691</v>
      </c>
      <c r="B34" s="53">
        <v>0</v>
      </c>
      <c r="C34" s="53">
        <v>21</v>
      </c>
      <c r="D34" s="53">
        <v>95</v>
      </c>
      <c r="E34" s="53">
        <v>96</v>
      </c>
      <c r="F34" s="53">
        <v>93</v>
      </c>
      <c r="G34" s="53">
        <v>99</v>
      </c>
      <c r="H34" s="53">
        <v>92</v>
      </c>
      <c r="I34" s="53">
        <v>86</v>
      </c>
      <c r="J34" s="53">
        <v>68</v>
      </c>
      <c r="K34" s="53">
        <v>34</v>
      </c>
      <c r="L34" s="53">
        <v>94</v>
      </c>
      <c r="M34" s="53">
        <v>78</v>
      </c>
      <c r="N34" s="53">
        <v>23</v>
      </c>
      <c r="O34" s="53">
        <v>15</v>
      </c>
      <c r="P34" s="53">
        <v>10</v>
      </c>
      <c r="Q34" s="53">
        <v>11</v>
      </c>
      <c r="R34" s="53">
        <v>14</v>
      </c>
      <c r="S34" s="53">
        <v>0</v>
      </c>
      <c r="T34" s="53">
        <v>0</v>
      </c>
      <c r="U34" s="53"/>
      <c r="V34" s="53"/>
      <c r="W34" s="53"/>
      <c r="X34" s="53"/>
      <c r="Y34" s="53"/>
      <c r="Z34" s="53"/>
    </row>
    <row r="35" spans="1:40" ht="40.5" customHeight="1">
      <c r="A35" s="52" t="s">
        <v>692</v>
      </c>
      <c r="B35" s="53">
        <f>B34</f>
        <v>0</v>
      </c>
      <c r="C35" s="53">
        <f>B35+C34</f>
        <v>21</v>
      </c>
      <c r="D35" s="53">
        <f t="shared" ref="D35:T35" si="39">C35+D34</f>
        <v>116</v>
      </c>
      <c r="E35" s="53">
        <f t="shared" si="39"/>
        <v>212</v>
      </c>
      <c r="F35" s="53">
        <f t="shared" si="39"/>
        <v>305</v>
      </c>
      <c r="G35" s="53">
        <f t="shared" si="39"/>
        <v>404</v>
      </c>
      <c r="H35" s="53">
        <f t="shared" si="39"/>
        <v>496</v>
      </c>
      <c r="I35" s="53">
        <f t="shared" si="39"/>
        <v>582</v>
      </c>
      <c r="J35" s="53">
        <f t="shared" si="39"/>
        <v>650</v>
      </c>
      <c r="K35" s="53">
        <f t="shared" si="39"/>
        <v>684</v>
      </c>
      <c r="L35" s="53">
        <f t="shared" si="39"/>
        <v>778</v>
      </c>
      <c r="M35" s="53">
        <f t="shared" si="39"/>
        <v>856</v>
      </c>
      <c r="N35" s="53">
        <f t="shared" si="39"/>
        <v>879</v>
      </c>
      <c r="O35" s="53">
        <f t="shared" si="39"/>
        <v>894</v>
      </c>
      <c r="P35" s="53">
        <f t="shared" si="39"/>
        <v>904</v>
      </c>
      <c r="Q35" s="53">
        <f t="shared" si="39"/>
        <v>915</v>
      </c>
      <c r="R35" s="53">
        <f t="shared" si="39"/>
        <v>929</v>
      </c>
      <c r="S35" s="53">
        <f t="shared" si="39"/>
        <v>929</v>
      </c>
      <c r="T35" s="53">
        <f t="shared" si="39"/>
        <v>929</v>
      </c>
      <c r="U35" s="53"/>
      <c r="V35" s="53"/>
      <c r="W35" s="53"/>
      <c r="X35" s="53"/>
      <c r="Y35" s="53"/>
      <c r="Z35" s="53"/>
    </row>
    <row r="36" spans="1:40" ht="28.5" customHeight="1">
      <c r="A36" s="52" t="s">
        <v>693</v>
      </c>
      <c r="B36" s="53">
        <v>5</v>
      </c>
      <c r="C36" s="53">
        <v>54</v>
      </c>
      <c r="D36" s="53">
        <v>99</v>
      </c>
      <c r="E36" s="53">
        <v>97</v>
      </c>
      <c r="F36" s="53">
        <v>95</v>
      </c>
      <c r="G36" s="53">
        <v>102</v>
      </c>
      <c r="H36" s="53">
        <v>102</v>
      </c>
      <c r="I36" s="53">
        <v>102</v>
      </c>
      <c r="J36" s="53">
        <v>113</v>
      </c>
      <c r="K36" s="53">
        <v>113</v>
      </c>
      <c r="L36" s="53">
        <v>99</v>
      </c>
      <c r="M36" s="53">
        <v>99</v>
      </c>
      <c r="N36" s="53"/>
      <c r="O36" s="53"/>
      <c r="P36" s="53"/>
      <c r="Q36" s="53"/>
      <c r="R36" s="53"/>
      <c r="S36" s="53"/>
      <c r="T36" s="53"/>
      <c r="U36" s="53"/>
      <c r="V36" s="53"/>
      <c r="W36" s="53"/>
      <c r="X36" s="53"/>
      <c r="Y36" s="53"/>
      <c r="Z36" s="53"/>
    </row>
    <row r="37" spans="1:40" ht="28.5" customHeight="1">
      <c r="A37" s="54" t="s">
        <v>694</v>
      </c>
      <c r="B37" s="55">
        <f>B36</f>
        <v>5</v>
      </c>
      <c r="C37" s="55">
        <f>C36+B37</f>
        <v>59</v>
      </c>
      <c r="D37" s="55">
        <f t="shared" ref="D37:E37" si="40">D36+C37</f>
        <v>158</v>
      </c>
      <c r="E37" s="55">
        <f t="shared" si="40"/>
        <v>255</v>
      </c>
      <c r="F37" s="55">
        <f t="shared" ref="F37" si="41">F36+E37</f>
        <v>350</v>
      </c>
      <c r="G37" s="55">
        <f t="shared" ref="G37" si="42">G36+F37</f>
        <v>452</v>
      </c>
      <c r="H37" s="55">
        <f t="shared" ref="H37" si="43">H36+G37</f>
        <v>554</v>
      </c>
      <c r="I37" s="55">
        <f t="shared" ref="I37" si="44">I36+H37</f>
        <v>656</v>
      </c>
      <c r="J37" s="55">
        <f t="shared" ref="J37" si="45">J36+I37</f>
        <v>769</v>
      </c>
      <c r="K37" s="55">
        <f t="shared" ref="K37" si="46">K36+J37</f>
        <v>882</v>
      </c>
      <c r="L37" s="55">
        <f t="shared" ref="L37" si="47">L36+K37</f>
        <v>981</v>
      </c>
      <c r="M37" s="55">
        <f>M36+L37</f>
        <v>1080</v>
      </c>
      <c r="N37" s="55">
        <f t="shared" ref="N37" si="48">N36+M37</f>
        <v>1080</v>
      </c>
      <c r="O37" s="55">
        <f t="shared" ref="O37" si="49">O36+N37</f>
        <v>1080</v>
      </c>
      <c r="P37" s="55">
        <f t="shared" ref="P37" si="50">P36+O37</f>
        <v>1080</v>
      </c>
      <c r="Q37" s="55">
        <f t="shared" ref="Q37" si="51">Q36+P37</f>
        <v>1080</v>
      </c>
      <c r="R37" s="55">
        <f t="shared" ref="R37" si="52">R36+Q37</f>
        <v>1080</v>
      </c>
      <c r="S37" s="55">
        <f t="shared" ref="S37" si="53">S36+R37</f>
        <v>1080</v>
      </c>
      <c r="T37" s="55">
        <f t="shared" ref="T37" si="54">T36+S37</f>
        <v>1080</v>
      </c>
      <c r="U37" s="55"/>
      <c r="V37" s="55"/>
      <c r="W37" s="55"/>
      <c r="X37" s="55"/>
      <c r="Y37" s="55"/>
      <c r="Z37" s="55"/>
    </row>
    <row r="38" spans="1:40" s="34" customFormat="1" ht="28.5" customHeight="1" thickBot="1">
      <c r="A38" s="56" t="s">
        <v>695</v>
      </c>
      <c r="B38" s="57"/>
      <c r="C38" s="57"/>
      <c r="D38" s="57"/>
      <c r="E38" s="57">
        <v>0</v>
      </c>
      <c r="F38" s="57">
        <v>0</v>
      </c>
      <c r="G38" s="57">
        <v>0</v>
      </c>
      <c r="H38" s="57">
        <v>0</v>
      </c>
      <c r="I38" s="57">
        <v>0</v>
      </c>
      <c r="J38" s="57">
        <v>0</v>
      </c>
      <c r="K38" s="57">
        <v>0</v>
      </c>
      <c r="L38" s="57">
        <v>0</v>
      </c>
      <c r="M38" s="57">
        <v>0</v>
      </c>
      <c r="N38" s="57">
        <f t="shared" ref="N38:T38" si="55">+N34</f>
        <v>23</v>
      </c>
      <c r="O38" s="57">
        <f t="shared" si="55"/>
        <v>15</v>
      </c>
      <c r="P38" s="57">
        <f t="shared" si="55"/>
        <v>10</v>
      </c>
      <c r="Q38" s="57">
        <f t="shared" si="55"/>
        <v>11</v>
      </c>
      <c r="R38" s="57">
        <f t="shared" si="55"/>
        <v>14</v>
      </c>
      <c r="S38" s="57">
        <f t="shared" si="55"/>
        <v>0</v>
      </c>
      <c r="T38" s="57">
        <f t="shared" si="55"/>
        <v>0</v>
      </c>
      <c r="U38" s="57"/>
      <c r="V38" s="57"/>
      <c r="W38" s="57"/>
      <c r="X38" s="57"/>
      <c r="Y38" s="57"/>
      <c r="Z38" s="57"/>
    </row>
    <row r="39" spans="1:40" ht="15" thickTop="1">
      <c r="A39" s="566"/>
      <c r="B39" s="566"/>
      <c r="C39" s="566"/>
      <c r="D39" s="566"/>
      <c r="E39" s="566"/>
      <c r="F39" s="566"/>
      <c r="G39" s="566"/>
      <c r="H39" s="566"/>
      <c r="I39" s="566"/>
      <c r="J39" s="566"/>
      <c r="K39" s="566"/>
      <c r="L39" s="566"/>
      <c r="M39" s="566"/>
      <c r="N39" s="566"/>
      <c r="O39" s="566"/>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row>
    <row r="41" spans="1:40">
      <c r="A41" s="2099" t="s">
        <v>713</v>
      </c>
      <c r="B41" s="2100"/>
      <c r="C41" s="2100"/>
      <c r="D41" s="2100"/>
      <c r="E41" s="2100"/>
      <c r="F41" s="2100"/>
      <c r="G41" s="2100"/>
      <c r="H41" s="2100"/>
      <c r="I41" s="2100"/>
    </row>
    <row r="42" spans="1:40" ht="30" customHeight="1">
      <c r="A42" s="58" t="s">
        <v>78</v>
      </c>
      <c r="B42" s="2096" t="s">
        <v>194</v>
      </c>
      <c r="C42" s="2096"/>
      <c r="D42" s="2096" t="s">
        <v>202</v>
      </c>
      <c r="E42" s="2096"/>
      <c r="F42" s="2097" t="s">
        <v>56</v>
      </c>
      <c r="G42" s="2098"/>
      <c r="H42" s="2096" t="s">
        <v>700</v>
      </c>
      <c r="I42" s="2096"/>
    </row>
    <row r="43" spans="1:40">
      <c r="A43" s="959">
        <f>HLOOKUP($AI$18,$B$33:$AN$38,2,FALSE)</f>
        <v>78</v>
      </c>
      <c r="B43" s="2090">
        <f>HLOOKUP($AI$18,$B$33:$AN$38,4,FALSE)</f>
        <v>99</v>
      </c>
      <c r="C43" s="2090"/>
      <c r="D43" s="2090"/>
      <c r="E43" s="2090"/>
      <c r="F43" s="2091">
        <f>B43-A43</f>
        <v>21</v>
      </c>
      <c r="G43" s="2092"/>
      <c r="H43" s="2090">
        <f>HLOOKUP($AM$18,$B$33:$AN$38,6,FALSE)</f>
        <v>23</v>
      </c>
      <c r="I43" s="2093"/>
    </row>
    <row r="47" spans="1:40">
      <c r="O47" s="766"/>
    </row>
    <row r="49" spans="1:19" s="399" customFormat="1" ht="27" customHeight="1">
      <c r="A49" s="530" t="s">
        <v>201</v>
      </c>
      <c r="B49" s="2089" t="s">
        <v>714</v>
      </c>
      <c r="C49" s="2089" t="s">
        <v>715</v>
      </c>
      <c r="D49" s="2089" t="s">
        <v>716</v>
      </c>
      <c r="E49" s="2089" t="s">
        <v>717</v>
      </c>
      <c r="F49" s="2089" t="s">
        <v>718</v>
      </c>
      <c r="G49" s="2089" t="s">
        <v>719</v>
      </c>
      <c r="H49" s="2089" t="s">
        <v>720</v>
      </c>
      <c r="I49" s="2089"/>
      <c r="J49" s="2089" t="s">
        <v>721</v>
      </c>
      <c r="K49" s="2089"/>
      <c r="L49" s="2089" t="s">
        <v>719</v>
      </c>
      <c r="M49" s="2089"/>
      <c r="N49" s="2089" t="s">
        <v>687</v>
      </c>
      <c r="O49" s="2089"/>
      <c r="P49" s="2089" t="s">
        <v>88</v>
      </c>
      <c r="Q49" s="2089"/>
    </row>
    <row r="50" spans="1:19" s="399" customFormat="1" ht="27" customHeight="1">
      <c r="A50" s="530" t="s">
        <v>711</v>
      </c>
      <c r="B50" s="2088">
        <v>2</v>
      </c>
      <c r="C50" s="2088"/>
      <c r="D50" s="2088">
        <v>3</v>
      </c>
      <c r="E50" s="2088"/>
      <c r="F50" s="2088">
        <v>2</v>
      </c>
      <c r="G50" s="2088"/>
      <c r="H50" s="2088">
        <v>20</v>
      </c>
      <c r="I50" s="2088"/>
      <c r="J50" s="2088">
        <v>1</v>
      </c>
      <c r="K50" s="2088"/>
      <c r="L50" s="2088">
        <v>2</v>
      </c>
      <c r="M50" s="2088"/>
      <c r="N50" s="2088">
        <v>0</v>
      </c>
      <c r="O50" s="2088"/>
      <c r="P50" s="2088">
        <f>SUM(B50:O50)</f>
        <v>30</v>
      </c>
      <c r="Q50" s="2088"/>
      <c r="R50" s="767"/>
      <c r="S50" s="767"/>
    </row>
    <row r="51" spans="1:19" s="399" customFormat="1" ht="27" customHeight="1">
      <c r="A51" s="530" t="s">
        <v>194</v>
      </c>
      <c r="B51" s="2088">
        <v>15</v>
      </c>
      <c r="C51" s="2088"/>
      <c r="D51" s="2088">
        <v>8</v>
      </c>
      <c r="E51" s="2088"/>
      <c r="F51" s="2088">
        <v>7</v>
      </c>
      <c r="G51" s="2088"/>
      <c r="H51" s="2088">
        <v>40</v>
      </c>
      <c r="I51" s="2088"/>
      <c r="J51" s="2088">
        <v>1</v>
      </c>
      <c r="K51" s="2088"/>
      <c r="L51" s="2088">
        <v>8</v>
      </c>
      <c r="M51" s="2088"/>
      <c r="N51" s="2088">
        <v>34</v>
      </c>
      <c r="O51" s="2088"/>
      <c r="P51" s="2088">
        <f>SUM(B51:O51)</f>
        <v>113</v>
      </c>
      <c r="Q51" s="2088"/>
    </row>
    <row r="52" spans="1:19" s="399" customFormat="1" ht="27" customHeight="1">
      <c r="A52" s="530" t="s">
        <v>202</v>
      </c>
      <c r="B52" s="2088"/>
      <c r="C52" s="2088"/>
      <c r="D52" s="2088"/>
      <c r="E52" s="2088"/>
      <c r="F52" s="2088"/>
      <c r="G52" s="2088"/>
      <c r="H52" s="2088"/>
      <c r="I52" s="2088"/>
      <c r="J52" s="2088"/>
      <c r="K52" s="2088"/>
      <c r="L52" s="2088"/>
      <c r="M52" s="2088"/>
      <c r="N52" s="2088"/>
      <c r="O52" s="2088"/>
      <c r="P52" s="2088">
        <f>SUM(B52:O52)</f>
        <v>0</v>
      </c>
      <c r="Q52" s="2088"/>
    </row>
    <row r="54" spans="1:19">
      <c r="Q54" s="766"/>
    </row>
  </sheetData>
  <mergeCells count="93">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 ref="B52:C52"/>
    <mergeCell ref="D52:E52"/>
    <mergeCell ref="F52:G52"/>
    <mergeCell ref="H52:I52"/>
    <mergeCell ref="J52:K52"/>
    <mergeCell ref="Z23:AA23"/>
    <mergeCell ref="H50:I50"/>
    <mergeCell ref="J50:K50"/>
    <mergeCell ref="L50:M50"/>
    <mergeCell ref="N50:O50"/>
    <mergeCell ref="P50:Q50"/>
    <mergeCell ref="H24:I24"/>
    <mergeCell ref="H49:I49"/>
    <mergeCell ref="J49:K49"/>
    <mergeCell ref="L49:M49"/>
    <mergeCell ref="N49:O49"/>
    <mergeCell ref="P49:Q49"/>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AM18:AO18"/>
    <mergeCell ref="F20:G20"/>
    <mergeCell ref="B20:C20"/>
    <mergeCell ref="D20:E20"/>
    <mergeCell ref="B19:C19"/>
    <mergeCell ref="D19:E19"/>
    <mergeCell ref="F19:G19"/>
    <mergeCell ref="AI18:AL18"/>
    <mergeCell ref="AG18:AH18"/>
    <mergeCell ref="A18:I18"/>
    <mergeCell ref="H19:I19"/>
    <mergeCell ref="H20:I20"/>
    <mergeCell ref="B24:C24"/>
    <mergeCell ref="D24:E24"/>
    <mergeCell ref="F24:G24"/>
    <mergeCell ref="H23:I23"/>
    <mergeCell ref="A22:I22"/>
    <mergeCell ref="B23:C23"/>
    <mergeCell ref="D23:E23"/>
    <mergeCell ref="F23:G23"/>
    <mergeCell ref="B43:C43"/>
    <mergeCell ref="F43:G43"/>
    <mergeCell ref="H43:I43"/>
    <mergeCell ref="D43:E43"/>
    <mergeCell ref="A32:Z32"/>
    <mergeCell ref="B42:C42"/>
    <mergeCell ref="F42:G42"/>
    <mergeCell ref="H42:I42"/>
    <mergeCell ref="D42:E42"/>
    <mergeCell ref="A41:I41"/>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O49"/>
  <sheetViews>
    <sheetView zoomScaleNormal="100" workbookViewId="0">
      <selection sqref="A1:J10"/>
    </sheetView>
  </sheetViews>
  <sheetFormatPr defaultColWidth="9.109375" defaultRowHeight="14.4"/>
  <cols>
    <col min="1" max="1" width="53.109375" bestFit="1" customWidth="1"/>
    <col min="2" max="2" width="15.44140625" customWidth="1"/>
    <col min="3" max="10" width="13.88671875" customWidth="1"/>
  </cols>
  <sheetData>
    <row r="1" spans="1:11" ht="16.2" thickBot="1">
      <c r="A1" s="2126" t="s">
        <v>722</v>
      </c>
      <c r="B1" s="2126"/>
      <c r="C1" s="2126"/>
      <c r="D1" s="2126"/>
      <c r="E1" s="2126"/>
      <c r="F1" s="2126"/>
      <c r="G1" s="2126"/>
      <c r="H1" s="2126"/>
      <c r="I1" s="2126"/>
      <c r="J1" s="2126"/>
    </row>
    <row r="2" spans="1:11" s="45" customFormat="1" ht="30" customHeight="1" thickBot="1">
      <c r="A2" s="1135" t="s">
        <v>115</v>
      </c>
      <c r="B2" s="1136" t="s">
        <v>723</v>
      </c>
      <c r="C2" s="1136" t="s">
        <v>724</v>
      </c>
      <c r="D2" s="1136" t="s">
        <v>725</v>
      </c>
      <c r="E2" s="1136" t="s">
        <v>726</v>
      </c>
      <c r="F2" s="1136" t="s">
        <v>727</v>
      </c>
      <c r="G2" s="1136" t="s">
        <v>728</v>
      </c>
      <c r="H2" s="1137" t="s">
        <v>729</v>
      </c>
      <c r="I2" s="1137" t="s">
        <v>730</v>
      </c>
      <c r="J2" s="1138" t="s">
        <v>731</v>
      </c>
    </row>
    <row r="3" spans="1:11">
      <c r="A3" s="1139" t="s">
        <v>1001</v>
      </c>
      <c r="B3" s="1140">
        <v>46215</v>
      </c>
      <c r="C3" s="1140">
        <v>46217</v>
      </c>
      <c r="D3" s="1232">
        <v>46174</v>
      </c>
      <c r="E3" s="1232">
        <v>46211</v>
      </c>
      <c r="F3" s="1141">
        <v>46174</v>
      </c>
      <c r="G3" s="1141"/>
      <c r="H3" s="1142">
        <v>1</v>
      </c>
      <c r="I3" s="1143"/>
      <c r="J3" s="1144"/>
    </row>
    <row r="4" spans="1:11">
      <c r="A4" s="1145" t="s">
        <v>1003</v>
      </c>
      <c r="B4" s="1146">
        <v>46335</v>
      </c>
      <c r="C4" s="1146">
        <v>46337</v>
      </c>
      <c r="D4" s="1231">
        <v>46175</v>
      </c>
      <c r="E4" s="1231" t="s">
        <v>1371</v>
      </c>
      <c r="F4" s="1147">
        <v>46182</v>
      </c>
      <c r="G4" s="1147"/>
      <c r="H4" s="1148">
        <v>1</v>
      </c>
      <c r="I4" s="1149"/>
      <c r="J4" s="1150"/>
    </row>
    <row r="5" spans="1:11">
      <c r="A5" s="1145" t="s">
        <v>1007</v>
      </c>
      <c r="B5" s="1146">
        <v>46476</v>
      </c>
      <c r="C5" s="1146">
        <v>46478</v>
      </c>
      <c r="D5" s="1231">
        <v>46182</v>
      </c>
      <c r="E5" s="1231">
        <v>46330</v>
      </c>
      <c r="F5" s="1147">
        <v>46183</v>
      </c>
      <c r="G5" s="1147"/>
      <c r="H5" s="1148">
        <v>0.1</v>
      </c>
      <c r="I5" s="1149"/>
      <c r="J5" s="1150"/>
    </row>
    <row r="6" spans="1:11">
      <c r="A6" s="1145" t="s">
        <v>1002</v>
      </c>
      <c r="B6" s="1146">
        <v>46352</v>
      </c>
      <c r="C6" s="1146">
        <v>46355</v>
      </c>
      <c r="D6" s="1231">
        <v>46182</v>
      </c>
      <c r="E6" s="1231">
        <v>46228</v>
      </c>
      <c r="F6" s="1147">
        <v>46205</v>
      </c>
      <c r="G6" s="1147"/>
      <c r="H6" s="1148">
        <v>1</v>
      </c>
      <c r="I6" s="1149"/>
      <c r="J6" s="1150"/>
    </row>
    <row r="7" spans="1:11">
      <c r="A7" s="1145" t="s">
        <v>1004</v>
      </c>
      <c r="B7" s="1146">
        <v>46334</v>
      </c>
      <c r="C7" s="1146">
        <v>46336</v>
      </c>
      <c r="D7" s="1231">
        <v>46183</v>
      </c>
      <c r="E7" s="1231" t="s">
        <v>1372</v>
      </c>
      <c r="F7" s="1147"/>
      <c r="G7" s="1147"/>
      <c r="H7" s="1148">
        <v>1</v>
      </c>
      <c r="I7" s="1149"/>
      <c r="J7" s="1150"/>
    </row>
    <row r="8" spans="1:11">
      <c r="A8" s="1145" t="s">
        <v>1006</v>
      </c>
      <c r="B8" s="1146">
        <v>46510</v>
      </c>
      <c r="C8" s="1151">
        <v>46512</v>
      </c>
      <c r="D8" s="1231">
        <v>46190</v>
      </c>
      <c r="E8" s="1231">
        <v>46393</v>
      </c>
      <c r="F8" s="1147"/>
      <c r="G8" s="1147"/>
      <c r="H8" s="1148"/>
      <c r="I8" s="1149"/>
      <c r="J8" s="1150"/>
    </row>
    <row r="9" spans="1:11">
      <c r="A9" s="1145" t="s">
        <v>1005</v>
      </c>
      <c r="B9" s="1146">
        <v>46376</v>
      </c>
      <c r="C9" s="1152">
        <v>46378</v>
      </c>
      <c r="D9" s="1231">
        <v>46273</v>
      </c>
      <c r="E9" s="1231">
        <v>46330</v>
      </c>
      <c r="F9" s="1147"/>
      <c r="G9" s="1147"/>
      <c r="H9" s="1148"/>
      <c r="I9" s="1149"/>
      <c r="J9" s="1150"/>
    </row>
    <row r="10" spans="1:11" ht="15" thickBot="1">
      <c r="A10" s="1153" t="s">
        <v>88</v>
      </c>
      <c r="B10" s="1154">
        <f>MAX(B3:B9)</f>
        <v>46510</v>
      </c>
      <c r="C10" s="1154">
        <f t="shared" ref="C10:E10" si="0">MAX(C3:C9)</f>
        <v>46512</v>
      </c>
      <c r="D10" s="1154">
        <f>MAX(D3:D9)</f>
        <v>46273</v>
      </c>
      <c r="E10" s="1154">
        <f t="shared" si="0"/>
        <v>46393</v>
      </c>
      <c r="F10" s="1155"/>
      <c r="G10" s="1154"/>
      <c r="H10" s="1156"/>
      <c r="I10" s="1157"/>
      <c r="J10" s="1158"/>
    </row>
    <row r="11" spans="1:11">
      <c r="B11" s="83"/>
    </row>
    <row r="15" spans="1:11">
      <c r="D15" s="83"/>
      <c r="E15" s="83"/>
      <c r="G15" s="1267"/>
      <c r="H15" s="570"/>
      <c r="I15" s="570"/>
      <c r="J15" s="531"/>
      <c r="K15" s="531"/>
    </row>
    <row r="16" spans="1:11">
      <c r="D16" s="83"/>
      <c r="E16" s="83"/>
      <c r="F16" s="83"/>
      <c r="G16" s="1267"/>
      <c r="H16" s="552"/>
      <c r="I16" s="552"/>
      <c r="J16" s="531"/>
      <c r="K16" s="531"/>
    </row>
    <row r="17" spans="1:15">
      <c r="D17" s="83"/>
      <c r="E17" s="83"/>
      <c r="F17" s="83"/>
      <c r="G17" s="1267"/>
      <c r="H17" s="552"/>
      <c r="I17" s="552"/>
      <c r="J17" s="531"/>
      <c r="K17" s="531"/>
    </row>
    <row r="18" spans="1:15">
      <c r="D18" s="83"/>
      <c r="E18" s="83"/>
      <c r="F18" s="83"/>
      <c r="G18" s="1267"/>
      <c r="H18" s="570"/>
      <c r="I18" s="552"/>
      <c r="J18" s="531"/>
      <c r="K18" s="531"/>
    </row>
    <row r="19" spans="1:15">
      <c r="D19" s="83"/>
      <c r="E19" s="83"/>
      <c r="F19" s="83"/>
      <c r="G19" s="1267"/>
      <c r="H19" s="552"/>
      <c r="I19" s="552"/>
      <c r="J19" s="531"/>
      <c r="K19" s="531"/>
    </row>
    <row r="20" spans="1:15">
      <c r="D20" s="83"/>
      <c r="E20" s="83"/>
      <c r="F20" s="83"/>
      <c r="G20" s="1267"/>
      <c r="H20" s="552"/>
      <c r="I20" s="552"/>
      <c r="J20" s="531"/>
      <c r="K20" s="531"/>
    </row>
    <row r="21" spans="1:15">
      <c r="D21" s="83"/>
      <c r="E21" s="83"/>
      <c r="F21" s="83"/>
      <c r="G21" s="1267"/>
      <c r="H21" s="552"/>
      <c r="I21" s="552"/>
      <c r="J21" s="531"/>
      <c r="K21" s="531"/>
    </row>
    <row r="22" spans="1:15">
      <c r="D22" s="83"/>
      <c r="E22" s="83"/>
      <c r="F22" s="83"/>
      <c r="G22" s="1267"/>
      <c r="H22" s="552"/>
      <c r="I22" s="552"/>
      <c r="J22" s="531"/>
      <c r="K22" s="531"/>
    </row>
    <row r="23" spans="1:15">
      <c r="D23" s="83"/>
      <c r="E23" s="83"/>
      <c r="F23" s="83"/>
      <c r="G23" s="1267"/>
      <c r="H23" s="552"/>
      <c r="I23" s="552"/>
      <c r="J23" s="531"/>
      <c r="K23" s="531"/>
    </row>
    <row r="24" spans="1:15">
      <c r="D24" s="83"/>
      <c r="E24" s="83"/>
      <c r="F24" s="83"/>
      <c r="G24" s="1267"/>
      <c r="H24" s="552"/>
      <c r="I24" s="552"/>
      <c r="J24" s="531"/>
      <c r="K24" s="531"/>
    </row>
    <row r="25" spans="1:15">
      <c r="D25" s="83"/>
      <c r="E25" s="83"/>
      <c r="F25" s="83"/>
      <c r="G25" s="1267"/>
      <c r="H25" s="552"/>
      <c r="I25" s="552"/>
      <c r="J25" s="531"/>
      <c r="K25" s="531"/>
    </row>
    <row r="26" spans="1:15">
      <c r="D26" s="83"/>
      <c r="E26" s="83"/>
      <c r="F26" s="83"/>
      <c r="G26" s="1267"/>
      <c r="H26" s="552"/>
      <c r="I26" s="552"/>
      <c r="J26" s="531"/>
      <c r="K26" s="531"/>
    </row>
    <row r="27" spans="1:15">
      <c r="A27" s="1179"/>
      <c r="B27" s="1179"/>
      <c r="C27" s="1179"/>
      <c r="D27" s="1180"/>
      <c r="E27" s="1186"/>
      <c r="F27" s="1180"/>
      <c r="G27" s="1294"/>
      <c r="H27" s="1184"/>
      <c r="I27" s="1184"/>
      <c r="J27" s="1184"/>
      <c r="K27" s="1185"/>
      <c r="L27" s="1184"/>
      <c r="M27" s="1185"/>
      <c r="N27" s="1179"/>
      <c r="O27" s="1179"/>
    </row>
    <row r="28" spans="1:15">
      <c r="A28" s="1179"/>
      <c r="B28" s="1179"/>
      <c r="C28" s="1179"/>
      <c r="D28" s="1180"/>
      <c r="E28" s="1187"/>
      <c r="F28" s="1180"/>
      <c r="G28" s="1180"/>
      <c r="H28" s="1184"/>
      <c r="I28" s="1184"/>
      <c r="J28" s="1179"/>
      <c r="K28" s="1185"/>
      <c r="L28" s="1179"/>
      <c r="M28" s="1179"/>
      <c r="N28" s="1179"/>
      <c r="O28" s="1179"/>
    </row>
    <row r="30" spans="1:15">
      <c r="D30" s="83"/>
      <c r="E30" s="83"/>
      <c r="F30" s="83"/>
      <c r="G30" s="83"/>
      <c r="H30" s="552"/>
      <c r="I30" s="552"/>
      <c r="K30" s="531"/>
    </row>
    <row r="31" spans="1:15">
      <c r="D31" s="83"/>
      <c r="E31" s="83"/>
      <c r="F31" s="83"/>
      <c r="G31" s="83"/>
      <c r="H31" s="552"/>
      <c r="I31" s="552"/>
      <c r="K31" s="531"/>
    </row>
    <row r="32" spans="1:15">
      <c r="D32" s="83"/>
      <c r="E32" s="83"/>
      <c r="F32" s="83"/>
      <c r="G32" s="83"/>
      <c r="H32" s="552"/>
      <c r="I32" s="552"/>
      <c r="K32" s="531"/>
    </row>
    <row r="33" spans="4:11">
      <c r="D33" s="83"/>
      <c r="E33" s="83"/>
      <c r="F33" s="83"/>
      <c r="G33" s="83"/>
      <c r="H33" s="552"/>
      <c r="I33" s="552"/>
      <c r="K33" s="531"/>
    </row>
    <row r="34" spans="4:11">
      <c r="D34" s="83"/>
      <c r="E34" s="83"/>
      <c r="F34" s="83"/>
      <c r="G34" s="83"/>
      <c r="H34" s="552"/>
      <c r="I34" s="552"/>
      <c r="K34" s="531"/>
    </row>
    <row r="35" spans="4:11">
      <c r="D35" s="83"/>
      <c r="E35" s="83"/>
      <c r="F35" s="83"/>
      <c r="G35" s="83"/>
      <c r="H35" s="552"/>
      <c r="I35" s="552"/>
      <c r="K35" s="531"/>
    </row>
    <row r="36" spans="4:11">
      <c r="D36" s="83"/>
      <c r="E36" s="83"/>
      <c r="F36" s="83"/>
      <c r="G36" s="83"/>
      <c r="H36" s="552"/>
      <c r="I36" s="552"/>
      <c r="K36" s="531"/>
    </row>
    <row r="37" spans="4:11">
      <c r="D37" s="83"/>
      <c r="E37" s="83"/>
      <c r="F37" s="83"/>
      <c r="G37" s="83"/>
      <c r="H37" s="552"/>
      <c r="I37" s="552"/>
      <c r="K37" s="531"/>
    </row>
    <row r="38" spans="4:11">
      <c r="D38" s="83"/>
      <c r="E38" s="83"/>
      <c r="F38" s="83"/>
      <c r="G38" s="83"/>
      <c r="H38" s="552"/>
      <c r="I38" s="552"/>
      <c r="K38" s="531"/>
    </row>
    <row r="43" spans="4:11">
      <c r="D43" s="83"/>
      <c r="E43" s="83"/>
      <c r="F43" s="83"/>
      <c r="G43" s="83"/>
      <c r="H43" s="552"/>
      <c r="I43" s="552"/>
      <c r="K43" s="531"/>
    </row>
    <row r="44" spans="4:11">
      <c r="D44" s="83"/>
      <c r="E44" s="83"/>
      <c r="F44" s="83"/>
      <c r="G44" s="83"/>
      <c r="H44" s="552"/>
      <c r="I44" s="552"/>
      <c r="K44" s="531"/>
    </row>
    <row r="45" spans="4:11">
      <c r="D45" s="83"/>
      <c r="E45" s="83"/>
      <c r="F45" s="83"/>
      <c r="G45" s="83"/>
      <c r="H45" s="552"/>
      <c r="I45" s="552"/>
      <c r="K45" s="531"/>
    </row>
    <row r="46" spans="4:11">
      <c r="D46" s="83"/>
      <c r="E46" s="83"/>
      <c r="F46" s="83"/>
      <c r="G46" s="83"/>
      <c r="H46" s="552"/>
      <c r="I46" s="552"/>
      <c r="K46" s="531"/>
    </row>
    <row r="47" spans="4:11">
      <c r="D47" s="83"/>
      <c r="E47" s="83"/>
      <c r="F47" s="83"/>
      <c r="G47" s="83"/>
      <c r="H47" s="552"/>
      <c r="I47" s="552"/>
      <c r="K47" s="531"/>
    </row>
    <row r="48" spans="4:11">
      <c r="D48" s="83"/>
      <c r="E48" s="83"/>
      <c r="F48" s="83"/>
      <c r="G48" s="83"/>
      <c r="H48" s="552"/>
      <c r="I48" s="552"/>
      <c r="K48" s="531"/>
    </row>
    <row r="49" spans="4:11">
      <c r="D49" s="83"/>
      <c r="E49" s="83"/>
      <c r="F49" s="83"/>
      <c r="G49" s="83"/>
      <c r="H49" s="552"/>
      <c r="I49" s="552"/>
      <c r="K49" s="531"/>
    </row>
  </sheetData>
  <mergeCells count="1">
    <mergeCell ref="A1:J1"/>
  </mergeCells>
  <pageMargins left="0.7" right="0.7" top="0.75" bottom="0.75" header="0.3" footer="0.3"/>
  <headerFooter>
    <oddFooter>&amp;L_x000D_&amp;1#&amp;"Calibri"&amp;10&amp;K000000 Data sensitivity -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2"/>
  <sheetViews>
    <sheetView rightToLeft="1" view="pageBreakPreview" topLeftCell="A7" zoomScale="85" zoomScaleNormal="44" zoomScaleSheetLayoutView="85" workbookViewId="0">
      <selection activeCell="D6" sqref="D6"/>
    </sheetView>
  </sheetViews>
  <sheetFormatPr defaultColWidth="8.6640625" defaultRowHeight="14.4"/>
  <cols>
    <col min="1" max="1" width="16.44140625" style="34" bestFit="1" customWidth="1"/>
    <col min="2" max="2" width="22.33203125" style="34" customWidth="1"/>
    <col min="3" max="3" width="22.44140625" style="34" customWidth="1"/>
    <col min="4" max="4" width="26.109375" style="34" customWidth="1"/>
    <col min="5" max="5" width="2.109375" style="34" customWidth="1"/>
    <col min="6" max="6" width="31.44140625" style="34" customWidth="1"/>
    <col min="7" max="10" width="10.88671875" style="34" customWidth="1"/>
    <col min="11" max="11" width="2.109375" style="34" customWidth="1"/>
    <col min="12" max="22" width="16.109375" style="34" customWidth="1"/>
    <col min="23" max="16384" width="8.6640625" style="34"/>
  </cols>
  <sheetData>
    <row r="1" spans="1:24" ht="45.9" customHeight="1" thickBot="1">
      <c r="A1" s="2143" t="s">
        <v>1065</v>
      </c>
      <c r="B1" s="2144"/>
      <c r="C1" s="2144"/>
      <c r="D1" s="2144"/>
      <c r="E1" s="2144"/>
      <c r="F1" s="2144"/>
      <c r="G1" s="2144"/>
      <c r="H1" s="2144"/>
      <c r="I1" s="2144"/>
      <c r="J1" s="2144"/>
      <c r="K1" s="2144"/>
      <c r="L1" s="2144"/>
      <c r="M1" s="2144"/>
      <c r="N1" s="2144"/>
      <c r="O1" s="2145"/>
      <c r="P1" s="1046"/>
      <c r="Q1" s="1046"/>
      <c r="R1" s="1046"/>
      <c r="S1" s="1046"/>
      <c r="T1" s="1046"/>
      <c r="U1" s="1046"/>
      <c r="V1" s="1046"/>
    </row>
    <row r="2" spans="1:24" ht="31.5" customHeight="1" thickBot="1">
      <c r="A2" s="2140" t="s">
        <v>1064</v>
      </c>
      <c r="B2" s="2141"/>
      <c r="C2" s="2141"/>
      <c r="D2" s="2142"/>
      <c r="F2" s="2147" t="s">
        <v>1063</v>
      </c>
      <c r="G2" s="2148"/>
      <c r="H2" s="2148"/>
      <c r="I2" s="2148"/>
      <c r="J2" s="2149"/>
      <c r="L2" s="2129" t="s">
        <v>1062</v>
      </c>
      <c r="M2" s="2130"/>
      <c r="N2" s="2130"/>
      <c r="O2" s="2134"/>
      <c r="P2" s="1032"/>
      <c r="Q2" s="1032"/>
      <c r="R2" s="1032"/>
      <c r="S2" s="1032"/>
      <c r="T2" s="1032"/>
      <c r="U2" s="1032"/>
      <c r="V2" s="1032"/>
    </row>
    <row r="3" spans="1:24" ht="31.5" customHeight="1">
      <c r="A3" s="1044" t="s">
        <v>1061</v>
      </c>
      <c r="B3" s="1045" t="s">
        <v>1060</v>
      </c>
      <c r="C3" s="1044" t="s">
        <v>1059</v>
      </c>
      <c r="D3" s="1043" t="s">
        <v>1058</v>
      </c>
      <c r="F3" s="1042" t="s">
        <v>1033</v>
      </c>
      <c r="G3" s="1016" t="s">
        <v>1039</v>
      </c>
      <c r="H3" s="1016" t="s">
        <v>1057</v>
      </c>
      <c r="I3" s="1016" t="s">
        <v>1037</v>
      </c>
      <c r="J3" s="1016" t="s">
        <v>1056</v>
      </c>
      <c r="L3" s="1041"/>
      <c r="M3" s="1040"/>
      <c r="N3" s="1040"/>
      <c r="O3" s="1039"/>
      <c r="P3" s="1027"/>
      <c r="Q3" s="1027"/>
      <c r="R3" s="1027"/>
      <c r="S3" s="1027"/>
      <c r="T3" s="1027"/>
      <c r="U3" s="1027"/>
      <c r="V3" s="1027"/>
    </row>
    <row r="4" spans="1:24" ht="31.5" customHeight="1">
      <c r="A4" s="1034" t="s">
        <v>1055</v>
      </c>
      <c r="B4" s="1038" t="s">
        <v>1054</v>
      </c>
      <c r="C4" s="1034" t="s">
        <v>1053</v>
      </c>
      <c r="D4" s="1038" t="s">
        <v>1052</v>
      </c>
      <c r="F4" s="1025" t="s">
        <v>1157</v>
      </c>
      <c r="G4" s="1022">
        <v>5657</v>
      </c>
      <c r="H4" s="1021">
        <v>5487</v>
      </c>
      <c r="I4" s="1021">
        <f t="shared" ref="I4:I10" si="0">G4-H4</f>
        <v>170</v>
      </c>
      <c r="J4" s="1020">
        <f t="shared" ref="J4:J11" si="1">H4/G4</f>
        <v>0.96994873607919396</v>
      </c>
      <c r="L4" s="1030"/>
      <c r="M4" s="1027"/>
      <c r="N4" s="1027"/>
      <c r="O4" s="1029"/>
      <c r="P4" s="1027"/>
      <c r="Q4" s="1027"/>
      <c r="R4" s="1027"/>
      <c r="S4" s="1027"/>
      <c r="T4" s="1027"/>
      <c r="U4" s="1027"/>
      <c r="V4" s="1027"/>
      <c r="W4" s="1024"/>
      <c r="X4" s="1024"/>
    </row>
    <row r="5" spans="1:24" ht="31.5" customHeight="1">
      <c r="A5" s="1034" t="s">
        <v>1051</v>
      </c>
      <c r="B5" s="1037" t="s">
        <v>1050</v>
      </c>
      <c r="C5" s="1034" t="s">
        <v>1049</v>
      </c>
      <c r="D5" s="1036" t="s">
        <v>1048</v>
      </c>
      <c r="F5" s="1031" t="s">
        <v>1158</v>
      </c>
      <c r="G5" s="1015">
        <v>13171</v>
      </c>
      <c r="H5" s="1015">
        <v>13171</v>
      </c>
      <c r="I5" s="1014">
        <f t="shared" si="0"/>
        <v>0</v>
      </c>
      <c r="J5" s="1013">
        <f t="shared" si="1"/>
        <v>1</v>
      </c>
      <c r="L5" s="1030"/>
      <c r="M5" s="1027"/>
      <c r="N5" s="1027"/>
      <c r="O5" s="1029"/>
      <c r="P5" s="1027"/>
      <c r="Q5" s="1027"/>
      <c r="R5" s="1027"/>
      <c r="S5" s="1027"/>
      <c r="T5" s="1027"/>
      <c r="U5" s="1027"/>
      <c r="V5" s="1027"/>
      <c r="W5" s="1024"/>
      <c r="X5" s="1024"/>
    </row>
    <row r="6" spans="1:24" ht="31.5" customHeight="1">
      <c r="A6" s="1034" t="s">
        <v>1047</v>
      </c>
      <c r="B6" s="1035">
        <f>'Progress (2)'!F3</f>
        <v>0.59850000000000003</v>
      </c>
      <c r="C6" s="1034" t="s">
        <v>1046</v>
      </c>
      <c r="D6" s="1033">
        <f>'Progress (2)'!G3</f>
        <v>0.93310000000000004</v>
      </c>
      <c r="F6" s="1025" t="s">
        <v>1159</v>
      </c>
      <c r="G6" s="1022">
        <v>9910</v>
      </c>
      <c r="H6" s="1022">
        <v>9910</v>
      </c>
      <c r="I6" s="1021">
        <f t="shared" si="0"/>
        <v>0</v>
      </c>
      <c r="J6" s="1020">
        <f t="shared" si="1"/>
        <v>1</v>
      </c>
      <c r="L6" s="1030"/>
      <c r="M6" s="1027"/>
      <c r="N6" s="1027"/>
      <c r="O6" s="1029"/>
      <c r="P6" s="1027"/>
      <c r="Q6" s="1027"/>
      <c r="R6" s="1027"/>
      <c r="S6" s="1027"/>
      <c r="T6" s="1027"/>
      <c r="U6" s="1027"/>
      <c r="V6" s="1027"/>
      <c r="W6" s="1024"/>
      <c r="X6" s="1024"/>
    </row>
    <row r="7" spans="1:24" ht="31.5" customHeight="1" thickBot="1">
      <c r="F7" s="1031" t="s">
        <v>1160</v>
      </c>
      <c r="G7" s="1015">
        <v>11025</v>
      </c>
      <c r="H7" s="1015">
        <v>11025</v>
      </c>
      <c r="I7" s="1014">
        <f>G7-H7</f>
        <v>0</v>
      </c>
      <c r="J7" s="1013">
        <f t="shared" si="1"/>
        <v>1</v>
      </c>
      <c r="L7" s="1030"/>
      <c r="M7" s="1027"/>
      <c r="N7" s="1027"/>
      <c r="O7" s="1029"/>
      <c r="P7" s="1027"/>
      <c r="Q7" s="1027"/>
      <c r="R7" s="1027"/>
      <c r="S7" s="1027"/>
      <c r="T7" s="1027"/>
      <c r="U7" s="1027"/>
      <c r="V7" s="1027"/>
      <c r="W7" s="1024"/>
      <c r="X7" s="1024"/>
    </row>
    <row r="8" spans="1:24" ht="31.5" customHeight="1" thickBot="1">
      <c r="A8" s="2129" t="s">
        <v>1045</v>
      </c>
      <c r="B8" s="2130"/>
      <c r="C8" s="2130"/>
      <c r="D8" s="2134"/>
      <c r="F8" s="1025" t="s">
        <v>1164</v>
      </c>
      <c r="G8" s="1022">
        <v>4025</v>
      </c>
      <c r="H8" s="1022">
        <v>4025</v>
      </c>
      <c r="I8" s="1021">
        <f t="shared" si="0"/>
        <v>0</v>
      </c>
      <c r="J8" s="1020">
        <f t="shared" si="1"/>
        <v>1</v>
      </c>
      <c r="L8" s="1030"/>
      <c r="M8" s="1027"/>
      <c r="N8" s="1027"/>
      <c r="O8" s="1029"/>
      <c r="P8" s="1027"/>
      <c r="Q8" s="1027"/>
      <c r="R8" s="1027"/>
      <c r="S8" s="1027"/>
      <c r="T8" s="1027"/>
      <c r="U8" s="1027"/>
      <c r="V8" s="1027"/>
      <c r="W8" s="1024"/>
      <c r="X8" s="1024"/>
    </row>
    <row r="9" spans="1:24" ht="31.5" customHeight="1">
      <c r="A9" s="2136" t="s">
        <v>1044</v>
      </c>
      <c r="B9" s="2136"/>
      <c r="C9" s="1016" t="s">
        <v>1043</v>
      </c>
      <c r="D9" s="1016" t="s">
        <v>1042</v>
      </c>
      <c r="F9" s="1031" t="s">
        <v>1163</v>
      </c>
      <c r="G9" s="1015">
        <v>4209</v>
      </c>
      <c r="H9" s="1014">
        <v>4209</v>
      </c>
      <c r="I9" s="1014">
        <f t="shared" si="0"/>
        <v>0</v>
      </c>
      <c r="J9" s="1013">
        <f t="shared" si="1"/>
        <v>1</v>
      </c>
      <c r="L9" s="1030"/>
      <c r="M9" s="1027"/>
      <c r="N9" s="1027"/>
      <c r="O9" s="1029"/>
      <c r="P9" s="1027"/>
      <c r="Q9" s="1028"/>
      <c r="R9" s="1027"/>
      <c r="S9" s="1027"/>
      <c r="T9" s="1027"/>
      <c r="U9" s="1027"/>
      <c r="V9" s="1027"/>
      <c r="W9" s="1024"/>
      <c r="X9" s="1024"/>
    </row>
    <row r="10" spans="1:24" ht="31.5" customHeight="1" thickBot="1">
      <c r="A10" s="2132" t="s">
        <v>398</v>
      </c>
      <c r="B10" s="2133"/>
      <c r="C10" s="1190">
        <v>31180897.059999999</v>
      </c>
      <c r="D10" s="1020">
        <f t="shared" ref="D10:D16" si="2">+C10/$C$21</f>
        <v>0.54412794562293521</v>
      </c>
      <c r="F10" s="1031" t="s">
        <v>1162</v>
      </c>
      <c r="G10" s="1022">
        <v>2734.95</v>
      </c>
      <c r="H10" s="1022">
        <v>2735</v>
      </c>
      <c r="I10" s="1021">
        <f t="shared" si="0"/>
        <v>-5.0000000000181899E-2</v>
      </c>
      <c r="J10" s="1020">
        <f t="shared" si="1"/>
        <v>1.0000182818698697</v>
      </c>
      <c r="L10" s="1006"/>
      <c r="M10" s="1005"/>
      <c r="N10" s="1005"/>
      <c r="O10" s="1004"/>
      <c r="W10" s="1024"/>
      <c r="X10" s="1024"/>
    </row>
    <row r="11" spans="1:24" ht="31.5" customHeight="1" thickBot="1">
      <c r="A11" s="2127" t="s">
        <v>1199</v>
      </c>
      <c r="B11" s="2127"/>
      <c r="C11" s="1191">
        <v>8774396.3399999999</v>
      </c>
      <c r="D11" s="1013">
        <f t="shared" si="2"/>
        <v>0.15311920774371723</v>
      </c>
      <c r="F11" s="1025" t="s">
        <v>1161</v>
      </c>
      <c r="G11" s="1015">
        <v>3791</v>
      </c>
      <c r="H11" s="1015">
        <v>3791</v>
      </c>
      <c r="I11" s="1014">
        <f>G11-H11</f>
        <v>0</v>
      </c>
      <c r="J11" s="1013">
        <f t="shared" si="1"/>
        <v>1</v>
      </c>
      <c r="Q11" s="1195"/>
      <c r="W11" s="1024"/>
      <c r="X11" s="1024"/>
    </row>
    <row r="12" spans="1:24" ht="31.5" customHeight="1" thickBot="1">
      <c r="A12" s="2132" t="s">
        <v>829</v>
      </c>
      <c r="B12" s="2133"/>
      <c r="C12" s="1190">
        <v>2528759.58</v>
      </c>
      <c r="D12" s="1020">
        <f t="shared" si="2"/>
        <v>4.4128581438564823E-2</v>
      </c>
      <c r="F12" s="2129" t="s">
        <v>1041</v>
      </c>
      <c r="G12" s="2130"/>
      <c r="H12" s="2130"/>
      <c r="I12" s="2130"/>
      <c r="J12" s="2134"/>
      <c r="L12" s="2129" t="s">
        <v>1040</v>
      </c>
      <c r="M12" s="2130"/>
      <c r="N12" s="2130"/>
      <c r="O12" s="2130"/>
      <c r="P12" s="1032"/>
      <c r="Q12" s="1032"/>
      <c r="R12" s="1032"/>
      <c r="S12" s="1032"/>
      <c r="T12" s="1032"/>
      <c r="U12" s="1032"/>
      <c r="V12" s="1032"/>
    </row>
    <row r="13" spans="1:24" ht="31.5" customHeight="1">
      <c r="A13" s="2127" t="s">
        <v>828</v>
      </c>
      <c r="B13" s="2127"/>
      <c r="C13" s="1191">
        <v>2885130.73</v>
      </c>
      <c r="D13" s="1013">
        <f t="shared" si="2"/>
        <v>5.0347501354680378E-2</v>
      </c>
      <c r="F13" s="1016" t="s">
        <v>1033</v>
      </c>
      <c r="G13" s="1016" t="s">
        <v>1039</v>
      </c>
      <c r="H13" s="1016" t="s">
        <v>1038</v>
      </c>
      <c r="I13" s="1016" t="s">
        <v>1037</v>
      </c>
      <c r="J13" s="1016" t="s">
        <v>1036</v>
      </c>
      <c r="L13" s="1010"/>
      <c r="M13" s="1009"/>
      <c r="N13" s="1010"/>
      <c r="O13" s="1009"/>
      <c r="W13" s="1024"/>
    </row>
    <row r="14" spans="1:24" ht="31.5" customHeight="1">
      <c r="A14" s="2132" t="s">
        <v>1200</v>
      </c>
      <c r="B14" s="2133"/>
      <c r="C14" s="1190">
        <v>2756313.03</v>
      </c>
      <c r="D14" s="1020">
        <f t="shared" si="2"/>
        <v>4.8099544526305799E-2</v>
      </c>
      <c r="F14" s="1031" t="s">
        <v>1158</v>
      </c>
      <c r="G14" s="1015">
        <v>13117</v>
      </c>
      <c r="H14" s="1015">
        <v>13117</v>
      </c>
      <c r="I14" s="1014">
        <f t="shared" ref="I14:I20" si="3">+G14-H14</f>
        <v>0</v>
      </c>
      <c r="J14" s="1013">
        <f t="shared" ref="J14:J20" si="4">H14/G14</f>
        <v>1</v>
      </c>
      <c r="L14" s="1010"/>
      <c r="M14" s="1009"/>
      <c r="N14" s="1010"/>
      <c r="O14" s="1009"/>
      <c r="W14" s="1024"/>
    </row>
    <row r="15" spans="1:24" ht="31.5" customHeight="1">
      <c r="A15" s="2127" t="s">
        <v>1201</v>
      </c>
      <c r="B15" s="2127"/>
      <c r="C15" s="1191">
        <v>5894424.9699999997</v>
      </c>
      <c r="D15" s="1013">
        <f t="shared" si="2"/>
        <v>0.10286174074411415</v>
      </c>
      <c r="F15" s="1025" t="s">
        <v>1159</v>
      </c>
      <c r="G15" s="1022">
        <v>10025</v>
      </c>
      <c r="H15" s="1023">
        <v>10025</v>
      </c>
      <c r="I15" s="1021">
        <f>+G15-H15</f>
        <v>0</v>
      </c>
      <c r="J15" s="1020">
        <f t="shared" si="4"/>
        <v>1</v>
      </c>
      <c r="L15" s="1010"/>
      <c r="M15" s="1009"/>
      <c r="N15" s="1010"/>
      <c r="O15" s="1009"/>
      <c r="W15" s="1024"/>
    </row>
    <row r="16" spans="1:24" ht="31.5" customHeight="1">
      <c r="A16" s="2132" t="s">
        <v>1202</v>
      </c>
      <c r="B16" s="2133"/>
      <c r="C16" s="1190">
        <v>3284426.12</v>
      </c>
      <c r="D16" s="1020">
        <f t="shared" si="2"/>
        <v>5.7315478569682568E-2</v>
      </c>
      <c r="F16" s="1031" t="s">
        <v>1160</v>
      </c>
      <c r="G16" s="1015">
        <v>6395</v>
      </c>
      <c r="H16" s="1015">
        <v>6395</v>
      </c>
      <c r="I16" s="1014">
        <f>+G16-H16</f>
        <v>0</v>
      </c>
      <c r="J16" s="1013">
        <f t="shared" si="4"/>
        <v>1</v>
      </c>
      <c r="L16" s="1010"/>
      <c r="M16" s="1009"/>
      <c r="N16" s="1010"/>
      <c r="O16" s="1009"/>
      <c r="W16" s="1024"/>
    </row>
    <row r="17" spans="1:24" ht="31.5" customHeight="1">
      <c r="A17" s="2127"/>
      <c r="B17" s="2127"/>
      <c r="C17" s="1191"/>
      <c r="D17" s="1013"/>
      <c r="F17" s="1025" t="s">
        <v>1164</v>
      </c>
      <c r="G17" s="1022">
        <v>4833</v>
      </c>
      <c r="H17" s="1023">
        <v>4833</v>
      </c>
      <c r="I17" s="1021">
        <f>+G17-H17</f>
        <v>0</v>
      </c>
      <c r="J17" s="1020">
        <f t="shared" si="4"/>
        <v>1</v>
      </c>
      <c r="L17" s="1010"/>
      <c r="M17" s="1009"/>
      <c r="N17" s="1010"/>
      <c r="O17" s="1009"/>
      <c r="W17" s="1024"/>
    </row>
    <row r="18" spans="1:24" ht="31.5" customHeight="1">
      <c r="A18" s="2132"/>
      <c r="B18" s="2133"/>
      <c r="C18" s="1190"/>
      <c r="D18" s="1020"/>
      <c r="F18" s="1031" t="s">
        <v>1163</v>
      </c>
      <c r="G18" s="1015">
        <v>4136</v>
      </c>
      <c r="H18" s="1015">
        <v>4136</v>
      </c>
      <c r="I18" s="1021">
        <f t="shared" si="3"/>
        <v>0</v>
      </c>
      <c r="J18" s="1013">
        <f t="shared" si="4"/>
        <v>1</v>
      </c>
      <c r="L18" s="1010"/>
      <c r="M18" s="1009"/>
      <c r="N18" s="1010"/>
      <c r="O18" s="1009"/>
      <c r="Q18" s="1024"/>
      <c r="W18" s="1024"/>
    </row>
    <row r="19" spans="1:24" ht="31.5" customHeight="1">
      <c r="A19" s="2127"/>
      <c r="B19" s="2127"/>
      <c r="C19" s="1191"/>
      <c r="D19" s="1013"/>
      <c r="F19" s="1025" t="s">
        <v>1162</v>
      </c>
      <c r="G19" s="1022">
        <v>2735</v>
      </c>
      <c r="H19" s="1022">
        <v>2735</v>
      </c>
      <c r="I19" s="1021">
        <f t="shared" si="3"/>
        <v>0</v>
      </c>
      <c r="J19" s="1020">
        <f t="shared" si="4"/>
        <v>1</v>
      </c>
      <c r="L19" s="1010"/>
      <c r="M19" s="1009"/>
      <c r="N19" s="1010"/>
      <c r="O19" s="1009"/>
      <c r="W19" s="1024"/>
    </row>
    <row r="20" spans="1:24" ht="31.5" customHeight="1">
      <c r="A20" s="2132"/>
      <c r="B20" s="2133"/>
      <c r="C20" s="1190"/>
      <c r="D20" s="1020"/>
      <c r="F20" s="1031" t="s">
        <v>1165</v>
      </c>
      <c r="G20" s="1015">
        <v>2734</v>
      </c>
      <c r="H20" s="1015">
        <v>2734</v>
      </c>
      <c r="I20" s="1014">
        <f t="shared" si="3"/>
        <v>0</v>
      </c>
      <c r="J20" s="1013">
        <f t="shared" si="4"/>
        <v>1</v>
      </c>
      <c r="L20" s="1030"/>
      <c r="M20" s="1029"/>
      <c r="N20" s="1030"/>
      <c r="O20" s="1029"/>
      <c r="P20" s="1028"/>
      <c r="Q20" s="1027"/>
      <c r="R20" s="1027"/>
      <c r="S20" s="1027"/>
      <c r="T20" s="1027"/>
      <c r="U20" s="1027"/>
      <c r="V20" s="1027"/>
      <c r="W20" s="1024"/>
    </row>
    <row r="21" spans="1:24" ht="31.5" customHeight="1" thickBot="1">
      <c r="A21" s="2135" t="s">
        <v>1035</v>
      </c>
      <c r="B21" s="2135"/>
      <c r="C21" s="920">
        <f>+SUM(C10:C20)</f>
        <v>57304347.829999991</v>
      </c>
      <c r="D21" s="1026">
        <f>SUM(D10:D20)</f>
        <v>1.0000000000000002</v>
      </c>
      <c r="F21" s="1007"/>
      <c r="G21" s="1023"/>
      <c r="H21" s="1022"/>
      <c r="I21" s="1021"/>
      <c r="J21" s="1020"/>
      <c r="L21" s="1006"/>
      <c r="M21" s="1004"/>
      <c r="N21" s="1006"/>
      <c r="O21" s="1004"/>
      <c r="X21" s="1024"/>
    </row>
    <row r="22" spans="1:24" ht="31.5" customHeight="1" thickBot="1">
      <c r="A22" s="2137" t="s">
        <v>1034</v>
      </c>
      <c r="B22" s="2138"/>
      <c r="C22" s="2138"/>
      <c r="D22" s="2139"/>
      <c r="F22" s="1084"/>
      <c r="G22" s="1015"/>
      <c r="H22" s="1015"/>
      <c r="I22" s="1014"/>
      <c r="J22" s="1013"/>
      <c r="L22" s="1019"/>
      <c r="M22" s="1017"/>
      <c r="N22" s="1018"/>
      <c r="O22" s="1017"/>
    </row>
    <row r="23" spans="1:24" ht="31.5" customHeight="1">
      <c r="A23" s="2136" t="s">
        <v>1033</v>
      </c>
      <c r="B23" s="2136"/>
      <c r="C23" s="1016" t="s">
        <v>1032</v>
      </c>
      <c r="D23" s="1016" t="s">
        <v>1031</v>
      </c>
      <c r="F23" s="1011"/>
      <c r="G23" s="1015"/>
      <c r="H23" s="1015"/>
      <c r="I23" s="1014"/>
      <c r="J23" s="1013"/>
      <c r="L23" s="1010"/>
      <c r="M23" s="1009"/>
      <c r="O23" s="1009"/>
    </row>
    <row r="24" spans="1:24" ht="31.5" customHeight="1" thickBot="1">
      <c r="A24" s="2127" t="s">
        <v>1030</v>
      </c>
      <c r="B24" s="2127"/>
      <c r="C24" s="1012">
        <v>46014</v>
      </c>
      <c r="D24" s="1007" t="s">
        <v>1028</v>
      </c>
      <c r="L24" s="1010"/>
      <c r="M24" s="1009"/>
      <c r="O24" s="1009"/>
    </row>
    <row r="25" spans="1:24" ht="31.5" customHeight="1" thickBot="1">
      <c r="A25" s="2131" t="s">
        <v>1029</v>
      </c>
      <c r="B25" s="2131"/>
      <c r="C25" s="1008">
        <v>46014</v>
      </c>
      <c r="D25" s="1011" t="s">
        <v>1028</v>
      </c>
      <c r="F25" s="2129" t="s">
        <v>1027</v>
      </c>
      <c r="G25" s="2130"/>
      <c r="H25" s="2130"/>
      <c r="I25" s="2130"/>
      <c r="J25" s="2134"/>
      <c r="L25" s="1010"/>
      <c r="M25" s="1009"/>
      <c r="O25" s="1009"/>
    </row>
    <row r="26" spans="1:24" ht="49.5" customHeight="1">
      <c r="A26" s="2127" t="s">
        <v>1026</v>
      </c>
      <c r="B26" s="2127"/>
      <c r="C26" s="1012">
        <v>46044</v>
      </c>
      <c r="D26" s="1007" t="s">
        <v>1028</v>
      </c>
      <c r="F26" s="2146" t="s">
        <v>677</v>
      </c>
      <c r="G26" s="2146"/>
      <c r="H26" s="2146"/>
      <c r="I26" s="2146"/>
      <c r="J26" s="2146"/>
      <c r="L26" s="1010"/>
      <c r="M26" s="1009"/>
      <c r="O26" s="1009"/>
    </row>
    <row r="27" spans="1:24" ht="49.5" customHeight="1">
      <c r="A27" s="2131" t="s">
        <v>1025</v>
      </c>
      <c r="B27" s="2131"/>
      <c r="C27" s="1008">
        <v>46188</v>
      </c>
      <c r="D27" s="1011" t="s">
        <v>1019</v>
      </c>
      <c r="F27" s="2128" t="s">
        <v>677</v>
      </c>
      <c r="G27" s="2128"/>
      <c r="H27" s="2128"/>
      <c r="I27" s="2128"/>
      <c r="J27" s="2128"/>
      <c r="L27" s="1010"/>
      <c r="M27" s="1009"/>
      <c r="O27" s="1009"/>
    </row>
    <row r="28" spans="1:24" ht="49.5" customHeight="1">
      <c r="A28" s="2127" t="s">
        <v>1024</v>
      </c>
      <c r="B28" s="2127"/>
      <c r="C28" s="1012">
        <v>46409</v>
      </c>
      <c r="D28" s="1007" t="s">
        <v>1019</v>
      </c>
      <c r="F28" s="2128"/>
      <c r="G28" s="2128"/>
      <c r="H28" s="2128"/>
      <c r="I28" s="2128"/>
      <c r="J28" s="2128"/>
      <c r="L28" s="1010"/>
      <c r="M28" s="1009"/>
      <c r="O28" s="1009"/>
    </row>
    <row r="29" spans="1:24" ht="49.5" customHeight="1">
      <c r="A29" s="2131" t="s">
        <v>1023</v>
      </c>
      <c r="B29" s="2131"/>
      <c r="C29" s="1008">
        <v>46349</v>
      </c>
      <c r="D29" s="1011" t="s">
        <v>1019</v>
      </c>
      <c r="F29" s="2128"/>
      <c r="G29" s="2128"/>
      <c r="H29" s="2128"/>
      <c r="I29" s="2128"/>
      <c r="J29" s="2128"/>
      <c r="L29" s="1010"/>
      <c r="M29" s="1009"/>
      <c r="O29" s="1009"/>
    </row>
    <row r="30" spans="1:24" ht="49.5" customHeight="1">
      <c r="A30" s="2127" t="s">
        <v>1022</v>
      </c>
      <c r="B30" s="2127"/>
      <c r="C30" s="1012">
        <v>46349</v>
      </c>
      <c r="D30" s="1007" t="s">
        <v>1019</v>
      </c>
      <c r="F30" s="2128"/>
      <c r="G30" s="2128"/>
      <c r="H30" s="2128"/>
      <c r="I30" s="2128"/>
      <c r="J30" s="2128"/>
      <c r="L30" s="1010"/>
      <c r="M30" s="1009"/>
      <c r="O30" s="1009"/>
    </row>
    <row r="31" spans="1:24" ht="66.75" customHeight="1">
      <c r="A31" s="2131" t="s">
        <v>1021</v>
      </c>
      <c r="B31" s="2131"/>
      <c r="C31" s="1008">
        <v>46226</v>
      </c>
      <c r="D31" s="1011" t="s">
        <v>1019</v>
      </c>
      <c r="F31" s="2128"/>
      <c r="G31" s="2128"/>
      <c r="H31" s="2128"/>
      <c r="I31" s="2128"/>
      <c r="J31" s="2128"/>
      <c r="L31" s="1010"/>
      <c r="M31" s="1009"/>
    </row>
    <row r="32" spans="1:24" ht="74.25" customHeight="1" thickBot="1">
      <c r="A32" s="2127" t="s">
        <v>1020</v>
      </c>
      <c r="B32" s="2127"/>
      <c r="C32" s="1012">
        <v>46215</v>
      </c>
      <c r="D32" s="1007" t="s">
        <v>1019</v>
      </c>
      <c r="F32" s="2128" t="s">
        <v>677</v>
      </c>
      <c r="G32" s="2128"/>
      <c r="H32" s="2128"/>
      <c r="I32" s="2128"/>
      <c r="J32" s="2128"/>
      <c r="L32" s="1006"/>
      <c r="M32" s="1004"/>
      <c r="N32" s="1005"/>
      <c r="O32" s="1004"/>
    </row>
  </sheetData>
  <mergeCells count="39">
    <mergeCell ref="A1:O1"/>
    <mergeCell ref="A29:B29"/>
    <mergeCell ref="F29:J29"/>
    <mergeCell ref="A30:B30"/>
    <mergeCell ref="F30:J30"/>
    <mergeCell ref="F25:J25"/>
    <mergeCell ref="A26:B26"/>
    <mergeCell ref="F26:J26"/>
    <mergeCell ref="A27:B27"/>
    <mergeCell ref="F27:J27"/>
    <mergeCell ref="F2:J2"/>
    <mergeCell ref="A17:B17"/>
    <mergeCell ref="A16:B16"/>
    <mergeCell ref="A11:B11"/>
    <mergeCell ref="A20:B20"/>
    <mergeCell ref="A10:B10"/>
    <mergeCell ref="L2:O2"/>
    <mergeCell ref="A8:D8"/>
    <mergeCell ref="A9:B9"/>
    <mergeCell ref="F28:J28"/>
    <mergeCell ref="A18:B18"/>
    <mergeCell ref="A19:B19"/>
    <mergeCell ref="A22:D22"/>
    <mergeCell ref="A23:B23"/>
    <mergeCell ref="A2:D2"/>
    <mergeCell ref="A24:B24"/>
    <mergeCell ref="A15:B15"/>
    <mergeCell ref="A32:B32"/>
    <mergeCell ref="F32:J32"/>
    <mergeCell ref="L12:O12"/>
    <mergeCell ref="A31:B31"/>
    <mergeCell ref="F31:J31"/>
    <mergeCell ref="A25:B25"/>
    <mergeCell ref="A12:B12"/>
    <mergeCell ref="F12:J12"/>
    <mergeCell ref="A13:B13"/>
    <mergeCell ref="A14:B14"/>
    <mergeCell ref="A28:B28"/>
    <mergeCell ref="A21:B21"/>
  </mergeCells>
  <printOptions horizontalCentered="1" verticalCentered="1"/>
  <pageMargins left="0.25" right="0.25" top="0.25" bottom="0.25" header="0.3" footer="0.3"/>
  <pageSetup paperSize="8" scale="67" orientation="landscape" r:id="rId1"/>
  <headerFooter>
    <oddFooter>&amp;L_x000D_&amp;1#&amp;"Aptos"&amp;10&amp;K000000 Data sensitivity - Public</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Q1" zoomScale="40" zoomScaleNormal="64" zoomScaleSheetLayoutView="40" workbookViewId="0">
      <selection activeCell="AA4" sqref="AA4"/>
    </sheetView>
  </sheetViews>
  <sheetFormatPr defaultRowHeight="14.4"/>
  <cols>
    <col min="1" max="1" width="6.33203125" style="1048" bestFit="1" customWidth="1"/>
    <col min="2" max="2" width="11.88671875" style="1048" customWidth="1"/>
    <col min="3" max="3" width="18.5546875" style="1048" hidden="1" customWidth="1"/>
    <col min="4" max="4" width="39.109375" style="1048" customWidth="1"/>
    <col min="5" max="5" width="67.6640625" style="1048" customWidth="1"/>
    <col min="6" max="6" width="22.44140625" style="1048" bestFit="1" customWidth="1"/>
    <col min="7" max="7" width="26.44140625" style="1048" bestFit="1" customWidth="1"/>
    <col min="8" max="8" width="26.88671875" style="1048" bestFit="1" customWidth="1"/>
    <col min="9" max="9" width="29.88671875" style="1048" customWidth="1"/>
    <col min="10" max="10" width="22.88671875" style="1048" bestFit="1" customWidth="1"/>
    <col min="11" max="11" width="26.6640625" style="1048" bestFit="1" customWidth="1"/>
    <col min="12" max="12" width="32.44140625" style="1048" bestFit="1" customWidth="1"/>
    <col min="13" max="14" width="27.88671875" style="1047" bestFit="1" customWidth="1"/>
    <col min="15" max="15" width="95.5546875" style="1047" bestFit="1" customWidth="1"/>
    <col min="16" max="16" width="95.5546875" style="1047" customWidth="1"/>
    <col min="17" max="17" width="97.44140625" style="1047" bestFit="1" customWidth="1"/>
    <col min="18" max="18" width="97.44140625" style="1047" customWidth="1"/>
    <col min="19" max="19" width="86.6640625" style="1047" customWidth="1"/>
    <col min="20" max="20" width="89" style="1047" customWidth="1"/>
    <col min="21" max="21" width="55.44140625" style="1047" bestFit="1" customWidth="1"/>
    <col min="22" max="22" width="55.44140625" style="1047" customWidth="1"/>
    <col min="23" max="23" width="41" style="5" hidden="1" customWidth="1"/>
    <col min="24" max="28" width="38.109375" style="5" customWidth="1"/>
    <col min="29" max="29" width="44.109375" bestFit="1" customWidth="1"/>
    <col min="30" max="30" width="39.109375" bestFit="1" customWidth="1"/>
    <col min="31" max="31" width="45.44140625" bestFit="1" customWidth="1"/>
    <col min="32" max="32" width="63.44140625" bestFit="1" customWidth="1"/>
    <col min="33" max="33" width="85.109375" bestFit="1" customWidth="1"/>
    <col min="34" max="34" width="41.109375" bestFit="1" customWidth="1"/>
    <col min="35" max="35" width="67.6640625" bestFit="1" customWidth="1"/>
    <col min="36" max="36" width="39.44140625" bestFit="1" customWidth="1"/>
  </cols>
  <sheetData>
    <row r="1" spans="1:28" ht="153.6" customHeight="1" thickBot="1">
      <c r="A1" s="2150" t="s">
        <v>1205</v>
      </c>
      <c r="B1" s="2151"/>
      <c r="C1" s="2151"/>
      <c r="D1" s="2151"/>
      <c r="E1" s="2151"/>
      <c r="F1" s="2151"/>
      <c r="G1" s="2151"/>
      <c r="H1" s="2151"/>
      <c r="I1" s="2151"/>
      <c r="J1" s="2151"/>
      <c r="K1" s="2151"/>
      <c r="L1" s="2151"/>
      <c r="M1" s="2151"/>
      <c r="N1" s="2151"/>
      <c r="O1" s="2151"/>
      <c r="P1" s="2151"/>
      <c r="Q1" s="2151"/>
      <c r="R1" s="2151"/>
      <c r="S1" s="2151"/>
      <c r="T1" s="2151"/>
      <c r="U1" s="2151"/>
      <c r="V1" s="2151"/>
      <c r="W1" s="2151"/>
      <c r="X1" s="2151"/>
      <c r="Y1" s="2151"/>
      <c r="Z1" s="2151"/>
      <c r="AA1" s="2151"/>
      <c r="AB1" s="2152"/>
    </row>
    <row r="2" spans="1:28" ht="90.6" thickBot="1">
      <c r="A2" s="1066" t="s">
        <v>615</v>
      </c>
      <c r="B2" s="1064" t="s">
        <v>1089</v>
      </c>
      <c r="C2" s="1064" t="s">
        <v>1088</v>
      </c>
      <c r="D2" s="1064" t="s">
        <v>40</v>
      </c>
      <c r="E2" s="1064" t="s">
        <v>1087</v>
      </c>
      <c r="F2" s="1064" t="s">
        <v>1086</v>
      </c>
      <c r="G2" s="1064" t="s">
        <v>1061</v>
      </c>
      <c r="H2" s="1064" t="s">
        <v>1085</v>
      </c>
      <c r="I2" s="1064" t="s">
        <v>1084</v>
      </c>
      <c r="J2" s="1065" t="s">
        <v>1083</v>
      </c>
      <c r="K2" s="1064" t="s">
        <v>1082</v>
      </c>
      <c r="L2" s="1063" t="s">
        <v>1081</v>
      </c>
      <c r="M2" s="1062" t="s">
        <v>1080</v>
      </c>
      <c r="N2" s="1061" t="s">
        <v>1079</v>
      </c>
      <c r="O2" s="1060" t="s">
        <v>1078</v>
      </c>
      <c r="P2" s="1060" t="s">
        <v>1077</v>
      </c>
      <c r="Q2" s="1060" t="s">
        <v>1076</v>
      </c>
      <c r="R2" s="1060" t="s">
        <v>1075</v>
      </c>
      <c r="S2" s="1060" t="s">
        <v>1074</v>
      </c>
      <c r="T2" s="1060" t="s">
        <v>1073</v>
      </c>
      <c r="U2" s="1060" t="s">
        <v>1072</v>
      </c>
      <c r="V2" s="1060" t="s">
        <v>1071</v>
      </c>
      <c r="W2" s="1059" t="s">
        <v>1070</v>
      </c>
      <c r="X2" s="1059" t="s">
        <v>1211</v>
      </c>
      <c r="Y2" s="1059" t="s">
        <v>1212</v>
      </c>
      <c r="Z2" s="1058" t="s">
        <v>1216</v>
      </c>
      <c r="AA2" s="1058" t="s">
        <v>1210</v>
      </c>
      <c r="AB2" s="1057" t="s">
        <v>1069</v>
      </c>
    </row>
    <row r="3" spans="1:28" ht="356.4" customHeight="1" thickBot="1">
      <c r="A3" s="1056">
        <v>1</v>
      </c>
      <c r="B3" s="1054" t="s">
        <v>1068</v>
      </c>
      <c r="C3" s="1054"/>
      <c r="D3" s="1054" t="s">
        <v>821</v>
      </c>
      <c r="E3" s="1055" t="s">
        <v>1067</v>
      </c>
      <c r="F3" s="1054" t="s">
        <v>1066</v>
      </c>
      <c r="G3" s="1054" t="s">
        <v>1058</v>
      </c>
      <c r="H3" s="1052">
        <v>45985</v>
      </c>
      <c r="I3" s="1052">
        <v>46530</v>
      </c>
      <c r="J3" s="1053">
        <v>18</v>
      </c>
      <c r="K3" s="1052">
        <v>46349</v>
      </c>
      <c r="L3" s="1051">
        <v>57304347.860000007</v>
      </c>
      <c r="M3" s="1050">
        <v>1</v>
      </c>
      <c r="N3" s="1050">
        <v>1</v>
      </c>
      <c r="O3" s="1071" t="s">
        <v>1203</v>
      </c>
      <c r="P3" s="1050"/>
      <c r="Q3" s="1050" t="s">
        <v>1204</v>
      </c>
      <c r="R3" s="1050" t="s">
        <v>1275</v>
      </c>
      <c r="S3" s="1050" t="s">
        <v>1206</v>
      </c>
      <c r="T3" s="1050" t="s">
        <v>1207</v>
      </c>
      <c r="U3" s="1050" t="s">
        <v>1126</v>
      </c>
      <c r="V3" s="1196" t="s">
        <v>1213</v>
      </c>
      <c r="W3" s="1067"/>
      <c r="X3" s="1072">
        <v>0.77</v>
      </c>
      <c r="Y3" s="1072">
        <f>Progress!I42</f>
        <v>0.9330628189091128</v>
      </c>
      <c r="Z3" s="1073">
        <f>X3*L3</f>
        <v>44124347.852200009</v>
      </c>
      <c r="AA3" s="1073">
        <v>35217376.920000002</v>
      </c>
      <c r="AB3" s="1074">
        <f>+K3</f>
        <v>46349</v>
      </c>
    </row>
    <row r="4" spans="1:28" ht="100.5" customHeight="1">
      <c r="A4"/>
      <c r="B4"/>
      <c r="C4"/>
      <c r="D4"/>
      <c r="E4"/>
      <c r="F4"/>
      <c r="G4"/>
      <c r="H4"/>
      <c r="I4"/>
      <c r="J4"/>
      <c r="K4"/>
      <c r="L4"/>
      <c r="M4"/>
      <c r="N4"/>
      <c r="O4"/>
      <c r="P4" s="1085"/>
      <c r="Q4"/>
      <c r="R4"/>
      <c r="S4"/>
      <c r="T4"/>
      <c r="U4"/>
      <c r="V4"/>
    </row>
    <row r="5" spans="1:28" ht="14.4"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 customHeight="1">
      <c r="A17"/>
      <c r="B17"/>
      <c r="C17"/>
      <c r="D17"/>
      <c r="E17"/>
      <c r="F17"/>
      <c r="G17"/>
      <c r="H17"/>
      <c r="I17"/>
      <c r="J17"/>
      <c r="K17"/>
      <c r="L17"/>
      <c r="M17"/>
      <c r="N17"/>
      <c r="O17"/>
      <c r="P17"/>
      <c r="Q17"/>
      <c r="R17"/>
      <c r="S17"/>
      <c r="T17"/>
      <c r="U17"/>
      <c r="V17"/>
    </row>
    <row r="18" spans="1:43" ht="129.9" customHeight="1">
      <c r="A18"/>
      <c r="B18"/>
      <c r="C18"/>
      <c r="D18"/>
      <c r="E18"/>
      <c r="F18"/>
      <c r="G18"/>
      <c r="H18"/>
      <c r="I18"/>
      <c r="J18"/>
      <c r="K18"/>
      <c r="L18"/>
      <c r="M18"/>
      <c r="N18"/>
      <c r="O18"/>
      <c r="P18"/>
      <c r="Q18"/>
      <c r="R18"/>
      <c r="S18"/>
      <c r="T18"/>
      <c r="U18"/>
      <c r="V18"/>
    </row>
    <row r="19" spans="1:43" ht="129.9" customHeight="1">
      <c r="A19"/>
      <c r="B19"/>
      <c r="C19"/>
      <c r="D19"/>
      <c r="E19"/>
      <c r="F19"/>
      <c r="G19"/>
      <c r="H19"/>
      <c r="I19"/>
      <c r="J19"/>
      <c r="K19"/>
      <c r="L19"/>
      <c r="M19"/>
      <c r="N19"/>
      <c r="O19"/>
      <c r="P19"/>
      <c r="Q19"/>
      <c r="R19"/>
      <c r="S19"/>
      <c r="T19"/>
      <c r="U19"/>
      <c r="V19"/>
    </row>
    <row r="20" spans="1:43" ht="12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49"/>
      <c r="B22" s="1049"/>
      <c r="C22" s="1049"/>
      <c r="D22" s="1049"/>
      <c r="E22" s="1049"/>
      <c r="F22" s="1049"/>
      <c r="G22" s="1049"/>
      <c r="H22" s="1049"/>
      <c r="I22" s="1049"/>
      <c r="J22" s="1049"/>
      <c r="K22" s="1049"/>
      <c r="L22" s="1049"/>
      <c r="M22" s="1049"/>
      <c r="N22" s="1049"/>
      <c r="O22" s="1049"/>
      <c r="P22" s="1049"/>
      <c r="Q22" s="1049"/>
      <c r="R22" s="1049"/>
      <c r="S22" s="1049"/>
      <c r="T22" s="1049"/>
      <c r="U22" s="1049"/>
      <c r="V22" s="1049"/>
    </row>
    <row r="23" spans="1:43">
      <c r="A23" s="1047"/>
      <c r="B23" s="1047"/>
      <c r="C23" s="1047"/>
      <c r="D23" s="1047"/>
      <c r="E23" s="1047"/>
      <c r="F23" s="1047"/>
      <c r="G23" s="1047"/>
      <c r="H23" s="1047"/>
      <c r="I23" s="1047"/>
      <c r="J23" s="1047"/>
      <c r="K23" s="1047"/>
      <c r="L23" s="1047"/>
    </row>
    <row r="24" spans="1:43" ht="15" customHeight="1">
      <c r="A24" s="1047"/>
      <c r="B24" s="1047"/>
      <c r="C24" s="1047"/>
      <c r="D24" s="1047"/>
      <c r="E24" s="1047"/>
      <c r="F24" s="1047"/>
      <c r="G24" s="1047"/>
      <c r="H24" s="1047"/>
      <c r="I24" s="1047"/>
      <c r="J24" s="1047"/>
      <c r="K24" s="1047"/>
      <c r="L24" s="1047"/>
    </row>
    <row r="25" spans="1:43" s="1047" customFormat="1">
      <c r="W25" s="5"/>
      <c r="X25" s="5"/>
      <c r="Y25" s="5"/>
      <c r="Z25" s="5"/>
      <c r="AA25" s="5"/>
      <c r="AB25" s="5"/>
      <c r="AC25"/>
      <c r="AD25"/>
      <c r="AE25"/>
      <c r="AF25"/>
      <c r="AG25"/>
      <c r="AH25"/>
      <c r="AI25"/>
      <c r="AJ25"/>
      <c r="AK25"/>
      <c r="AL25"/>
      <c r="AM25"/>
      <c r="AN25"/>
      <c r="AO25"/>
      <c r="AP25"/>
      <c r="AQ25"/>
    </row>
    <row r="26" spans="1:43" s="1047" customFormat="1" ht="14.4" customHeight="1">
      <c r="W26" s="5"/>
      <c r="X26" s="5"/>
      <c r="Y26" s="5"/>
      <c r="Z26" s="5"/>
      <c r="AA26" s="5"/>
      <c r="AB26" s="5"/>
      <c r="AC26"/>
      <c r="AD26"/>
      <c r="AE26"/>
      <c r="AF26"/>
      <c r="AG26"/>
      <c r="AH26"/>
      <c r="AI26"/>
      <c r="AJ26"/>
      <c r="AK26"/>
      <c r="AL26"/>
      <c r="AM26"/>
      <c r="AN26"/>
      <c r="AO26"/>
      <c r="AP26"/>
      <c r="AQ26"/>
    </row>
    <row r="27" spans="1:43" s="1047"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2" t="s">
        <v>780</v>
      </c>
    </row>
    <row r="4" spans="3:12">
      <c r="C4" s="960" t="s">
        <v>659</v>
      </c>
      <c r="E4" t="s">
        <v>582</v>
      </c>
    </row>
    <row r="5" spans="3:12">
      <c r="C5" s="960" t="s">
        <v>112</v>
      </c>
      <c r="E5" t="s">
        <v>586</v>
      </c>
      <c r="K5" t="s">
        <v>86</v>
      </c>
    </row>
    <row r="6" spans="3:12">
      <c r="C6" s="960" t="s">
        <v>781</v>
      </c>
      <c r="K6" t="s">
        <v>782</v>
      </c>
    </row>
    <row r="7" spans="3:12">
      <c r="C7" s="9"/>
      <c r="D7" s="10"/>
      <c r="E7" s="10"/>
      <c r="G7" s="10"/>
      <c r="H7" s="10"/>
      <c r="I7" s="10"/>
    </row>
    <row r="8" spans="3:12">
      <c r="C8" s="11"/>
      <c r="D8" s="6"/>
      <c r="E8" s="6"/>
      <c r="F8" s="13"/>
      <c r="G8" s="6"/>
      <c r="H8" s="6"/>
      <c r="I8" s="10"/>
    </row>
    <row r="9" spans="3:12">
      <c r="D9" s="34"/>
      <c r="E9" s="34"/>
      <c r="G9" s="6"/>
      <c r="H9" s="6"/>
      <c r="I9" s="6"/>
    </row>
    <row r="10" spans="3:12">
      <c r="C10" s="6" t="s">
        <v>783</v>
      </c>
      <c r="D10" s="6" t="s">
        <v>41</v>
      </c>
      <c r="E10" s="6"/>
      <c r="F10" s="6" t="s">
        <v>41</v>
      </c>
      <c r="G10" s="6"/>
      <c r="H10" s="6" t="s">
        <v>50</v>
      </c>
      <c r="I10" s="5"/>
      <c r="J10" s="14" t="s">
        <v>317</v>
      </c>
    </row>
    <row r="11" spans="3:12">
      <c r="C11" s="3"/>
      <c r="D11" s="3"/>
      <c r="E11" s="3"/>
      <c r="F11" s="3"/>
      <c r="G11" s="3"/>
      <c r="H11" s="6"/>
      <c r="J11" s="5" t="s">
        <v>575</v>
      </c>
      <c r="K11" t="s">
        <v>49</v>
      </c>
      <c r="L11" s="961" t="s">
        <v>248</v>
      </c>
    </row>
    <row r="12" spans="3:12">
      <c r="C12" s="3" t="s">
        <v>784</v>
      </c>
      <c r="D12" s="33" t="s">
        <v>785</v>
      </c>
      <c r="E12" s="33"/>
      <c r="F12" s="3" t="s">
        <v>785</v>
      </c>
      <c r="G12" s="3"/>
      <c r="H12" s="3" t="s">
        <v>248</v>
      </c>
      <c r="J12" s="5" t="s">
        <v>574</v>
      </c>
      <c r="K12" s="3" t="s">
        <v>766</v>
      </c>
      <c r="L12" s="961" t="s">
        <v>786</v>
      </c>
    </row>
    <row r="13" spans="3:12">
      <c r="C13" s="3" t="s">
        <v>784</v>
      </c>
      <c r="D13" s="33" t="s">
        <v>787</v>
      </c>
      <c r="E13" s="33"/>
      <c r="F13" s="3" t="s">
        <v>787</v>
      </c>
      <c r="G13" s="3"/>
      <c r="H13" s="3" t="s">
        <v>788</v>
      </c>
      <c r="J13" s="5" t="s">
        <v>576</v>
      </c>
      <c r="K13" s="3" t="s">
        <v>789</v>
      </c>
      <c r="L13" s="961" t="s">
        <v>790</v>
      </c>
    </row>
    <row r="14" spans="3:12">
      <c r="C14" s="3" t="s">
        <v>784</v>
      </c>
      <c r="D14" s="33" t="s">
        <v>791</v>
      </c>
      <c r="E14" s="33"/>
      <c r="F14" s="3"/>
      <c r="G14" s="3"/>
      <c r="H14" s="3" t="s">
        <v>792</v>
      </c>
      <c r="J14" s="5"/>
      <c r="K14" t="s">
        <v>686</v>
      </c>
      <c r="L14" s="961" t="s">
        <v>112</v>
      </c>
    </row>
    <row r="15" spans="3:12">
      <c r="C15" s="3" t="s">
        <v>784</v>
      </c>
      <c r="D15" s="33" t="s">
        <v>278</v>
      </c>
      <c r="E15" s="33"/>
      <c r="F15" s="3" t="s">
        <v>278</v>
      </c>
      <c r="G15" s="3" t="s">
        <v>793</v>
      </c>
      <c r="H15" s="3" t="s">
        <v>794</v>
      </c>
      <c r="J15" s="5"/>
      <c r="K15" s="3" t="s">
        <v>687</v>
      </c>
    </row>
    <row r="16" spans="3:12">
      <c r="C16" s="3" t="s">
        <v>795</v>
      </c>
      <c r="D16" s="33" t="s">
        <v>247</v>
      </c>
      <c r="E16" s="33"/>
      <c r="F16" s="3" t="s">
        <v>795</v>
      </c>
      <c r="G16" s="3" t="s">
        <v>796</v>
      </c>
      <c r="H16" s="3" t="s">
        <v>797</v>
      </c>
      <c r="I16" s="3" t="s">
        <v>798</v>
      </c>
      <c r="J16" s="5"/>
    </row>
    <row r="17" spans="3:10">
      <c r="C17" s="3" t="s">
        <v>795</v>
      </c>
      <c r="D17" s="33" t="s">
        <v>799</v>
      </c>
      <c r="E17" s="33"/>
      <c r="F17" s="3"/>
      <c r="G17" s="3" t="s">
        <v>800</v>
      </c>
      <c r="H17" s="3" t="s">
        <v>801</v>
      </c>
      <c r="I17" t="s">
        <v>802</v>
      </c>
      <c r="J17" s="5"/>
    </row>
    <row r="18" spans="3:10">
      <c r="C18" s="3" t="s">
        <v>795</v>
      </c>
      <c r="D18" s="33" t="s">
        <v>803</v>
      </c>
      <c r="E18" s="33"/>
      <c r="F18" s="3" t="s">
        <v>804</v>
      </c>
      <c r="G18" s="3" t="s">
        <v>805</v>
      </c>
      <c r="H18" s="3" t="s">
        <v>111</v>
      </c>
      <c r="I18" s="3" t="s">
        <v>806</v>
      </c>
    </row>
    <row r="19" spans="3:10">
      <c r="C19" s="3"/>
      <c r="D19" s="35" t="s">
        <v>807</v>
      </c>
      <c r="E19" s="35"/>
      <c r="F19" s="3"/>
      <c r="G19" s="3"/>
      <c r="H19" s="3"/>
      <c r="J19" s="5"/>
    </row>
    <row r="20" spans="3:10">
      <c r="C20" s="3"/>
      <c r="D20" s="35" t="s">
        <v>808</v>
      </c>
      <c r="E20" s="3"/>
      <c r="F20" s="3"/>
      <c r="G20" s="3"/>
    </row>
    <row r="41" spans="2:11" ht="18">
      <c r="B41" s="2155" t="s">
        <v>809</v>
      </c>
      <c r="C41" s="2156"/>
      <c r="D41" s="2156"/>
      <c r="E41" s="2156"/>
      <c r="F41" s="2156"/>
      <c r="G41" s="2156"/>
      <c r="H41" s="2156"/>
      <c r="I41" s="2157"/>
    </row>
    <row r="42" spans="2:11">
      <c r="B42" s="2154" t="s">
        <v>810</v>
      </c>
      <c r="C42" s="2154"/>
      <c r="D42" s="2154"/>
      <c r="E42" s="962" t="s">
        <v>811</v>
      </c>
      <c r="F42" s="962" t="s">
        <v>317</v>
      </c>
      <c r="G42" s="963" t="s">
        <v>78</v>
      </c>
      <c r="H42" s="963" t="s">
        <v>194</v>
      </c>
      <c r="I42" s="964" t="s">
        <v>614</v>
      </c>
    </row>
    <row r="43" spans="2:11">
      <c r="B43" s="2158" t="s">
        <v>812</v>
      </c>
      <c r="C43" s="2158"/>
      <c r="D43" s="2158"/>
      <c r="E43" s="965">
        <v>1</v>
      </c>
      <c r="F43" s="966">
        <f>IFERROR('Weekly Progress Report'!$Z$28,1)</f>
        <v>1.2582579389627797</v>
      </c>
      <c r="G43" s="967" t="s">
        <v>813</v>
      </c>
      <c r="H43" s="968"/>
      <c r="I43" s="969"/>
    </row>
    <row r="44" spans="2:11">
      <c r="B44" s="2158" t="s">
        <v>814</v>
      </c>
      <c r="C44" s="2158"/>
      <c r="D44" s="2158"/>
      <c r="E44" s="965">
        <v>1</v>
      </c>
      <c r="F44" s="970">
        <f>+'Weekly Progress Report'!L28/'Weekly Progress Report'!K28</f>
        <v>1.5591238474158446</v>
      </c>
      <c r="G44" s="967" t="s">
        <v>813</v>
      </c>
      <c r="H44" s="968"/>
      <c r="I44" s="969"/>
    </row>
    <row r="45" spans="2:11">
      <c r="B45" s="2153" t="s">
        <v>815</v>
      </c>
      <c r="C45" s="2153"/>
      <c r="D45" s="2153"/>
      <c r="E45" s="965">
        <v>1</v>
      </c>
      <c r="F45" s="965">
        <f>IFERROR(('Weekly Progress Report'!G89+'Weekly Progress Report'!H89)/'Weekly Progress Report'!F89,1)</f>
        <v>1</v>
      </c>
      <c r="G45" s="967" t="s">
        <v>813</v>
      </c>
      <c r="H45" s="968"/>
      <c r="I45" s="969"/>
      <c r="K45">
        <f>12/20</f>
        <v>0.6</v>
      </c>
    </row>
    <row r="46" spans="2:11">
      <c r="B46" s="2153" t="s">
        <v>816</v>
      </c>
      <c r="C46" s="2153"/>
      <c r="D46" s="2153"/>
      <c r="E46" s="965">
        <v>1</v>
      </c>
      <c r="F46" s="965">
        <f>IFERROR('Weekly Progress Report'!N93/'Weekly Progress Report'!M93,1)</f>
        <v>2.9672131147540983</v>
      </c>
      <c r="G46" s="967" t="s">
        <v>813</v>
      </c>
      <c r="H46" s="968"/>
      <c r="I46" s="969"/>
    </row>
    <row r="47" spans="2:11">
      <c r="B47" s="2153" t="s">
        <v>817</v>
      </c>
      <c r="C47" s="2153"/>
      <c r="D47" s="2153"/>
      <c r="E47" s="965">
        <v>1</v>
      </c>
      <c r="F47" s="965">
        <f>IFERROR('Weekly Progress Report'!U93/'Weekly Progress Report'!T93,1)</f>
        <v>3.7666666666666666</v>
      </c>
      <c r="G47" s="967" t="s">
        <v>813</v>
      </c>
      <c r="H47" s="968"/>
      <c r="I47" s="969"/>
    </row>
    <row r="48" spans="2:11">
      <c r="B48" s="2153" t="s">
        <v>818</v>
      </c>
      <c r="C48" s="2153"/>
      <c r="D48" s="2153"/>
      <c r="E48" s="965">
        <v>1</v>
      </c>
      <c r="F48" s="965">
        <f>IFERROR('Weekly Progress Report'!R75/'Weekly Progress Report'!R73,1)</f>
        <v>0.67825678659811761</v>
      </c>
      <c r="G48" s="967" t="s">
        <v>813</v>
      </c>
      <c r="H48" s="968"/>
      <c r="I48" s="969"/>
    </row>
    <row r="49" spans="2:9">
      <c r="B49" s="2153" t="s">
        <v>819</v>
      </c>
      <c r="C49" s="2153"/>
      <c r="D49" s="2153"/>
      <c r="E49" s="965">
        <v>1</v>
      </c>
      <c r="F49" s="965">
        <f>+'HSE-Stat'!J22</f>
        <v>0.88182002022244677</v>
      </c>
      <c r="G49" s="967" t="s">
        <v>813</v>
      </c>
      <c r="H49" s="968"/>
      <c r="I49" s="969"/>
    </row>
    <row r="50" spans="2:9">
      <c r="B50" s="2153" t="s">
        <v>39</v>
      </c>
      <c r="C50" s="2153"/>
      <c r="D50" s="2153"/>
      <c r="E50" s="965">
        <v>1</v>
      </c>
      <c r="F50" s="965">
        <f>+'Quality-Stat'!J48</f>
        <v>0.86880529270248608</v>
      </c>
      <c r="G50" s="967" t="s">
        <v>813</v>
      </c>
      <c r="H50" s="968"/>
      <c r="I50" s="969"/>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vt:i4>
      </vt:variant>
    </vt:vector>
  </HeadingPairs>
  <TitlesOfParts>
    <vt:vector size="39" baseType="lpstr">
      <vt:lpstr>DB</vt:lpstr>
      <vt:lpstr>Weekly Progress Report</vt:lpstr>
      <vt:lpstr>FIR summary </vt:lpstr>
      <vt:lpstr>FIR sum</vt:lpstr>
      <vt:lpstr>Progress</vt:lpstr>
      <vt:lpstr>Progress (2)</vt:lpstr>
      <vt:lpstr>General Information</vt:lpstr>
      <vt:lpstr>Weekly Photos</vt:lpstr>
      <vt:lpstr>Quality</vt:lpstr>
      <vt:lpstr>Quality-Stat</vt:lpstr>
      <vt:lpstr>HSE</vt:lpstr>
      <vt:lpstr>HSE-Stat</vt:lpstr>
      <vt:lpstr>Risk Register  </vt:lpstr>
      <vt:lpstr>Procurement</vt:lpstr>
      <vt:lpstr>Milestones</vt:lpstr>
      <vt:lpstr>Major Quantities</vt:lpstr>
      <vt:lpstr>CCO</vt:lpstr>
      <vt:lpstr>Issue </vt:lpstr>
      <vt:lpstr>Invoice Log</vt:lpstr>
      <vt:lpstr>EV-Chart Data</vt:lpstr>
      <vt:lpstr>Schedule</vt:lpstr>
      <vt:lpstr>Physical-Chart Data</vt:lpstr>
      <vt:lpstr>Manpower</vt:lpstr>
      <vt:lpstr>Testing</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'FIR sum'!Total</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Eltayeb Mohamed</cp:lastModifiedBy>
  <cp:revision/>
  <cp:lastPrinted>2026-10-05T09:14:58Z</cp:lastPrinted>
  <dcterms:created xsi:type="dcterms:W3CDTF">2014-11-10T09:45:29Z</dcterms:created>
  <dcterms:modified xsi:type="dcterms:W3CDTF">2026-10-15T08:45:55Z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MSIP_Label_4a30d458-cd10-4a48-9232-50530e63d4a6_Enabled">
    <vt:lpwstr>true</vt:lpwstr>
  </property>
  <property fmtid="{D5CDD505-2E9C-101B-9397-08002B2CF9AE}" pid="8" name="MSIP_Label_4a30d458-cd10-4a48-9232-50530e63d4a6_SetDate">
    <vt:lpwstr>2025-09-24T08:17:07Z</vt:lpwstr>
  </property>
  <property fmtid="{D5CDD505-2E9C-101B-9397-08002B2CF9AE}" pid="9" name="MSIP_Label_4a30d458-cd10-4a48-9232-50530e63d4a6_Method">
    <vt:lpwstr>Privileged</vt:lpwstr>
  </property>
  <property fmtid="{D5CDD505-2E9C-101B-9397-08002B2CF9AE}" pid="10" name="MSIP_Label_4a30d458-cd10-4a48-9232-50530e63d4a6_Name">
    <vt:lpwstr>l0_public</vt:lpwstr>
  </property>
  <property fmtid="{D5CDD505-2E9C-101B-9397-08002B2CF9AE}" pid="11" name="MSIP_Label_4a30d458-cd10-4a48-9232-50530e63d4a6_SiteId">
    <vt:lpwstr>a5877034-8d6a-496a-8cf8-ceb5e3451109</vt:lpwstr>
  </property>
  <property fmtid="{D5CDD505-2E9C-101B-9397-08002B2CF9AE}" pid="12" name="MSIP_Label_4a30d458-cd10-4a48-9232-50530e63d4a6_ActionId">
    <vt:lpwstr>080ee8c7-d707-460d-89b3-2f54a217b561</vt:lpwstr>
  </property>
  <property fmtid="{D5CDD505-2E9C-101B-9397-08002B2CF9AE}" pid="13" name="MSIP_Label_4a30d458-cd10-4a48-9232-50530e63d4a6_ContentBits">
    <vt:lpwstr>2</vt:lpwstr>
  </property>
  <property fmtid="{D5CDD505-2E9C-101B-9397-08002B2CF9AE}" pid="14" name="MSIP_Label_4a30d458-cd10-4a48-9232-50530e63d4a6_Tag">
    <vt:lpwstr>10, 0, 1, 1</vt:lpwstr>
  </property>
  <property fmtid="{D5CDD505-2E9C-101B-9397-08002B2CF9AE}" pid="15" name="SV_QUERY_LIST_4F35BF76-6C0D-4D9B-82B2-816C12CF3733">
    <vt:lpwstr>empty_477D106A-C0D6-4607-AEBD-E2C9D60EA279</vt:lpwstr>
  </property>
  <property fmtid="{D5CDD505-2E9C-101B-9397-08002B2CF9AE}" pid="16" name="SV_HIDDEN_GRID_QUERY_LIST_4F35BF76-6C0D-4D9B-82B2-816C12CF3733">
    <vt:lpwstr>empty_477D106A-C0D6-4607-AEBD-E2C9D60EA279</vt:lpwstr>
  </property>
</Properties>
</file>